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桁架圆弧拱面外\均布径向荷载弹性屈曲分析\铰接\1218腹杆无扭转公式对比\"/>
    </mc:Choice>
  </mc:AlternateContent>
  <xr:revisionPtr revIDLastSave="0" documentId="13_ncr:1_{E3A0EAFD-4EED-41B5-A50F-56EEC5623A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跨径屈曲对比" sheetId="11" r:id="rId1"/>
    <sheet name="Lc屈曲对比" sheetId="12" r:id="rId2"/>
    <sheet name="腹杆截面" sheetId="13" r:id="rId3"/>
    <sheet name="截面宽度高度" sheetId="1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" i="13" l="1"/>
  <c r="AK6" i="11"/>
  <c r="AI6" i="11"/>
  <c r="AI4" i="11"/>
  <c r="AI5" i="11"/>
  <c r="AI7" i="11"/>
  <c r="AI8" i="11"/>
  <c r="AI9" i="11"/>
  <c r="AI10" i="11"/>
  <c r="AH5" i="11"/>
  <c r="AH6" i="11"/>
  <c r="AH7" i="11"/>
  <c r="AH8" i="11"/>
  <c r="AH9" i="11"/>
  <c r="AH10" i="11"/>
  <c r="AH4" i="11"/>
  <c r="AK4" i="15"/>
  <c r="AN4" i="15" s="1"/>
  <c r="AK5" i="15"/>
  <c r="AK6" i="15"/>
  <c r="AK7" i="15"/>
  <c r="AK8" i="15"/>
  <c r="AK9" i="15"/>
  <c r="AK10" i="15"/>
  <c r="AJ5" i="15"/>
  <c r="AM4" i="15" s="1"/>
  <c r="AJ6" i="15"/>
  <c r="AJ7" i="15"/>
  <c r="AJ8" i="15"/>
  <c r="AJ9" i="15"/>
  <c r="AJ10" i="15"/>
  <c r="AJ4" i="15"/>
  <c r="AH4" i="13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4" i="13"/>
  <c r="AH4" i="12"/>
  <c r="AH5" i="12"/>
  <c r="AH6" i="12"/>
  <c r="AH7" i="12"/>
  <c r="AH8" i="12"/>
  <c r="AH9" i="12"/>
  <c r="AH10" i="12"/>
  <c r="AH11" i="12"/>
  <c r="AG5" i="12"/>
  <c r="AG6" i="12"/>
  <c r="AG7" i="12"/>
  <c r="AG8" i="12"/>
  <c r="AG9" i="12"/>
  <c r="AG10" i="12"/>
  <c r="AG11" i="12"/>
  <c r="AG4" i="12"/>
  <c r="AJ4" i="12"/>
  <c r="AK4" i="12"/>
  <c r="AK4" i="13"/>
  <c r="U26" i="11"/>
  <c r="U42" i="13"/>
  <c r="U4" i="13"/>
  <c r="Q5" i="11"/>
  <c r="T6" i="11"/>
  <c r="T18" i="11"/>
  <c r="R4" i="15"/>
  <c r="Q30" i="12"/>
  <c r="Q34" i="12"/>
  <c r="Q33" i="12"/>
  <c r="Q32" i="11"/>
  <c r="Q31" i="11"/>
  <c r="Q30" i="11"/>
  <c r="Q29" i="11"/>
  <c r="Q28" i="11"/>
  <c r="Q27" i="11"/>
  <c r="Q26" i="11"/>
  <c r="Q25" i="15"/>
  <c r="Q26" i="15"/>
  <c r="Q27" i="15"/>
  <c r="Q28" i="15"/>
  <c r="Q29" i="15"/>
  <c r="Q30" i="15"/>
  <c r="Q31" i="15"/>
  <c r="Q55" i="13"/>
  <c r="Q54" i="13"/>
  <c r="Q53" i="13"/>
  <c r="Q52" i="13"/>
  <c r="U52" i="13" s="1"/>
  <c r="Q51" i="13"/>
  <c r="Q50" i="13"/>
  <c r="Q49" i="13"/>
  <c r="Q48" i="13"/>
  <c r="Q47" i="13"/>
  <c r="Q46" i="13"/>
  <c r="Q45" i="13"/>
  <c r="Q44" i="13"/>
  <c r="Q43" i="13"/>
  <c r="Q42" i="13"/>
  <c r="R54" i="13"/>
  <c r="Q56" i="13"/>
  <c r="R56" i="13" s="1"/>
  <c r="Q57" i="13"/>
  <c r="U57" i="13"/>
  <c r="Q27" i="12"/>
  <c r="Q28" i="12"/>
  <c r="Q29" i="12"/>
  <c r="Q31" i="12"/>
  <c r="Q32" i="12"/>
  <c r="T9" i="12"/>
  <c r="O34" i="12"/>
  <c r="O33" i="12"/>
  <c r="O32" i="12"/>
  <c r="Q23" i="12"/>
  <c r="P23" i="12"/>
  <c r="O23" i="12"/>
  <c r="M23" i="12"/>
  <c r="U23" i="12" s="1"/>
  <c r="F23" i="12"/>
  <c r="D23" i="12"/>
  <c r="B23" i="12"/>
  <c r="Y23" i="12" s="1"/>
  <c r="F22" i="12"/>
  <c r="D22" i="12"/>
  <c r="B22" i="12"/>
  <c r="O22" i="12" s="1"/>
  <c r="Q21" i="12"/>
  <c r="O21" i="12"/>
  <c r="M21" i="12"/>
  <c r="U21" i="12" s="1"/>
  <c r="F21" i="12"/>
  <c r="D21" i="12"/>
  <c r="B21" i="12"/>
  <c r="Y21" i="12" s="1"/>
  <c r="F11" i="12"/>
  <c r="D11" i="12"/>
  <c r="B11" i="12"/>
  <c r="Y11" i="12" s="1"/>
  <c r="F10" i="12"/>
  <c r="D10" i="12"/>
  <c r="B10" i="12"/>
  <c r="O10" i="12" s="1"/>
  <c r="F9" i="12"/>
  <c r="D9" i="12"/>
  <c r="B9" i="12"/>
  <c r="O9" i="12" s="1"/>
  <c r="W15" i="15"/>
  <c r="O27" i="11"/>
  <c r="P44" i="11"/>
  <c r="O28" i="11"/>
  <c r="O29" i="11"/>
  <c r="O30" i="11"/>
  <c r="O31" i="11"/>
  <c r="O32" i="11"/>
  <c r="O26" i="11"/>
  <c r="F5" i="11"/>
  <c r="D5" i="11"/>
  <c r="B5" i="11"/>
  <c r="O5" i="11" s="1"/>
  <c r="F4" i="11"/>
  <c r="D4" i="11"/>
  <c r="B4" i="11"/>
  <c r="O4" i="11" s="1"/>
  <c r="F16" i="11"/>
  <c r="D16" i="11"/>
  <c r="B16" i="11"/>
  <c r="Q16" i="11" s="1"/>
  <c r="F15" i="11"/>
  <c r="D15" i="11"/>
  <c r="B15" i="11"/>
  <c r="Q15" i="11" s="1"/>
  <c r="O50" i="13"/>
  <c r="O57" i="13"/>
  <c r="I57" i="13"/>
  <c r="I53" i="13"/>
  <c r="I54" i="13"/>
  <c r="I55" i="13"/>
  <c r="I56" i="13"/>
  <c r="I52" i="13"/>
  <c r="I51" i="13"/>
  <c r="I50" i="13"/>
  <c r="I4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F38" i="13"/>
  <c r="D38" i="13"/>
  <c r="B38" i="13"/>
  <c r="Y38" i="13" s="1"/>
  <c r="F37" i="13"/>
  <c r="D37" i="13"/>
  <c r="B37" i="13"/>
  <c r="O37" i="13" s="1"/>
  <c r="M36" i="13"/>
  <c r="F36" i="13"/>
  <c r="D36" i="13"/>
  <c r="B36" i="13"/>
  <c r="Q36" i="13" s="1"/>
  <c r="F35" i="13"/>
  <c r="D35" i="13"/>
  <c r="B35" i="13"/>
  <c r="F34" i="13"/>
  <c r="D34" i="13"/>
  <c r="B34" i="13"/>
  <c r="N34" i="13" s="1"/>
  <c r="F33" i="13"/>
  <c r="D33" i="13"/>
  <c r="B33" i="13"/>
  <c r="Q33" i="13" s="1"/>
  <c r="F32" i="13"/>
  <c r="D32" i="13"/>
  <c r="B32" i="13"/>
  <c r="Q32" i="13" s="1"/>
  <c r="F31" i="13"/>
  <c r="D31" i="13"/>
  <c r="B31" i="13"/>
  <c r="F30" i="13"/>
  <c r="D30" i="13"/>
  <c r="B30" i="13"/>
  <c r="Y30" i="13" s="1"/>
  <c r="I19" i="13"/>
  <c r="I18" i="13"/>
  <c r="I17" i="13"/>
  <c r="I16" i="13"/>
  <c r="F19" i="13"/>
  <c r="D19" i="13"/>
  <c r="B19" i="13"/>
  <c r="Y19" i="13" s="1"/>
  <c r="F18" i="13"/>
  <c r="D18" i="13"/>
  <c r="B18" i="13"/>
  <c r="O18" i="13" s="1"/>
  <c r="F16" i="13"/>
  <c r="D16" i="13"/>
  <c r="B16" i="13"/>
  <c r="O54" i="13" s="1"/>
  <c r="I15" i="13"/>
  <c r="I14" i="13"/>
  <c r="I13" i="13"/>
  <c r="N13" i="13" s="1"/>
  <c r="I12" i="13"/>
  <c r="I11" i="13"/>
  <c r="I10" i="13"/>
  <c r="I9" i="13"/>
  <c r="I8" i="13"/>
  <c r="I7" i="13"/>
  <c r="F15" i="13"/>
  <c r="D15" i="13"/>
  <c r="B15" i="13"/>
  <c r="O53" i="13" s="1"/>
  <c r="F14" i="13"/>
  <c r="D14" i="13"/>
  <c r="B14" i="13"/>
  <c r="Q14" i="13" s="1"/>
  <c r="F13" i="13"/>
  <c r="D13" i="13"/>
  <c r="B13" i="13"/>
  <c r="Y13" i="13" s="1"/>
  <c r="O12" i="13"/>
  <c r="F12" i="13"/>
  <c r="D12" i="13"/>
  <c r="B12" i="13"/>
  <c r="Q12" i="13" s="1"/>
  <c r="F11" i="13"/>
  <c r="D11" i="13"/>
  <c r="B11" i="13"/>
  <c r="O49" i="13" s="1"/>
  <c r="F10" i="13"/>
  <c r="D10" i="13"/>
  <c r="B10" i="13"/>
  <c r="Q10" i="13" s="1"/>
  <c r="I48" i="13"/>
  <c r="F29" i="13"/>
  <c r="D29" i="13"/>
  <c r="B29" i="13"/>
  <c r="O29" i="13" s="1"/>
  <c r="F17" i="13"/>
  <c r="D17" i="13"/>
  <c r="B17" i="13"/>
  <c r="O55" i="13" s="1"/>
  <c r="U33" i="12" l="1"/>
  <c r="R33" i="12"/>
  <c r="R57" i="13"/>
  <c r="R32" i="12"/>
  <c r="U32" i="12"/>
  <c r="R34" i="12"/>
  <c r="U34" i="12"/>
  <c r="AA23" i="12"/>
  <c r="Q11" i="12"/>
  <c r="P22" i="12"/>
  <c r="R22" i="12" s="1"/>
  <c r="AA22" i="12"/>
  <c r="Q10" i="12"/>
  <c r="M11" i="12"/>
  <c r="P21" i="12"/>
  <c r="R21" i="12" s="1"/>
  <c r="AA21" i="12"/>
  <c r="M22" i="12"/>
  <c r="U22" i="12" s="1"/>
  <c r="Q22" i="12"/>
  <c r="N23" i="12"/>
  <c r="R23" i="12" s="1"/>
  <c r="O11" i="12"/>
  <c r="N22" i="12"/>
  <c r="Y22" i="12"/>
  <c r="P11" i="12"/>
  <c r="N21" i="12"/>
  <c r="N11" i="12"/>
  <c r="R11" i="12" s="1"/>
  <c r="M10" i="12"/>
  <c r="U10" i="12" s="1"/>
  <c r="P10" i="12"/>
  <c r="N10" i="12"/>
  <c r="Y10" i="12"/>
  <c r="N9" i="12"/>
  <c r="Y9" i="12"/>
  <c r="P9" i="12"/>
  <c r="M9" i="12"/>
  <c r="U9" i="12" s="1"/>
  <c r="AA9" i="12" s="1"/>
  <c r="Q9" i="12"/>
  <c r="U27" i="11"/>
  <c r="R27" i="11"/>
  <c r="R26" i="11"/>
  <c r="P4" i="11"/>
  <c r="Q4" i="11"/>
  <c r="M5" i="11"/>
  <c r="P5" i="11"/>
  <c r="M4" i="11"/>
  <c r="U4" i="11" s="1"/>
  <c r="AA4" i="11" s="1"/>
  <c r="U5" i="11"/>
  <c r="N4" i="11"/>
  <c r="Y4" i="11"/>
  <c r="N5" i="11"/>
  <c r="Y5" i="11"/>
  <c r="N16" i="11"/>
  <c r="Y16" i="11"/>
  <c r="N15" i="11"/>
  <c r="Y15" i="11"/>
  <c r="O15" i="11"/>
  <c r="O16" i="11"/>
  <c r="P15" i="11"/>
  <c r="P16" i="11"/>
  <c r="M15" i="11"/>
  <c r="U15" i="11" s="1"/>
  <c r="M16" i="11"/>
  <c r="U16" i="11" s="1"/>
  <c r="R50" i="13"/>
  <c r="Y32" i="13"/>
  <c r="O33" i="13"/>
  <c r="Y34" i="13"/>
  <c r="R52" i="13"/>
  <c r="O56" i="13"/>
  <c r="O52" i="13"/>
  <c r="O48" i="13"/>
  <c r="U50" i="13"/>
  <c r="O51" i="13"/>
  <c r="U54" i="13"/>
  <c r="U56" i="13"/>
  <c r="R49" i="13"/>
  <c r="R51" i="13"/>
  <c r="R53" i="13"/>
  <c r="R55" i="13"/>
  <c r="U49" i="13"/>
  <c r="U51" i="13"/>
  <c r="U53" i="13"/>
  <c r="U55" i="13"/>
  <c r="Y33" i="13"/>
  <c r="O36" i="13"/>
  <c r="U36" i="13" s="1"/>
  <c r="AA36" i="13" s="1"/>
  <c r="P18" i="13"/>
  <c r="A18" i="13" s="1"/>
  <c r="N32" i="13"/>
  <c r="O32" i="13"/>
  <c r="P37" i="13"/>
  <c r="P38" i="13"/>
  <c r="N33" i="13"/>
  <c r="O38" i="13"/>
  <c r="N30" i="13"/>
  <c r="A37" i="13"/>
  <c r="M37" i="13"/>
  <c r="U37" i="13" s="1"/>
  <c r="Q37" i="13"/>
  <c r="N37" i="13"/>
  <c r="Y37" i="13"/>
  <c r="M38" i="13"/>
  <c r="Q38" i="13"/>
  <c r="N38" i="13"/>
  <c r="Q30" i="13"/>
  <c r="Q34" i="13"/>
  <c r="Q31" i="13"/>
  <c r="P32" i="13"/>
  <c r="M35" i="13"/>
  <c r="Q35" i="13"/>
  <c r="Y12" i="13"/>
  <c r="O13" i="13"/>
  <c r="Y14" i="13"/>
  <c r="N12" i="13"/>
  <c r="N14" i="13"/>
  <c r="O19" i="13"/>
  <c r="P19" i="13"/>
  <c r="O30" i="13"/>
  <c r="N31" i="13"/>
  <c r="Y31" i="13"/>
  <c r="M32" i="13"/>
  <c r="U32" i="13" s="1"/>
  <c r="P33" i="13"/>
  <c r="A33" i="13" s="1"/>
  <c r="O34" i="13"/>
  <c r="N35" i="13"/>
  <c r="Y35" i="13"/>
  <c r="N36" i="13"/>
  <c r="Y36" i="13"/>
  <c r="M31" i="13"/>
  <c r="P30" i="13"/>
  <c r="A30" i="13" s="1"/>
  <c r="O31" i="13"/>
  <c r="M33" i="13"/>
  <c r="P34" i="13"/>
  <c r="O35" i="13"/>
  <c r="M30" i="13"/>
  <c r="P31" i="13"/>
  <c r="M34" i="13"/>
  <c r="U34" i="13" s="1"/>
  <c r="P35" i="13"/>
  <c r="A35" i="13" s="1"/>
  <c r="P36" i="13"/>
  <c r="A36" i="13" s="1"/>
  <c r="M19" i="13"/>
  <c r="Q19" i="13"/>
  <c r="N19" i="13"/>
  <c r="M18" i="13"/>
  <c r="U18" i="13" s="1"/>
  <c r="Q18" i="13"/>
  <c r="N18" i="13"/>
  <c r="R18" i="13" s="1"/>
  <c r="Y18" i="13"/>
  <c r="M16" i="13"/>
  <c r="Q16" i="13"/>
  <c r="N16" i="13"/>
  <c r="Y16" i="13"/>
  <c r="O16" i="13"/>
  <c r="P16" i="13"/>
  <c r="Y10" i="13"/>
  <c r="M11" i="13"/>
  <c r="Q11" i="13"/>
  <c r="P12" i="13"/>
  <c r="A12" i="13" s="1"/>
  <c r="M15" i="13"/>
  <c r="Q15" i="13"/>
  <c r="O10" i="13"/>
  <c r="N11" i="13"/>
  <c r="Y11" i="13"/>
  <c r="M12" i="13"/>
  <c r="U12" i="13" s="1"/>
  <c r="P13" i="13"/>
  <c r="O14" i="13"/>
  <c r="N15" i="13"/>
  <c r="Y15" i="13"/>
  <c r="N10" i="13"/>
  <c r="P10" i="13"/>
  <c r="O11" i="13"/>
  <c r="M13" i="13"/>
  <c r="Q13" i="13"/>
  <c r="P14" i="13"/>
  <c r="O15" i="13"/>
  <c r="M10" i="13"/>
  <c r="P11" i="13"/>
  <c r="M14" i="13"/>
  <c r="P15" i="13"/>
  <c r="A15" i="13" s="1"/>
  <c r="P29" i="13"/>
  <c r="A29" i="13" s="1"/>
  <c r="Q29" i="13"/>
  <c r="M29" i="13"/>
  <c r="U29" i="13" s="1"/>
  <c r="U48" i="13"/>
  <c r="R48" i="13"/>
  <c r="N29" i="13"/>
  <c r="Y29" i="13"/>
  <c r="M17" i="13"/>
  <c r="Q17" i="13"/>
  <c r="N17" i="13"/>
  <c r="Y17" i="13"/>
  <c r="O17" i="13"/>
  <c r="P17" i="13"/>
  <c r="S23" i="12" l="1"/>
  <c r="T23" i="12"/>
  <c r="Z23" i="12" s="1"/>
  <c r="S22" i="12"/>
  <c r="T22" i="12"/>
  <c r="Z22" i="12" s="1"/>
  <c r="AB22" i="12" s="1"/>
  <c r="S21" i="12"/>
  <c r="T21" i="12"/>
  <c r="Z21" i="12" s="1"/>
  <c r="S11" i="12"/>
  <c r="T11" i="12"/>
  <c r="U11" i="12"/>
  <c r="AB23" i="12"/>
  <c r="AB21" i="12"/>
  <c r="R9" i="12"/>
  <c r="R10" i="12"/>
  <c r="AA10" i="12"/>
  <c r="R5" i="11"/>
  <c r="S5" i="11" s="1"/>
  <c r="R4" i="11"/>
  <c r="S4" i="11" s="1"/>
  <c r="T4" i="11"/>
  <c r="Z4" i="11" s="1"/>
  <c r="AB4" i="11" s="1"/>
  <c r="AA5" i="11"/>
  <c r="AA15" i="11"/>
  <c r="AA16" i="11"/>
  <c r="R16" i="11"/>
  <c r="R15" i="11"/>
  <c r="U33" i="13"/>
  <c r="AA33" i="13" s="1"/>
  <c r="A32" i="13"/>
  <c r="U30" i="13"/>
  <c r="AA30" i="13" s="1"/>
  <c r="U10" i="13"/>
  <c r="AA10" i="13" s="1"/>
  <c r="U13" i="13"/>
  <c r="R19" i="13"/>
  <c r="T19" i="13" s="1"/>
  <c r="R38" i="13"/>
  <c r="T38" i="13" s="1"/>
  <c r="R37" i="13"/>
  <c r="T37" i="13" s="1"/>
  <c r="Z37" i="13" s="1"/>
  <c r="A38" i="13"/>
  <c r="A10" i="13"/>
  <c r="A19" i="13"/>
  <c r="U38" i="13"/>
  <c r="AA38" i="13" s="1"/>
  <c r="AA37" i="13"/>
  <c r="S37" i="13"/>
  <c r="R31" i="13"/>
  <c r="T31" i="13" s="1"/>
  <c r="R34" i="13"/>
  <c r="S34" i="13" s="1"/>
  <c r="U15" i="13"/>
  <c r="AA15" i="13" s="1"/>
  <c r="A16" i="13"/>
  <c r="U19" i="13"/>
  <c r="A31" i="13"/>
  <c r="A34" i="13"/>
  <c r="R33" i="13"/>
  <c r="R32" i="13"/>
  <c r="R35" i="13"/>
  <c r="AA32" i="13"/>
  <c r="U35" i="13"/>
  <c r="AA34" i="13"/>
  <c r="A11" i="13"/>
  <c r="A13" i="13"/>
  <c r="U31" i="13"/>
  <c r="R30" i="13"/>
  <c r="R36" i="13"/>
  <c r="S19" i="13"/>
  <c r="AA19" i="13"/>
  <c r="S18" i="13"/>
  <c r="T18" i="13"/>
  <c r="Z18" i="13" s="1"/>
  <c r="AA18" i="13"/>
  <c r="R16" i="13"/>
  <c r="U16" i="13"/>
  <c r="R14" i="13"/>
  <c r="S14" i="13" s="1"/>
  <c r="R15" i="13"/>
  <c r="AA13" i="13"/>
  <c r="R13" i="13"/>
  <c r="U14" i="13"/>
  <c r="R11" i="13"/>
  <c r="R10" i="13"/>
  <c r="R29" i="13"/>
  <c r="S29" i="13" s="1"/>
  <c r="A14" i="13"/>
  <c r="AA12" i="13"/>
  <c r="U11" i="13"/>
  <c r="R12" i="13"/>
  <c r="A17" i="13"/>
  <c r="AA29" i="13"/>
  <c r="R17" i="13"/>
  <c r="U17" i="13"/>
  <c r="U30" i="12"/>
  <c r="U29" i="12"/>
  <c r="R31" i="12"/>
  <c r="U31" i="12"/>
  <c r="R30" i="12"/>
  <c r="R29" i="12"/>
  <c r="AD22" i="12" l="1"/>
  <c r="AC22" i="12"/>
  <c r="AE22" i="12" s="1"/>
  <c r="AA11" i="12"/>
  <c r="Z11" i="12"/>
  <c r="AC21" i="12"/>
  <c r="AE21" i="12" s="1"/>
  <c r="AD21" i="12"/>
  <c r="S10" i="12"/>
  <c r="T10" i="12"/>
  <c r="Z10" i="12" s="1"/>
  <c r="AD23" i="12"/>
  <c r="AC23" i="12"/>
  <c r="AE23" i="12" s="1"/>
  <c r="S9" i="12"/>
  <c r="Z9" i="12"/>
  <c r="AB9" i="12" s="1"/>
  <c r="AB10" i="12"/>
  <c r="AD10" i="12" s="1"/>
  <c r="AD9" i="12"/>
  <c r="AC9" i="12"/>
  <c r="AE9" i="12" s="1"/>
  <c r="T5" i="11"/>
  <c r="Z5" i="11" s="1"/>
  <c r="AB5" i="11"/>
  <c r="AD4" i="11"/>
  <c r="AC4" i="11"/>
  <c r="S16" i="11"/>
  <c r="T16" i="11"/>
  <c r="Z16" i="11" s="1"/>
  <c r="AB16" i="11" s="1"/>
  <c r="S15" i="11"/>
  <c r="T15" i="11"/>
  <c r="Z15" i="11" s="1"/>
  <c r="AB15" i="11" s="1"/>
  <c r="Z38" i="13"/>
  <c r="S38" i="13"/>
  <c r="Z19" i="13"/>
  <c r="T14" i="13"/>
  <c r="AB38" i="13"/>
  <c r="AB37" i="13"/>
  <c r="T34" i="13"/>
  <c r="Z34" i="13" s="1"/>
  <c r="S31" i="13"/>
  <c r="T35" i="13"/>
  <c r="S35" i="13"/>
  <c r="Z31" i="13"/>
  <c r="AA31" i="13"/>
  <c r="AB31" i="13" s="1"/>
  <c r="Z35" i="13"/>
  <c r="AA35" i="13"/>
  <c r="AB35" i="13" s="1"/>
  <c r="S32" i="13"/>
  <c r="T32" i="13"/>
  <c r="Z32" i="13" s="1"/>
  <c r="AB32" i="13" s="1"/>
  <c r="T29" i="13"/>
  <c r="Z29" i="13" s="1"/>
  <c r="AB29" i="13" s="1"/>
  <c r="S33" i="13"/>
  <c r="T33" i="13"/>
  <c r="Z33" i="13" s="1"/>
  <c r="AB33" i="13" s="1"/>
  <c r="S36" i="13"/>
  <c r="T36" i="13"/>
  <c r="Z36" i="13" s="1"/>
  <c r="AB36" i="13" s="1"/>
  <c r="AB34" i="13"/>
  <c r="T30" i="13"/>
  <c r="Z30" i="13" s="1"/>
  <c r="AB30" i="13" s="1"/>
  <c r="S30" i="13"/>
  <c r="AB19" i="13"/>
  <c r="AB18" i="13"/>
  <c r="AA16" i="13"/>
  <c r="S16" i="13"/>
  <c r="T16" i="13"/>
  <c r="Z16" i="13" s="1"/>
  <c r="T11" i="13"/>
  <c r="Z11" i="13" s="1"/>
  <c r="S11" i="13"/>
  <c r="S12" i="13"/>
  <c r="T12" i="13"/>
  <c r="Z12" i="13" s="1"/>
  <c r="AB12" i="13" s="1"/>
  <c r="Z14" i="13"/>
  <c r="AA14" i="13"/>
  <c r="AA11" i="13"/>
  <c r="S15" i="13"/>
  <c r="T15" i="13"/>
  <c r="Z15" i="13" s="1"/>
  <c r="AB15" i="13" s="1"/>
  <c r="T10" i="13"/>
  <c r="Z10" i="13" s="1"/>
  <c r="AB10" i="13" s="1"/>
  <c r="S10" i="13"/>
  <c r="S13" i="13"/>
  <c r="T13" i="13"/>
  <c r="Z13" i="13" s="1"/>
  <c r="AB13" i="13" s="1"/>
  <c r="AA17" i="13"/>
  <c r="S17" i="13"/>
  <c r="T17" i="13"/>
  <c r="Z17" i="13" s="1"/>
  <c r="AB11" i="12" l="1"/>
  <c r="AC10" i="12"/>
  <c r="AE10" i="12" s="1"/>
  <c r="AE4" i="11"/>
  <c r="AD5" i="11"/>
  <c r="AC5" i="11"/>
  <c r="AD16" i="11"/>
  <c r="AC16" i="11"/>
  <c r="AD15" i="11"/>
  <c r="AC15" i="11"/>
  <c r="AD37" i="13"/>
  <c r="AC37" i="13"/>
  <c r="AE37" i="13" s="1"/>
  <c r="AD38" i="13"/>
  <c r="AC38" i="13"/>
  <c r="AE38" i="13" s="1"/>
  <c r="AD35" i="13"/>
  <c r="AC35" i="13"/>
  <c r="AE35" i="13" s="1"/>
  <c r="AD30" i="13"/>
  <c r="AC30" i="13"/>
  <c r="AE30" i="13" s="1"/>
  <c r="AC33" i="13"/>
  <c r="AE33" i="13" s="1"/>
  <c r="AD33" i="13"/>
  <c r="AD31" i="13"/>
  <c r="AC31" i="13"/>
  <c r="AE31" i="13" s="1"/>
  <c r="AD34" i="13"/>
  <c r="AC34" i="13"/>
  <c r="AE34" i="13" s="1"/>
  <c r="AD32" i="13"/>
  <c r="AC32" i="13"/>
  <c r="AE32" i="13" s="1"/>
  <c r="AD36" i="13"/>
  <c r="AC36" i="13"/>
  <c r="AE36" i="13" s="1"/>
  <c r="AC19" i="13"/>
  <c r="AE19" i="13" s="1"/>
  <c r="AD19" i="13"/>
  <c r="AC18" i="13"/>
  <c r="AE18" i="13" s="1"/>
  <c r="AD18" i="13"/>
  <c r="AB16" i="13"/>
  <c r="AB14" i="13"/>
  <c r="AD14" i="13" s="1"/>
  <c r="AB11" i="13"/>
  <c r="AC11" i="13" s="1"/>
  <c r="AE11" i="13" s="1"/>
  <c r="AD12" i="13"/>
  <c r="AC12" i="13"/>
  <c r="AE12" i="13" s="1"/>
  <c r="AD10" i="13"/>
  <c r="AC10" i="13"/>
  <c r="AE10" i="13" s="1"/>
  <c r="AC13" i="13"/>
  <c r="AE13" i="13" s="1"/>
  <c r="AD13" i="13"/>
  <c r="AD15" i="13"/>
  <c r="AC15" i="13"/>
  <c r="AE15" i="13" s="1"/>
  <c r="AD29" i="13"/>
  <c r="AC29" i="13"/>
  <c r="AE29" i="13" s="1"/>
  <c r="AB17" i="13"/>
  <c r="AD17" i="13" s="1"/>
  <c r="AD11" i="12" l="1"/>
  <c r="AC11" i="12"/>
  <c r="AE11" i="12" s="1"/>
  <c r="AE5" i="11"/>
  <c r="AE16" i="11"/>
  <c r="AE15" i="11"/>
  <c r="AD16" i="13"/>
  <c r="AC16" i="13"/>
  <c r="AE16" i="13" s="1"/>
  <c r="AD11" i="13"/>
  <c r="AC14" i="13"/>
  <c r="AE14" i="13" s="1"/>
  <c r="AC17" i="13"/>
  <c r="AE17" i="13" s="1"/>
  <c r="R29" i="15"/>
  <c r="R25" i="15"/>
  <c r="H21" i="15"/>
  <c r="F21" i="15"/>
  <c r="D21" i="15"/>
  <c r="B21" i="15"/>
  <c r="P21" i="15" s="1"/>
  <c r="H20" i="15"/>
  <c r="F20" i="15"/>
  <c r="D20" i="15"/>
  <c r="B20" i="15"/>
  <c r="R20" i="15" s="1"/>
  <c r="H19" i="15"/>
  <c r="F19" i="15"/>
  <c r="D19" i="15"/>
  <c r="B19" i="15"/>
  <c r="P19" i="15" s="1"/>
  <c r="H18" i="15"/>
  <c r="F18" i="15"/>
  <c r="D18" i="15"/>
  <c r="B18" i="15"/>
  <c r="R18" i="15" s="1"/>
  <c r="T17" i="15"/>
  <c r="H17" i="15"/>
  <c r="F17" i="15"/>
  <c r="D17" i="15"/>
  <c r="B17" i="15"/>
  <c r="O17" i="15" s="1"/>
  <c r="H16" i="15"/>
  <c r="F16" i="15"/>
  <c r="D16" i="15"/>
  <c r="B16" i="15"/>
  <c r="AB16" i="15" s="1"/>
  <c r="H15" i="15"/>
  <c r="F15" i="15"/>
  <c r="D15" i="15"/>
  <c r="B15" i="15"/>
  <c r="H10" i="15"/>
  <c r="F10" i="15"/>
  <c r="D10" i="15"/>
  <c r="B10" i="15"/>
  <c r="AB10" i="15" s="1"/>
  <c r="H9" i="15"/>
  <c r="F9" i="15"/>
  <c r="D9" i="15"/>
  <c r="B9" i="15"/>
  <c r="Q9" i="15" s="1"/>
  <c r="H8" i="15"/>
  <c r="F8" i="15"/>
  <c r="D8" i="15"/>
  <c r="B8" i="15"/>
  <c r="O29" i="15" s="1"/>
  <c r="H7" i="15"/>
  <c r="F7" i="15"/>
  <c r="D7" i="15"/>
  <c r="B7" i="15"/>
  <c r="O7" i="15" s="1"/>
  <c r="T6" i="15"/>
  <c r="H6" i="15"/>
  <c r="F6" i="15"/>
  <c r="D6" i="15"/>
  <c r="B6" i="15"/>
  <c r="R6" i="15" s="1"/>
  <c r="H5" i="15"/>
  <c r="F5" i="15"/>
  <c r="D5" i="15"/>
  <c r="B5" i="15"/>
  <c r="AB5" i="15" s="1"/>
  <c r="H4" i="15"/>
  <c r="F4" i="15"/>
  <c r="D4" i="15"/>
  <c r="B4" i="15"/>
  <c r="P4" i="15" s="1"/>
  <c r="U27" i="12"/>
  <c r="U28" i="12"/>
  <c r="U25" i="15" l="1"/>
  <c r="R26" i="15"/>
  <c r="U26" i="15"/>
  <c r="AB4" i="15"/>
  <c r="Q5" i="15"/>
  <c r="Q10" i="15"/>
  <c r="R27" i="15"/>
  <c r="R30" i="15"/>
  <c r="AB9" i="15"/>
  <c r="P8" i="15"/>
  <c r="R31" i="15"/>
  <c r="Q8" i="15"/>
  <c r="O10" i="15"/>
  <c r="P18" i="15"/>
  <c r="U29" i="15"/>
  <c r="U30" i="15"/>
  <c r="AB8" i="15"/>
  <c r="P20" i="15"/>
  <c r="O5" i="15"/>
  <c r="O8" i="15"/>
  <c r="P9" i="15"/>
  <c r="P16" i="15"/>
  <c r="AB6" i="15"/>
  <c r="O6" i="15"/>
  <c r="O27" i="15"/>
  <c r="Q6" i="15"/>
  <c r="P6" i="15"/>
  <c r="N6" i="15"/>
  <c r="O25" i="15"/>
  <c r="Q4" i="15"/>
  <c r="O4" i="15"/>
  <c r="N4" i="15"/>
  <c r="X4" i="15" s="1"/>
  <c r="P7" i="15"/>
  <c r="N16" i="15"/>
  <c r="R16" i="15"/>
  <c r="P17" i="15"/>
  <c r="AB17" i="15"/>
  <c r="O18" i="15"/>
  <c r="Q19" i="15"/>
  <c r="AB19" i="15"/>
  <c r="O20" i="15"/>
  <c r="Q21" i="15"/>
  <c r="AB21" i="15"/>
  <c r="O26" i="15"/>
  <c r="U27" i="15"/>
  <c r="R28" i="15"/>
  <c r="O30" i="15"/>
  <c r="U31" i="15"/>
  <c r="AB7" i="15"/>
  <c r="N9" i="15"/>
  <c r="X9" i="15" s="1"/>
  <c r="R9" i="15"/>
  <c r="P15" i="15"/>
  <c r="N5" i="15"/>
  <c r="R5" i="15"/>
  <c r="Q7" i="15"/>
  <c r="O9" i="15"/>
  <c r="U9" i="15" s="1"/>
  <c r="V9" i="15" s="1"/>
  <c r="N10" i="15"/>
  <c r="R10" i="15"/>
  <c r="Q15" i="15"/>
  <c r="AB15" i="15"/>
  <c r="O16" i="15"/>
  <c r="Q17" i="15"/>
  <c r="N19" i="15"/>
  <c r="X19" i="15" s="1"/>
  <c r="AD19" i="15" s="1"/>
  <c r="R19" i="15"/>
  <c r="N21" i="15"/>
  <c r="X21" i="15" s="1"/>
  <c r="R21" i="15"/>
  <c r="U28" i="15"/>
  <c r="O31" i="15"/>
  <c r="R7" i="15"/>
  <c r="R15" i="15"/>
  <c r="N17" i="15"/>
  <c r="X17" i="15" s="1"/>
  <c r="AD17" i="15" s="1"/>
  <c r="R17" i="15"/>
  <c r="Q18" i="15"/>
  <c r="AB18" i="15"/>
  <c r="O19" i="15"/>
  <c r="Q20" i="15"/>
  <c r="AB20" i="15"/>
  <c r="O21" i="15"/>
  <c r="AD21" i="15"/>
  <c r="O28" i="15"/>
  <c r="N7" i="15"/>
  <c r="N15" i="15"/>
  <c r="P5" i="15"/>
  <c r="N8" i="15"/>
  <c r="X8" i="15" s="1"/>
  <c r="R8" i="15"/>
  <c r="P10" i="15"/>
  <c r="O15" i="15"/>
  <c r="Q16" i="15"/>
  <c r="S16" i="15" s="1"/>
  <c r="T16" i="15" s="1"/>
  <c r="N18" i="15"/>
  <c r="X18" i="15" s="1"/>
  <c r="N20" i="15"/>
  <c r="X20" i="15" s="1"/>
  <c r="F28" i="13"/>
  <c r="D28" i="13"/>
  <c r="B28" i="13"/>
  <c r="F27" i="13"/>
  <c r="D27" i="13"/>
  <c r="B27" i="13"/>
  <c r="Y27" i="13" s="1"/>
  <c r="F26" i="13"/>
  <c r="D26" i="13"/>
  <c r="B26" i="13"/>
  <c r="F25" i="13"/>
  <c r="D25" i="13"/>
  <c r="B25" i="13"/>
  <c r="F24" i="13"/>
  <c r="D24" i="13"/>
  <c r="B24" i="13"/>
  <c r="Y24" i="13" s="1"/>
  <c r="F23" i="13"/>
  <c r="D23" i="13"/>
  <c r="B23" i="13"/>
  <c r="Y23" i="13" s="1"/>
  <c r="F20" i="12"/>
  <c r="D20" i="12"/>
  <c r="B20" i="12"/>
  <c r="P20" i="12" s="1"/>
  <c r="F19" i="12"/>
  <c r="D19" i="12"/>
  <c r="B19" i="12"/>
  <c r="Y19" i="12" s="1"/>
  <c r="F18" i="12"/>
  <c r="D18" i="12"/>
  <c r="B18" i="12"/>
  <c r="P18" i="12" s="1"/>
  <c r="F17" i="12"/>
  <c r="D17" i="12"/>
  <c r="B17" i="12"/>
  <c r="Y17" i="12" s="1"/>
  <c r="F16" i="12"/>
  <c r="D16" i="12"/>
  <c r="B16" i="12"/>
  <c r="P16" i="12" s="1"/>
  <c r="F21" i="11"/>
  <c r="D21" i="11"/>
  <c r="B21" i="11"/>
  <c r="P21" i="11" s="1"/>
  <c r="F20" i="11"/>
  <c r="D20" i="11"/>
  <c r="B20" i="11"/>
  <c r="P20" i="11" s="1"/>
  <c r="F19" i="11"/>
  <c r="D19" i="11"/>
  <c r="B19" i="11"/>
  <c r="N19" i="11" s="1"/>
  <c r="F18" i="11"/>
  <c r="D18" i="11"/>
  <c r="B18" i="11"/>
  <c r="Y18" i="11" s="1"/>
  <c r="F17" i="11"/>
  <c r="D17" i="11"/>
  <c r="B17" i="11"/>
  <c r="P17" i="11" s="1"/>
  <c r="T18" i="12" l="1"/>
  <c r="P26" i="13"/>
  <c r="X6" i="15"/>
  <c r="AC6" i="15" s="1"/>
  <c r="O23" i="13"/>
  <c r="N24" i="13"/>
  <c r="U19" i="15"/>
  <c r="AD8" i="15"/>
  <c r="M19" i="11"/>
  <c r="Y21" i="11"/>
  <c r="M17" i="11"/>
  <c r="Q17" i="11"/>
  <c r="Y17" i="11"/>
  <c r="Q19" i="11"/>
  <c r="S18" i="15"/>
  <c r="T18" i="15" s="1"/>
  <c r="AD9" i="15"/>
  <c r="U16" i="15"/>
  <c r="X15" i="15"/>
  <c r="AD15" i="15" s="1"/>
  <c r="S9" i="15"/>
  <c r="T9" i="15" s="1"/>
  <c r="U4" i="15"/>
  <c r="V4" i="15" s="1"/>
  <c r="U6" i="15"/>
  <c r="V6" i="15" s="1"/>
  <c r="U8" i="15"/>
  <c r="V8" i="15" s="1"/>
  <c r="U20" i="15"/>
  <c r="S8" i="15"/>
  <c r="T8" i="15" s="1"/>
  <c r="S21" i="15"/>
  <c r="T21" i="15" s="1"/>
  <c r="X16" i="15"/>
  <c r="AD16" i="15" s="1"/>
  <c r="AD4" i="15"/>
  <c r="V19" i="15"/>
  <c r="X10" i="15"/>
  <c r="AD20" i="15"/>
  <c r="X7" i="15"/>
  <c r="S15" i="15"/>
  <c r="T15" i="15" s="1"/>
  <c r="U15" i="15"/>
  <c r="S19" i="15"/>
  <c r="T19" i="15" s="1"/>
  <c r="AD6" i="15"/>
  <c r="AE6" i="15" s="1"/>
  <c r="S10" i="15"/>
  <c r="T10" i="15" s="1"/>
  <c r="U10" i="15"/>
  <c r="V10" i="15" s="1"/>
  <c r="S7" i="15"/>
  <c r="T7" i="15" s="1"/>
  <c r="U7" i="15"/>
  <c r="V7" i="15" s="1"/>
  <c r="U18" i="15"/>
  <c r="U5" i="15"/>
  <c r="V5" i="15" s="1"/>
  <c r="S5" i="15"/>
  <c r="T5" i="15" s="1"/>
  <c r="S20" i="15"/>
  <c r="T20" i="15" s="1"/>
  <c r="AD18" i="15"/>
  <c r="U17" i="15"/>
  <c r="W6" i="15" s="1"/>
  <c r="U21" i="15"/>
  <c r="W10" i="15" s="1"/>
  <c r="S4" i="15"/>
  <c r="T4" i="15" s="1"/>
  <c r="X5" i="15"/>
  <c r="N23" i="13"/>
  <c r="O27" i="13"/>
  <c r="N28" i="13"/>
  <c r="N27" i="13"/>
  <c r="O24" i="13"/>
  <c r="P25" i="13"/>
  <c r="P24" i="13"/>
  <c r="M25" i="13"/>
  <c r="Q25" i="13"/>
  <c r="Y25" i="13"/>
  <c r="N26" i="13"/>
  <c r="P28" i="13"/>
  <c r="P23" i="13"/>
  <c r="M24" i="13"/>
  <c r="Q24" i="13"/>
  <c r="N25" i="13"/>
  <c r="O26" i="13"/>
  <c r="P27" i="13"/>
  <c r="M28" i="13"/>
  <c r="Q28" i="13"/>
  <c r="Y28" i="13"/>
  <c r="M26" i="13"/>
  <c r="Q26" i="13"/>
  <c r="Y26" i="13"/>
  <c r="M23" i="13"/>
  <c r="U23" i="13" s="1"/>
  <c r="Q23" i="13"/>
  <c r="O25" i="13"/>
  <c r="M27" i="13"/>
  <c r="Q27" i="13"/>
  <c r="O28" i="13"/>
  <c r="O17" i="11"/>
  <c r="U17" i="11" s="1"/>
  <c r="AA17" i="11" s="1"/>
  <c r="Y19" i="11"/>
  <c r="M21" i="11"/>
  <c r="O21" i="11"/>
  <c r="O19" i="11"/>
  <c r="Q21" i="11"/>
  <c r="N19" i="12"/>
  <c r="N17" i="12"/>
  <c r="M16" i="12"/>
  <c r="Q16" i="12"/>
  <c r="Y16" i="12"/>
  <c r="O17" i="12"/>
  <c r="M18" i="12"/>
  <c r="Q18" i="12"/>
  <c r="Y18" i="12"/>
  <c r="O19" i="12"/>
  <c r="M20" i="12"/>
  <c r="Q20" i="12"/>
  <c r="Y20" i="12"/>
  <c r="P17" i="12"/>
  <c r="N18" i="12"/>
  <c r="P19" i="12"/>
  <c r="N20" i="12"/>
  <c r="N16" i="12"/>
  <c r="O16" i="12"/>
  <c r="M17" i="12"/>
  <c r="Q17" i="12"/>
  <c r="O18" i="12"/>
  <c r="R18" i="12" s="1"/>
  <c r="S18" i="12" s="1"/>
  <c r="M19" i="12"/>
  <c r="Q19" i="12"/>
  <c r="O20" i="12"/>
  <c r="N18" i="11"/>
  <c r="N17" i="11"/>
  <c r="R17" i="11" s="1"/>
  <c r="S17" i="11" s="1"/>
  <c r="O18" i="11"/>
  <c r="P19" i="11"/>
  <c r="M20" i="11"/>
  <c r="Q20" i="11"/>
  <c r="Y20" i="11"/>
  <c r="N21" i="11"/>
  <c r="N20" i="11"/>
  <c r="P18" i="11"/>
  <c r="M18" i="11"/>
  <c r="Q18" i="11"/>
  <c r="O20" i="11"/>
  <c r="R20" i="11" s="1"/>
  <c r="S20" i="11" s="1"/>
  <c r="U19" i="11" l="1"/>
  <c r="A26" i="13"/>
  <c r="R25" i="13"/>
  <c r="S25" i="13" s="1"/>
  <c r="A24" i="13"/>
  <c r="W8" i="15"/>
  <c r="AC8" i="15" s="1"/>
  <c r="AE8" i="15" s="1"/>
  <c r="AC15" i="15"/>
  <c r="AE15" i="15" s="1"/>
  <c r="W4" i="15"/>
  <c r="AC4" i="15" s="1"/>
  <c r="AE4" i="15" s="1"/>
  <c r="AG4" i="15" s="1"/>
  <c r="V16" i="15"/>
  <c r="W5" i="15"/>
  <c r="AC5" i="15" s="1"/>
  <c r="V20" i="15"/>
  <c r="W9" i="15"/>
  <c r="AC9" i="15" s="1"/>
  <c r="W7" i="15"/>
  <c r="AE9" i="15"/>
  <c r="AG9" i="15" s="1"/>
  <c r="R27" i="13"/>
  <c r="T27" i="13" s="1"/>
  <c r="A27" i="13"/>
  <c r="A25" i="13"/>
  <c r="R23" i="13"/>
  <c r="T23" i="13" s="1"/>
  <c r="Z23" i="13" s="1"/>
  <c r="A23" i="13"/>
  <c r="A28" i="13"/>
  <c r="R28" i="13"/>
  <c r="U27" i="13"/>
  <c r="AA27" i="13" s="1"/>
  <c r="R20" i="12"/>
  <c r="S20" i="12" s="1"/>
  <c r="W16" i="15"/>
  <c r="AC16" i="15" s="1"/>
  <c r="AE16" i="15" s="1"/>
  <c r="AG16" i="15" s="1"/>
  <c r="R21" i="11"/>
  <c r="S21" i="11" s="1"/>
  <c r="W20" i="15"/>
  <c r="AC20" i="15" s="1"/>
  <c r="AE20" i="15" s="1"/>
  <c r="W19" i="15"/>
  <c r="AC19" i="15" s="1"/>
  <c r="AE19" i="15" s="1"/>
  <c r="AG19" i="15" s="1"/>
  <c r="AF16" i="15"/>
  <c r="AH16" i="15" s="1"/>
  <c r="AD5" i="15"/>
  <c r="W17" i="15"/>
  <c r="AC17" i="15" s="1"/>
  <c r="AE17" i="15" s="1"/>
  <c r="V17" i="15"/>
  <c r="V18" i="15"/>
  <c r="W18" i="15"/>
  <c r="AC18" i="15" s="1"/>
  <c r="AE18" i="15" s="1"/>
  <c r="AC10" i="15"/>
  <c r="AD10" i="15"/>
  <c r="AF6" i="15"/>
  <c r="AH6" i="15" s="1"/>
  <c r="AG6" i="15"/>
  <c r="V21" i="15"/>
  <c r="W21" i="15"/>
  <c r="AC21" i="15" s="1"/>
  <c r="AE21" i="15" s="1"/>
  <c r="V15" i="15"/>
  <c r="AC7" i="15"/>
  <c r="AD7" i="15"/>
  <c r="R24" i="13"/>
  <c r="U24" i="13"/>
  <c r="AA24" i="13" s="1"/>
  <c r="U28" i="13"/>
  <c r="AA23" i="13"/>
  <c r="R26" i="13"/>
  <c r="U26" i="13"/>
  <c r="U25" i="13"/>
  <c r="R16" i="12"/>
  <c r="T16" i="12" s="1"/>
  <c r="AA19" i="11"/>
  <c r="R19" i="11"/>
  <c r="T20" i="11"/>
  <c r="U21" i="11"/>
  <c r="T17" i="11"/>
  <c r="Z17" i="11" s="1"/>
  <c r="AB17" i="11" s="1"/>
  <c r="AD17" i="11" s="1"/>
  <c r="U17" i="12"/>
  <c r="U16" i="12"/>
  <c r="R17" i="12"/>
  <c r="R19" i="12"/>
  <c r="U19" i="12"/>
  <c r="U20" i="12"/>
  <c r="U18" i="12"/>
  <c r="R18" i="11"/>
  <c r="U18" i="11"/>
  <c r="U20" i="11"/>
  <c r="T20" i="12" l="1"/>
  <c r="T21" i="11"/>
  <c r="Z21" i="11" s="1"/>
  <c r="T25" i="13"/>
  <c r="S27" i="13"/>
  <c r="S28" i="13"/>
  <c r="T28" i="13"/>
  <c r="Z28" i="13" s="1"/>
  <c r="S23" i="13"/>
  <c r="AF8" i="15"/>
  <c r="AH8" i="15" s="1"/>
  <c r="AG8" i="15"/>
  <c r="AF4" i="15"/>
  <c r="AH4" i="15" s="1"/>
  <c r="AF9" i="15"/>
  <c r="AH9" i="15" s="1"/>
  <c r="Z27" i="13"/>
  <c r="AB27" i="13" s="1"/>
  <c r="AE5" i="15"/>
  <c r="AF5" i="15" s="1"/>
  <c r="AH5" i="15" s="1"/>
  <c r="AE10" i="15"/>
  <c r="AF10" i="15" s="1"/>
  <c r="AH10" i="15" s="1"/>
  <c r="AF20" i="15"/>
  <c r="AH20" i="15" s="1"/>
  <c r="AG20" i="15"/>
  <c r="AF19" i="15"/>
  <c r="AH19" i="15" s="1"/>
  <c r="AG18" i="15"/>
  <c r="AF18" i="15"/>
  <c r="AH18" i="15" s="1"/>
  <c r="AE7" i="15"/>
  <c r="AG21" i="15"/>
  <c r="AF21" i="15"/>
  <c r="AH21" i="15" s="1"/>
  <c r="AG15" i="15"/>
  <c r="AF15" i="15"/>
  <c r="AH15" i="15" s="1"/>
  <c r="AG17" i="15"/>
  <c r="AF17" i="15"/>
  <c r="AH17" i="15" s="1"/>
  <c r="S26" i="13"/>
  <c r="T26" i="13"/>
  <c r="Z26" i="13" s="1"/>
  <c r="S24" i="13"/>
  <c r="T24" i="13"/>
  <c r="Z24" i="13" s="1"/>
  <c r="AB24" i="13" s="1"/>
  <c r="Z25" i="13"/>
  <c r="AA25" i="13"/>
  <c r="AB23" i="13"/>
  <c r="AA26" i="13"/>
  <c r="AA28" i="13"/>
  <c r="S19" i="12"/>
  <c r="T19" i="12"/>
  <c r="Z19" i="12" s="1"/>
  <c r="S17" i="12"/>
  <c r="T17" i="12"/>
  <c r="Z17" i="12" s="1"/>
  <c r="S16" i="12"/>
  <c r="Z16" i="12"/>
  <c r="S19" i="11"/>
  <c r="T19" i="11"/>
  <c r="Z19" i="11" s="1"/>
  <c r="AB19" i="11" s="1"/>
  <c r="AC17" i="11"/>
  <c r="S18" i="11"/>
  <c r="Z18" i="11"/>
  <c r="AA21" i="11"/>
  <c r="AA16" i="12"/>
  <c r="AA17" i="12"/>
  <c r="AA19" i="12"/>
  <c r="Z18" i="12"/>
  <c r="AA18" i="12"/>
  <c r="Z20" i="12"/>
  <c r="AA20" i="12"/>
  <c r="Z20" i="11"/>
  <c r="AA20" i="11"/>
  <c r="AB20" i="11" s="1"/>
  <c r="AE17" i="11"/>
  <c r="AA18" i="11"/>
  <c r="AD27" i="13" l="1"/>
  <c r="AC27" i="13"/>
  <c r="AE27" i="13" s="1"/>
  <c r="AB25" i="13"/>
  <c r="AC25" i="13" s="1"/>
  <c r="AE25" i="13" s="1"/>
  <c r="AB17" i="12"/>
  <c r="AD17" i="12" s="1"/>
  <c r="AB16" i="12"/>
  <c r="AD16" i="12" s="1"/>
  <c r="AB21" i="11"/>
  <c r="AC21" i="11" s="1"/>
  <c r="AG10" i="15"/>
  <c r="AG5" i="15"/>
  <c r="AG7" i="15"/>
  <c r="AF7" i="15"/>
  <c r="AH7" i="15" s="1"/>
  <c r="AC24" i="13"/>
  <c r="AE24" i="13" s="1"/>
  <c r="AD24" i="13"/>
  <c r="AB26" i="13"/>
  <c r="AD26" i="13" s="1"/>
  <c r="AB28" i="13"/>
  <c r="AC23" i="13"/>
  <c r="AE23" i="13" s="1"/>
  <c r="AD23" i="13"/>
  <c r="AD19" i="11"/>
  <c r="AE19" i="11" s="1"/>
  <c r="AC19" i="11"/>
  <c r="AB18" i="12"/>
  <c r="AD18" i="12" s="1"/>
  <c r="AB19" i="12"/>
  <c r="AD19" i="12" s="1"/>
  <c r="AB20" i="12"/>
  <c r="AD20" i="11"/>
  <c r="AC20" i="11"/>
  <c r="AB18" i="11"/>
  <c r="AC17" i="12" l="1"/>
  <c r="AE17" i="12" s="1"/>
  <c r="AD21" i="11"/>
  <c r="AE21" i="11" s="1"/>
  <c r="AD25" i="13"/>
  <c r="AC26" i="13"/>
  <c r="AE26" i="13" s="1"/>
  <c r="AC16" i="12"/>
  <c r="AE16" i="12" s="1"/>
  <c r="AD28" i="13"/>
  <c r="AC28" i="13"/>
  <c r="AE28" i="13" s="1"/>
  <c r="AC19" i="12"/>
  <c r="AE19" i="12" s="1"/>
  <c r="AC18" i="12"/>
  <c r="AE18" i="12" s="1"/>
  <c r="AD20" i="12"/>
  <c r="AC20" i="12"/>
  <c r="AE20" i="12" s="1"/>
  <c r="AE20" i="11"/>
  <c r="AC18" i="11"/>
  <c r="AD18" i="11"/>
  <c r="AE18" i="11" l="1"/>
  <c r="V37" i="11" l="1"/>
  <c r="R37" i="11"/>
  <c r="X37" i="11" l="1"/>
  <c r="S37" i="11"/>
  <c r="I43" i="13" l="1"/>
  <c r="I44" i="13"/>
  <c r="I45" i="13"/>
  <c r="I46" i="13"/>
  <c r="I47" i="13"/>
  <c r="I42" i="13"/>
  <c r="I6" i="13"/>
  <c r="I5" i="13"/>
  <c r="I4" i="13"/>
  <c r="R47" i="13"/>
  <c r="R46" i="13"/>
  <c r="R45" i="13"/>
  <c r="R43" i="13"/>
  <c r="R42" i="13"/>
  <c r="F9" i="13"/>
  <c r="D9" i="13"/>
  <c r="B9" i="13"/>
  <c r="O47" i="13" s="1"/>
  <c r="F8" i="13"/>
  <c r="D8" i="13"/>
  <c r="B8" i="13"/>
  <c r="O46" i="13" s="1"/>
  <c r="F7" i="13"/>
  <c r="D7" i="13"/>
  <c r="B7" i="13"/>
  <c r="O45" i="13" s="1"/>
  <c r="F6" i="13"/>
  <c r="D6" i="13"/>
  <c r="B6" i="13"/>
  <c r="F5" i="13"/>
  <c r="D5" i="13"/>
  <c r="B5" i="13"/>
  <c r="Q5" i="13" s="1"/>
  <c r="F4" i="13"/>
  <c r="D4" i="13"/>
  <c r="B4" i="13"/>
  <c r="M4" i="13" l="1"/>
  <c r="Q4" i="13"/>
  <c r="Y8" i="13"/>
  <c r="Q8" i="13"/>
  <c r="Y7" i="13"/>
  <c r="Q7" i="13"/>
  <c r="Y6" i="13"/>
  <c r="Q6" i="13"/>
  <c r="O43" i="13"/>
  <c r="Q9" i="13"/>
  <c r="U43" i="13"/>
  <c r="U46" i="13"/>
  <c r="U47" i="13"/>
  <c r="U44" i="13"/>
  <c r="N4" i="13"/>
  <c r="Y4" i="13"/>
  <c r="N5" i="13"/>
  <c r="Y5" i="13"/>
  <c r="O4" i="13"/>
  <c r="O5" i="13"/>
  <c r="O6" i="13"/>
  <c r="O7" i="13"/>
  <c r="O8" i="13"/>
  <c r="O9" i="13"/>
  <c r="O42" i="13"/>
  <c r="R44" i="13"/>
  <c r="U45" i="13"/>
  <c r="M6" i="13"/>
  <c r="M9" i="13"/>
  <c r="P4" i="13"/>
  <c r="P5" i="13"/>
  <c r="A5" i="13" s="1"/>
  <c r="P6" i="13"/>
  <c r="P7" i="13"/>
  <c r="A7" i="13" s="1"/>
  <c r="P8" i="13"/>
  <c r="P9" i="13"/>
  <c r="A9" i="13" s="1"/>
  <c r="M7" i="13"/>
  <c r="M8" i="13"/>
  <c r="O44" i="13"/>
  <c r="M5" i="13"/>
  <c r="N6" i="13"/>
  <c r="N7" i="13"/>
  <c r="N8" i="13"/>
  <c r="N9" i="13"/>
  <c r="Y9" i="13"/>
  <c r="B8" i="12"/>
  <c r="O31" i="12" s="1"/>
  <c r="F8" i="12"/>
  <c r="D8" i="12"/>
  <c r="F7" i="12"/>
  <c r="D7" i="12"/>
  <c r="B7" i="12"/>
  <c r="F6" i="12"/>
  <c r="D6" i="12"/>
  <c r="B6" i="12"/>
  <c r="F5" i="12"/>
  <c r="D5" i="12"/>
  <c r="B5" i="12"/>
  <c r="O28" i="12" s="1"/>
  <c r="F4" i="12"/>
  <c r="D4" i="12"/>
  <c r="B4" i="12"/>
  <c r="R31" i="11"/>
  <c r="R30" i="11"/>
  <c r="F10" i="11"/>
  <c r="D10" i="11"/>
  <c r="B10" i="11"/>
  <c r="Y10" i="11" s="1"/>
  <c r="F9" i="11"/>
  <c r="D9" i="11"/>
  <c r="B9" i="11"/>
  <c r="M9" i="11" s="1"/>
  <c r="F8" i="11"/>
  <c r="D8" i="11"/>
  <c r="B8" i="11"/>
  <c r="F7" i="11"/>
  <c r="D7" i="11"/>
  <c r="B7" i="11"/>
  <c r="M7" i="11" s="1"/>
  <c r="R28" i="11"/>
  <c r="Y6" i="12" l="1"/>
  <c r="O29" i="12"/>
  <c r="Y7" i="12"/>
  <c r="O30" i="12"/>
  <c r="Q4" i="12"/>
  <c r="O27" i="12"/>
  <c r="A8" i="13"/>
  <c r="A4" i="13"/>
  <c r="A6" i="13"/>
  <c r="R6" i="13"/>
  <c r="T6" i="13" s="1"/>
  <c r="R8" i="13"/>
  <c r="T8" i="13" s="1"/>
  <c r="R7" i="13"/>
  <c r="T7" i="13" s="1"/>
  <c r="R9" i="13"/>
  <c r="R5" i="13"/>
  <c r="T5" i="13" s="1"/>
  <c r="R4" i="13"/>
  <c r="T4" i="13" s="1"/>
  <c r="U32" i="11"/>
  <c r="R32" i="11"/>
  <c r="U7" i="13"/>
  <c r="AA7" i="13" s="1"/>
  <c r="U8" i="13"/>
  <c r="AA8" i="13" s="1"/>
  <c r="U5" i="13"/>
  <c r="U6" i="13"/>
  <c r="U9" i="13"/>
  <c r="Q8" i="12"/>
  <c r="O8" i="12"/>
  <c r="M8" i="12"/>
  <c r="M6" i="12"/>
  <c r="M4" i="12"/>
  <c r="O6" i="12"/>
  <c r="Q7" i="12"/>
  <c r="R27" i="12"/>
  <c r="P6" i="12"/>
  <c r="P7" i="12"/>
  <c r="Q6" i="12"/>
  <c r="M7" i="12"/>
  <c r="R28" i="12"/>
  <c r="N5" i="12"/>
  <c r="Y5" i="12"/>
  <c r="N8" i="12"/>
  <c r="Y8" i="12"/>
  <c r="P4" i="12"/>
  <c r="M5" i="12"/>
  <c r="Q5" i="12"/>
  <c r="N6" i="12"/>
  <c r="O7" i="12"/>
  <c r="P8" i="12"/>
  <c r="N4" i="12"/>
  <c r="Y4" i="12"/>
  <c r="O5" i="12"/>
  <c r="O4" i="12"/>
  <c r="P5" i="12"/>
  <c r="N7" i="12"/>
  <c r="M10" i="11"/>
  <c r="Q9" i="11"/>
  <c r="O10" i="11"/>
  <c r="Q7" i="11"/>
  <c r="P10" i="11"/>
  <c r="Q10" i="11"/>
  <c r="N10" i="11"/>
  <c r="O9" i="11"/>
  <c r="N9" i="11"/>
  <c r="Y9" i="11"/>
  <c r="P9" i="11"/>
  <c r="M8" i="11"/>
  <c r="Q8" i="11"/>
  <c r="N8" i="11"/>
  <c r="Y8" i="11"/>
  <c r="O8" i="11"/>
  <c r="P8" i="11"/>
  <c r="N7" i="11"/>
  <c r="Y7" i="11"/>
  <c r="O7" i="11"/>
  <c r="U7" i="11" s="1"/>
  <c r="P7" i="11"/>
  <c r="U28" i="11"/>
  <c r="R29" i="11"/>
  <c r="S9" i="13" l="1"/>
  <c r="T9" i="13"/>
  <c r="Z9" i="13" s="1"/>
  <c r="R8" i="12"/>
  <c r="U8" i="12"/>
  <c r="AA8" i="12" s="1"/>
  <c r="S6" i="13"/>
  <c r="Z6" i="13"/>
  <c r="AA4" i="13"/>
  <c r="AA6" i="13"/>
  <c r="AA5" i="13"/>
  <c r="AA9" i="13"/>
  <c r="S8" i="13"/>
  <c r="Z8" i="13"/>
  <c r="AB8" i="13" s="1"/>
  <c r="S7" i="13"/>
  <c r="Z7" i="13"/>
  <c r="AB7" i="13" s="1"/>
  <c r="S4" i="13"/>
  <c r="Z4" i="13"/>
  <c r="S5" i="13"/>
  <c r="Z5" i="13"/>
  <c r="U6" i="12"/>
  <c r="AA6" i="12" s="1"/>
  <c r="R6" i="12"/>
  <c r="U7" i="12"/>
  <c r="AA7" i="12" s="1"/>
  <c r="R4" i="12"/>
  <c r="R5" i="12"/>
  <c r="U5" i="12"/>
  <c r="R7" i="12"/>
  <c r="T7" i="12" s="1"/>
  <c r="U4" i="12"/>
  <c r="R10" i="11"/>
  <c r="U10" i="11"/>
  <c r="AA10" i="11" s="1"/>
  <c r="R9" i="11"/>
  <c r="U9" i="11"/>
  <c r="R8" i="11"/>
  <c r="T8" i="11" s="1"/>
  <c r="U8" i="11"/>
  <c r="R7" i="11"/>
  <c r="T7" i="11" s="1"/>
  <c r="AA7" i="11"/>
  <c r="U29" i="11"/>
  <c r="U30" i="11"/>
  <c r="S8" i="12" l="1"/>
  <c r="T8" i="12"/>
  <c r="S6" i="12"/>
  <c r="T6" i="12"/>
  <c r="Z6" i="12" s="1"/>
  <c r="AB6" i="12" s="1"/>
  <c r="S5" i="12"/>
  <c r="T5" i="12"/>
  <c r="S4" i="12"/>
  <c r="T4" i="12"/>
  <c r="Z4" i="12" s="1"/>
  <c r="S10" i="11"/>
  <c r="T10" i="11"/>
  <c r="S9" i="11"/>
  <c r="T9" i="11"/>
  <c r="Z9" i="11" s="1"/>
  <c r="Z8" i="12"/>
  <c r="AB8" i="12" s="1"/>
  <c r="AC8" i="12" s="1"/>
  <c r="AE8" i="12" s="1"/>
  <c r="AC7" i="13"/>
  <c r="AE7" i="13" s="1"/>
  <c r="AD7" i="13"/>
  <c r="AC8" i="13"/>
  <c r="AE8" i="13" s="1"/>
  <c r="AD8" i="13"/>
  <c r="AB9" i="13"/>
  <c r="AB5" i="13"/>
  <c r="AB6" i="13"/>
  <c r="AB4" i="13"/>
  <c r="Z10" i="11"/>
  <c r="AB10" i="11" s="1"/>
  <c r="Z5" i="12"/>
  <c r="S7" i="12"/>
  <c r="Z7" i="12"/>
  <c r="AB7" i="12" s="1"/>
  <c r="AA4" i="12"/>
  <c r="AA5" i="12"/>
  <c r="AA9" i="11"/>
  <c r="AA8" i="11"/>
  <c r="S8" i="11"/>
  <c r="Z8" i="11"/>
  <c r="S7" i="11"/>
  <c r="Z7" i="11"/>
  <c r="AB7" i="11" s="1"/>
  <c r="U31" i="11"/>
  <c r="AC10" i="11" l="1"/>
  <c r="AD10" i="11"/>
  <c r="AD8" i="12"/>
  <c r="AC6" i="12"/>
  <c r="AE6" i="12" s="1"/>
  <c r="AD6" i="12"/>
  <c r="AD4" i="13"/>
  <c r="AC4" i="13"/>
  <c r="AE4" i="13" s="1"/>
  <c r="AC5" i="13"/>
  <c r="AE5" i="13" s="1"/>
  <c r="AD5" i="13"/>
  <c r="AC9" i="13"/>
  <c r="AE9" i="13" s="1"/>
  <c r="AD9" i="13"/>
  <c r="AC6" i="13"/>
  <c r="AE6" i="13" s="1"/>
  <c r="AD6" i="13"/>
  <c r="AB5" i="12"/>
  <c r="AC5" i="12" s="1"/>
  <c r="AE5" i="12" s="1"/>
  <c r="AC7" i="12"/>
  <c r="AE7" i="12" s="1"/>
  <c r="AD7" i="12"/>
  <c r="AB4" i="12"/>
  <c r="AB9" i="11"/>
  <c r="AD9" i="11" s="1"/>
  <c r="AB8" i="11"/>
  <c r="AD7" i="11"/>
  <c r="AC7" i="11"/>
  <c r="AE7" i="11" l="1"/>
  <c r="AE10" i="11"/>
  <c r="AE9" i="11"/>
  <c r="AD5" i="12"/>
  <c r="AD4" i="12"/>
  <c r="AC4" i="12"/>
  <c r="AE4" i="12" s="1"/>
  <c r="AC9" i="11"/>
  <c r="AC8" i="11"/>
  <c r="AD8" i="11"/>
  <c r="AE8" i="11" l="1"/>
  <c r="F6" i="11" l="1"/>
  <c r="D6" i="11"/>
  <c r="B6" i="11"/>
  <c r="P6" i="11" l="1"/>
  <c r="Y6" i="11"/>
  <c r="M6" i="11"/>
  <c r="O6" i="11"/>
  <c r="Q6" i="11"/>
  <c r="N6" i="11"/>
  <c r="R6" i="11" l="1"/>
  <c r="U6" i="11"/>
  <c r="AA6" i="11" l="1"/>
  <c r="Z6" i="11"/>
  <c r="S6" i="11"/>
  <c r="AB6" i="11" l="1"/>
  <c r="AD6" i="11" s="1"/>
  <c r="AC6" i="11" l="1"/>
  <c r="AE6" i="11"/>
</calcChain>
</file>

<file path=xl/sharedStrings.xml><?xml version="1.0" encoding="utf-8"?>
<sst xmlns="http://schemas.openxmlformats.org/spreadsheetml/2006/main" count="404" uniqueCount="93">
  <si>
    <t>Dc</t>
    <phoneticPr fontId="1" type="noConversion"/>
  </si>
  <si>
    <t>Tc</t>
    <phoneticPr fontId="1" type="noConversion"/>
  </si>
  <si>
    <t>Ac</t>
    <phoneticPr fontId="1" type="noConversion"/>
  </si>
  <si>
    <t>圆周率</t>
    <phoneticPr fontId="1" type="noConversion"/>
  </si>
  <si>
    <t>b</t>
    <phoneticPr fontId="1" type="noConversion"/>
  </si>
  <si>
    <t>h</t>
    <phoneticPr fontId="1" type="noConversion"/>
  </si>
  <si>
    <t>Ic</t>
    <phoneticPr fontId="1" type="noConversion"/>
  </si>
  <si>
    <t>Lc</t>
    <phoneticPr fontId="1" type="noConversion"/>
  </si>
  <si>
    <t>Dt</t>
    <phoneticPr fontId="1" type="noConversion"/>
  </si>
  <si>
    <t>Tt</t>
    <phoneticPr fontId="1" type="noConversion"/>
  </si>
  <si>
    <t>It</t>
    <phoneticPr fontId="1" type="noConversion"/>
  </si>
  <si>
    <t>E</t>
    <phoneticPr fontId="1" type="noConversion"/>
  </si>
  <si>
    <t>Kv</t>
    <phoneticPr fontId="1" type="noConversion"/>
  </si>
  <si>
    <t>ri</t>
    <phoneticPr fontId="1" type="noConversion"/>
  </si>
  <si>
    <t>GJ</t>
    <phoneticPr fontId="1" type="noConversion"/>
  </si>
  <si>
    <t>At</t>
    <phoneticPr fontId="1" type="noConversion"/>
  </si>
  <si>
    <t>Ip</t>
    <phoneticPr fontId="1" type="noConversion"/>
  </si>
  <si>
    <t>2Kv</t>
    <phoneticPr fontId="1" type="noConversion"/>
  </si>
  <si>
    <t>G</t>
    <phoneticPr fontId="1" type="noConversion"/>
  </si>
  <si>
    <t>S</t>
    <phoneticPr fontId="1" type="noConversion"/>
  </si>
  <si>
    <t>考虑腹板剪切应变</t>
    <phoneticPr fontId="1" type="noConversion"/>
  </si>
  <si>
    <t>EIy</t>
    <phoneticPr fontId="1" type="noConversion"/>
  </si>
  <si>
    <t>R</t>
    <phoneticPr fontId="1" type="noConversion"/>
  </si>
  <si>
    <t>角度</t>
    <phoneticPr fontId="1" type="noConversion"/>
  </si>
  <si>
    <t>μ</t>
    <phoneticPr fontId="1" type="noConversion"/>
  </si>
  <si>
    <t>Py</t>
    <phoneticPr fontId="1" type="noConversion"/>
  </si>
  <si>
    <t>Ncr0</t>
    <phoneticPr fontId="1" type="noConversion"/>
  </si>
  <si>
    <t>Ncr</t>
    <phoneticPr fontId="1" type="noConversion"/>
  </si>
  <si>
    <t>F</t>
    <phoneticPr fontId="1" type="noConversion"/>
  </si>
  <si>
    <t>q</t>
    <phoneticPr fontId="1" type="noConversion"/>
  </si>
  <si>
    <t>N</t>
    <phoneticPr fontId="1" type="noConversion"/>
  </si>
  <si>
    <t>rad</t>
    <phoneticPr fontId="1" type="noConversion"/>
  </si>
  <si>
    <t>L=40</t>
    <phoneticPr fontId="1" type="noConversion"/>
  </si>
  <si>
    <t>qcr</t>
    <phoneticPr fontId="1" type="noConversion"/>
  </si>
  <si>
    <t>qcr0</t>
    <phoneticPr fontId="1" type="noConversion"/>
  </si>
  <si>
    <t>abaqus</t>
    <phoneticPr fontId="1" type="noConversion"/>
  </si>
  <si>
    <t xml:space="preserve"> </t>
    <phoneticPr fontId="1" type="noConversion"/>
  </si>
  <si>
    <t>L=50</t>
    <phoneticPr fontId="1" type="noConversion"/>
  </si>
  <si>
    <t>L=60</t>
  </si>
  <si>
    <t>L=70</t>
  </si>
  <si>
    <t>L=80</t>
  </si>
  <si>
    <t>x</t>
    <phoneticPr fontId="1" type="noConversion"/>
  </si>
  <si>
    <t>y</t>
    <phoneticPr fontId="1" type="noConversion"/>
  </si>
  <si>
    <t>误差</t>
    <phoneticPr fontId="1" type="noConversion"/>
  </si>
  <si>
    <t>Lc=1.0</t>
    <phoneticPr fontId="1" type="noConversion"/>
  </si>
  <si>
    <t>Lc=2.0</t>
    <phoneticPr fontId="1" type="noConversion"/>
  </si>
  <si>
    <t>腹杆半径</t>
    <phoneticPr fontId="1" type="noConversion"/>
  </si>
  <si>
    <t>Lt=0.5Lc</t>
    <phoneticPr fontId="1" type="noConversion"/>
  </si>
  <si>
    <t>Lt=0.6Lc</t>
    <phoneticPr fontId="1" type="noConversion"/>
  </si>
  <si>
    <t>Lt=0.7Lc</t>
    <phoneticPr fontId="1" type="noConversion"/>
  </si>
  <si>
    <t>Lt=0.8Lc</t>
    <phoneticPr fontId="1" type="noConversion"/>
  </si>
  <si>
    <t>Lt=0.9Lc</t>
    <phoneticPr fontId="1" type="noConversion"/>
  </si>
  <si>
    <t>Lt=1.0Lc</t>
    <phoneticPr fontId="1" type="noConversion"/>
  </si>
  <si>
    <t>腹杆直径</t>
    <phoneticPr fontId="1" type="noConversion"/>
  </si>
  <si>
    <t>B=0.5</t>
    <phoneticPr fontId="1" type="noConversion"/>
  </si>
  <si>
    <t>B=0.75</t>
    <phoneticPr fontId="1" type="noConversion"/>
  </si>
  <si>
    <t>B=1.0</t>
    <phoneticPr fontId="1" type="noConversion"/>
  </si>
  <si>
    <t>B=1.25</t>
    <phoneticPr fontId="1" type="noConversion"/>
  </si>
  <si>
    <t>B=1.5</t>
    <phoneticPr fontId="1" type="noConversion"/>
  </si>
  <si>
    <t>B=1.75</t>
    <phoneticPr fontId="1" type="noConversion"/>
  </si>
  <si>
    <t>B=2.0</t>
    <phoneticPr fontId="1" type="noConversion"/>
  </si>
  <si>
    <t>KvB</t>
    <phoneticPr fontId="1" type="noConversion"/>
  </si>
  <si>
    <t>2KvB</t>
    <phoneticPr fontId="1" type="noConversion"/>
  </si>
  <si>
    <t>KvH</t>
    <phoneticPr fontId="1" type="noConversion"/>
  </si>
  <si>
    <t>2KvH</t>
    <phoneticPr fontId="1" type="noConversion"/>
  </si>
  <si>
    <t>riB</t>
    <phoneticPr fontId="1" type="noConversion"/>
  </si>
  <si>
    <t>riH</t>
    <phoneticPr fontId="1" type="noConversion"/>
  </si>
  <si>
    <t>qcr0</t>
  </si>
  <si>
    <t>qcr</t>
  </si>
  <si>
    <t>扭矩</t>
    <phoneticPr fontId="1" type="noConversion"/>
  </si>
  <si>
    <t>扭转角</t>
    <phoneticPr fontId="1" type="noConversion"/>
  </si>
  <si>
    <t>考虑弦杆扭转</t>
    <phoneticPr fontId="1" type="noConversion"/>
  </si>
  <si>
    <t>Lc=3.0</t>
    <phoneticPr fontId="1" type="noConversion"/>
  </si>
  <si>
    <t>Lc=4.0</t>
    <phoneticPr fontId="1" type="noConversion"/>
  </si>
  <si>
    <t>Lc=5.0</t>
    <phoneticPr fontId="1" type="noConversion"/>
  </si>
  <si>
    <t>Lt=2.0Lc</t>
    <phoneticPr fontId="1" type="noConversion"/>
  </si>
  <si>
    <t>Lt=1.1Lc</t>
    <phoneticPr fontId="1" type="noConversion"/>
  </si>
  <si>
    <t>Lt=1.2Lc</t>
    <phoneticPr fontId="1" type="noConversion"/>
  </si>
  <si>
    <t>Lt=1.3Lc</t>
    <phoneticPr fontId="1" type="noConversion"/>
  </si>
  <si>
    <t>Lt=1.4Lc</t>
    <phoneticPr fontId="1" type="noConversion"/>
  </si>
  <si>
    <t>Lt=1.5Lc</t>
    <phoneticPr fontId="1" type="noConversion"/>
  </si>
  <si>
    <t>Lt=1.6Lc</t>
    <phoneticPr fontId="1" type="noConversion"/>
  </si>
  <si>
    <t>Lt=1.7Lc</t>
    <phoneticPr fontId="1" type="noConversion"/>
  </si>
  <si>
    <t>Lt=1.8Lc</t>
    <phoneticPr fontId="1" type="noConversion"/>
  </si>
  <si>
    <t>Lt=1.9Lc</t>
    <phoneticPr fontId="1" type="noConversion"/>
  </si>
  <si>
    <t>L=20</t>
  </si>
  <si>
    <t>L=20</t>
    <phoneticPr fontId="1" type="noConversion"/>
  </si>
  <si>
    <t>L=30</t>
  </si>
  <si>
    <t>L=30</t>
    <phoneticPr fontId="1" type="noConversion"/>
  </si>
  <si>
    <t>仅考虑腹板剪切应变</t>
    <phoneticPr fontId="1" type="noConversion"/>
  </si>
  <si>
    <t>Lc=6.0</t>
    <phoneticPr fontId="1" type="noConversion"/>
  </si>
  <si>
    <t>Lc=7.0</t>
    <phoneticPr fontId="1" type="noConversion"/>
  </si>
  <si>
    <t>Lc=8.0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</si>
</sst>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24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176" fontId="5" fillId="2" borderId="0" xfId="0" applyNumberFormat="1" applyFont="1" applyFill="1"/>
    <xf numFmtId="0" fontId="0" fillId="3" borderId="0" xfId="0" applyFill="1"/>
    <xf numFmtId="0" fontId="6" fillId="0" borderId="0" xfId="0" applyFont="1"/>
    <xf numFmtId="176" fontId="0" fillId="3" borderId="0" xfId="0" applyNumberFormat="1" applyFill="1"/>
    <xf numFmtId="10" fontId="0" fillId="0" borderId="0" xfId="0" applyNumberFormat="1"/>
    <xf numFmtId="176" fontId="0" fillId="4" borderId="0" xfId="0" applyNumberFormat="1" applyFill="1"/>
    <xf numFmtId="1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4EE1-4AAD-40A8-972E-E4E4B7B85541}">
  <dimension ref="A1:AK44"/>
  <sheetViews>
    <sheetView topLeftCell="M1" zoomScale="85" zoomScaleNormal="85" workbookViewId="0">
      <selection activeCell="AK7" sqref="AK7"/>
    </sheetView>
  </sheetViews>
  <sheetFormatPr defaultRowHeight="14.25" x14ac:dyDescent="0.2"/>
  <cols>
    <col min="7" max="7" width="11.25" customWidth="1"/>
    <col min="8" max="8" width="11" bestFit="1" customWidth="1"/>
    <col min="11" max="11" width="11.25" customWidth="1"/>
    <col min="12" max="12" width="12.25" customWidth="1"/>
    <col min="13" max="13" width="10" customWidth="1"/>
    <col min="14" max="14" width="11.625" customWidth="1"/>
    <col min="15" max="15" width="9.875" customWidth="1"/>
    <col min="16" max="16" width="9.5" customWidth="1"/>
    <col min="17" max="17" width="10.125" bestFit="1" customWidth="1"/>
    <col min="18" max="18" width="11" customWidth="1"/>
    <col min="19" max="19" width="11.25" customWidth="1"/>
    <col min="20" max="20" width="12" customWidth="1"/>
    <col min="21" max="21" width="14.75" customWidth="1"/>
    <col min="22" max="22" width="11.125" customWidth="1"/>
    <col min="23" max="23" width="11.375" customWidth="1"/>
    <col min="24" max="24" width="9.875" bestFit="1" customWidth="1"/>
    <col min="25" max="25" width="10.625" customWidth="1"/>
    <col min="26" max="26" width="10" customWidth="1"/>
    <col min="27" max="27" width="11.125" customWidth="1"/>
    <col min="28" max="28" width="10.375" customWidth="1"/>
    <col min="29" max="29" width="10.5" customWidth="1"/>
    <col min="30" max="30" width="9.625" customWidth="1"/>
    <col min="31" max="31" width="10" customWidth="1"/>
    <col min="32" max="32" width="10.25" customWidth="1"/>
    <col min="33" max="33" width="10.125" bestFit="1" customWidth="1"/>
    <col min="34" max="34" width="9.875" customWidth="1"/>
    <col min="35" max="37" width="10.125" bestFit="1" customWidth="1"/>
    <col min="38" max="38" width="6.5" customWidth="1"/>
    <col min="39" max="39" width="7.125" customWidth="1"/>
  </cols>
  <sheetData>
    <row r="1" spans="1:37" ht="30" x14ac:dyDescent="0.4">
      <c r="B1" s="4" t="s">
        <v>71</v>
      </c>
      <c r="D1" s="1"/>
      <c r="AE1" s="4">
        <v>22</v>
      </c>
    </row>
    <row r="3" spans="1:37" x14ac:dyDescent="0.2">
      <c r="B3" t="s">
        <v>3</v>
      </c>
      <c r="C3" t="s">
        <v>11</v>
      </c>
      <c r="D3" t="s">
        <v>18</v>
      </c>
      <c r="E3" t="s">
        <v>7</v>
      </c>
      <c r="F3" t="s">
        <v>13</v>
      </c>
      <c r="G3" t="s">
        <v>4</v>
      </c>
      <c r="H3" t="s">
        <v>5</v>
      </c>
      <c r="I3" t="s">
        <v>8</v>
      </c>
      <c r="J3" t="s">
        <v>9</v>
      </c>
      <c r="K3" t="s">
        <v>0</v>
      </c>
      <c r="L3" t="s">
        <v>1</v>
      </c>
      <c r="M3" t="s">
        <v>2</v>
      </c>
      <c r="N3" t="s">
        <v>15</v>
      </c>
      <c r="O3" t="s">
        <v>6</v>
      </c>
      <c r="P3" t="s">
        <v>10</v>
      </c>
      <c r="Q3" t="s">
        <v>16</v>
      </c>
      <c r="R3" t="s">
        <v>12</v>
      </c>
      <c r="S3" t="s">
        <v>17</v>
      </c>
      <c r="T3" t="s">
        <v>14</v>
      </c>
      <c r="U3" t="s">
        <v>21</v>
      </c>
      <c r="V3" t="s">
        <v>19</v>
      </c>
      <c r="W3" t="s">
        <v>22</v>
      </c>
      <c r="X3" t="s">
        <v>23</v>
      </c>
      <c r="Y3" t="s">
        <v>31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34</v>
      </c>
      <c r="AE3" s="5" t="s">
        <v>33</v>
      </c>
    </row>
    <row r="4" spans="1:37" x14ac:dyDescent="0.2">
      <c r="A4" t="s">
        <v>86</v>
      </c>
      <c r="B4">
        <f>PI()</f>
        <v>3.1415926535897931</v>
      </c>
      <c r="C4" s="1">
        <v>206000</v>
      </c>
      <c r="D4" s="1">
        <f t="shared" ref="D4:D10" si="0">C4/2.6</f>
        <v>79230.769230769234</v>
      </c>
      <c r="E4" s="6">
        <v>1000</v>
      </c>
      <c r="F4" s="6">
        <f t="shared" ref="F4:F10" si="1">G4/2</f>
        <v>500</v>
      </c>
      <c r="G4" s="6">
        <v>1000</v>
      </c>
      <c r="H4" s="6">
        <v>1000</v>
      </c>
      <c r="I4" s="6">
        <v>152</v>
      </c>
      <c r="J4" s="6">
        <v>8</v>
      </c>
      <c r="K4" s="6">
        <v>152</v>
      </c>
      <c r="L4" s="6">
        <v>8</v>
      </c>
      <c r="M4">
        <f t="shared" ref="M4:M10" si="2">(B4*((K4/2)^2))-(B4*(((K4-(2*L4))/2)^2))</f>
        <v>3619.1147369354403</v>
      </c>
      <c r="N4">
        <f t="shared" ref="N4:N10" si="3">(B4*((I4/2)^2))-(B4*(((I4-(2*J4))/2)^2))</f>
        <v>3619.1147369354403</v>
      </c>
      <c r="O4">
        <f t="shared" ref="O4:O10" si="4">((B4*K4*K4*K4*K4)/64)*(1-(((K4-2*L4)/K4)^4))</f>
        <v>9409698.316032147</v>
      </c>
      <c r="P4">
        <f t="shared" ref="P4:P10" si="5">((B4*I4*I4*I4*I4)/64)*(1-(((I4-2*J4)/I4)^4))</f>
        <v>9409698.316032147</v>
      </c>
      <c r="Q4">
        <f t="shared" ref="Q4:Q10" si="6">((B4/32)*((I4*I4*I4*I4)-(I4-2*J4)*(I4-2*J4)*(I4-2*J4)*(I4-2*J4)))</f>
        <v>18819396.632064298</v>
      </c>
      <c r="R4" s="2">
        <f t="shared" ref="R4:R10" si="7">1/(((E4*E4)/(24*C4*O4))+((E4*G4)/(12*C4*P4))+((2*E4)/(G4*N4*D4)))</f>
        <v>13993631.627942696</v>
      </c>
      <c r="S4" s="2">
        <f t="shared" ref="S4:S10" si="8">2*R4</f>
        <v>27987263.255885392</v>
      </c>
      <c r="T4" s="2">
        <f t="shared" ref="T4:T5" si="9">4*(F4*F4*R4)+4*D4*Q4</f>
        <v>19957932714412.305</v>
      </c>
      <c r="U4" s="2">
        <f t="shared" ref="U4:U10" si="10">C4*M4*G4*G4+4*C4*O4</f>
        <v>753291227221111.13</v>
      </c>
      <c r="V4" s="6">
        <v>22069.369900000002</v>
      </c>
      <c r="W4" s="7">
        <v>14500</v>
      </c>
      <c r="X4" s="6">
        <v>87.205637949999996</v>
      </c>
      <c r="Y4">
        <f t="shared" ref="Y4:Y10" si="11">(X4*B4)/180</f>
        <v>1.5220255085296179</v>
      </c>
      <c r="Z4" s="2">
        <f t="shared" ref="Z4:Z10" si="12">U4/T4</f>
        <v>37.743950638591635</v>
      </c>
      <c r="AA4" s="2">
        <f t="shared" ref="AA4:AA10" si="13">(B4*B4*U4)/(V4*V4)</f>
        <v>15264507.175790206</v>
      </c>
      <c r="AB4" s="2">
        <f t="shared" ref="AB4:AB10" si="14">(AA4*(1-(Y4/B4)*(Y4/B4))*(1-(Y4/B4)*(Y4/B4)))/(1+Z4*(Y4/B4)*(Y4/B4))</f>
        <v>906751.39404258947</v>
      </c>
      <c r="AC4" s="2">
        <f t="shared" ref="AC4:AC10" si="15">AB4/(1+(AB4/S4))</f>
        <v>878295.73979863233</v>
      </c>
      <c r="AD4" s="2">
        <f t="shared" ref="AD4:AD10" si="16">AB4/W4</f>
        <v>62.534578899488928</v>
      </c>
      <c r="AE4" s="2">
        <f t="shared" ref="AE4:AE5" si="17">AD4/(1+((AD4*W4)/S4))</f>
        <v>60.572119986112575</v>
      </c>
      <c r="AG4" s="11"/>
      <c r="AH4" s="11">
        <f>(AD4-AD15)/AD15</f>
        <v>0.38298489329847507</v>
      </c>
      <c r="AI4" s="11">
        <f>(AE4-AE15)/AE15</f>
        <v>0.3709660689812902</v>
      </c>
    </row>
    <row r="5" spans="1:37" x14ac:dyDescent="0.2">
      <c r="A5" t="s">
        <v>88</v>
      </c>
      <c r="B5">
        <f>PI()</f>
        <v>3.1415926535897931</v>
      </c>
      <c r="C5" s="1">
        <v>206000</v>
      </c>
      <c r="D5" s="1">
        <f t="shared" si="0"/>
        <v>79230.769230769234</v>
      </c>
      <c r="E5" s="6">
        <v>1000</v>
      </c>
      <c r="F5" s="6">
        <f t="shared" si="1"/>
        <v>500</v>
      </c>
      <c r="G5" s="6">
        <v>1000</v>
      </c>
      <c r="H5" s="6">
        <v>1000</v>
      </c>
      <c r="I5" s="6">
        <v>152</v>
      </c>
      <c r="J5" s="6">
        <v>8</v>
      </c>
      <c r="K5" s="6">
        <v>152</v>
      </c>
      <c r="L5" s="6">
        <v>8</v>
      </c>
      <c r="M5">
        <f t="shared" si="2"/>
        <v>3619.1147369354403</v>
      </c>
      <c r="N5">
        <f t="shared" si="3"/>
        <v>3619.1147369354403</v>
      </c>
      <c r="O5">
        <f t="shared" si="4"/>
        <v>9409698.316032147</v>
      </c>
      <c r="P5">
        <f t="shared" si="5"/>
        <v>9409698.316032147</v>
      </c>
      <c r="Q5">
        <f>((B5/32)*((I5*I5*I5*I5)-(I5-2*J5)*(I5-2*J5)*(I5-2*J5)*(I5-2*J5)))</f>
        <v>18819396.632064298</v>
      </c>
      <c r="R5" s="2">
        <f t="shared" si="7"/>
        <v>13993631.627942696</v>
      </c>
      <c r="S5" s="2">
        <f t="shared" si="8"/>
        <v>27987263.255885392</v>
      </c>
      <c r="T5" s="2">
        <f t="shared" si="9"/>
        <v>19957932714412.305</v>
      </c>
      <c r="U5" s="2">
        <f t="shared" si="10"/>
        <v>753291227221111.13</v>
      </c>
      <c r="V5" s="6">
        <v>33104.054799999998</v>
      </c>
      <c r="W5" s="7">
        <v>21750</v>
      </c>
      <c r="X5" s="6">
        <v>87.205637949999996</v>
      </c>
      <c r="Y5">
        <f t="shared" si="11"/>
        <v>1.5220255085296179</v>
      </c>
      <c r="Z5" s="2">
        <f t="shared" si="12"/>
        <v>37.743950638591635</v>
      </c>
      <c r="AA5" s="2">
        <f t="shared" si="13"/>
        <v>6784225.4319559541</v>
      </c>
      <c r="AB5" s="2">
        <f t="shared" si="14"/>
        <v>403000.62079185975</v>
      </c>
      <c r="AC5" s="2">
        <f t="shared" si="15"/>
        <v>397280.01526793418</v>
      </c>
      <c r="AD5" s="2">
        <f t="shared" si="16"/>
        <v>18.528764174338381</v>
      </c>
      <c r="AE5" s="2">
        <f t="shared" si="17"/>
        <v>18.26574782841077</v>
      </c>
      <c r="AG5" s="11"/>
      <c r="AH5" s="11">
        <f t="shared" ref="AH5:AI10" si="18">(AD5-AD16)/AD16</f>
        <v>0.38298489329847507</v>
      </c>
      <c r="AI5" s="11">
        <f t="shared" si="18"/>
        <v>0.3775484116080044</v>
      </c>
    </row>
    <row r="6" spans="1:37" x14ac:dyDescent="0.2">
      <c r="A6" t="s">
        <v>32</v>
      </c>
      <c r="B6">
        <f>PI()</f>
        <v>3.1415926535897931</v>
      </c>
      <c r="C6" s="1">
        <v>206000</v>
      </c>
      <c r="D6" s="1">
        <f t="shared" si="0"/>
        <v>79230.769230769234</v>
      </c>
      <c r="E6" s="6">
        <v>1000</v>
      </c>
      <c r="F6" s="6">
        <f t="shared" si="1"/>
        <v>500</v>
      </c>
      <c r="G6" s="6">
        <v>1000</v>
      </c>
      <c r="H6" s="6">
        <v>1000</v>
      </c>
      <c r="I6" s="6">
        <v>152</v>
      </c>
      <c r="J6" s="6">
        <v>8</v>
      </c>
      <c r="K6" s="6">
        <v>152</v>
      </c>
      <c r="L6" s="6">
        <v>8</v>
      </c>
      <c r="M6">
        <f t="shared" si="2"/>
        <v>3619.1147369354403</v>
      </c>
      <c r="N6">
        <f t="shared" si="3"/>
        <v>3619.1147369354403</v>
      </c>
      <c r="O6">
        <f t="shared" si="4"/>
        <v>9409698.316032147</v>
      </c>
      <c r="P6">
        <f t="shared" si="5"/>
        <v>9409698.316032147</v>
      </c>
      <c r="Q6">
        <f t="shared" si="6"/>
        <v>18819396.632064298</v>
      </c>
      <c r="R6" s="2">
        <f t="shared" si="7"/>
        <v>13993631.627942696</v>
      </c>
      <c r="S6" s="2">
        <f t="shared" si="8"/>
        <v>27987263.255885392</v>
      </c>
      <c r="T6" s="2">
        <f>4*(F6*F6*R6)+4*D6*Q6</f>
        <v>19957932714412.305</v>
      </c>
      <c r="U6" s="2">
        <f t="shared" si="10"/>
        <v>753291227221111.13</v>
      </c>
      <c r="V6" s="6">
        <v>44138.739699999998</v>
      </c>
      <c r="W6" s="7">
        <v>29000</v>
      </c>
      <c r="X6" s="6">
        <v>87.205637949999996</v>
      </c>
      <c r="Y6">
        <f t="shared" si="11"/>
        <v>1.5220255085296179</v>
      </c>
      <c r="Z6" s="2">
        <f t="shared" si="12"/>
        <v>37.743950638591635</v>
      </c>
      <c r="AA6" s="2">
        <f t="shared" si="13"/>
        <v>3816126.8112390605</v>
      </c>
      <c r="AB6" s="2">
        <f t="shared" si="14"/>
        <v>226687.84953780795</v>
      </c>
      <c r="AC6" s="2">
        <f t="shared" si="15"/>
        <v>224866.5030367077</v>
      </c>
      <c r="AD6" s="2">
        <f t="shared" si="16"/>
        <v>7.8168223978554465</v>
      </c>
      <c r="AE6" s="2">
        <f t="shared" ref="AE6:AE9" si="19">AD6/(1+((AD6*W6)/S6))</f>
        <v>7.7540173460933683</v>
      </c>
      <c r="AG6" s="11"/>
      <c r="AH6" s="11">
        <f t="shared" si="18"/>
        <v>0.38298489329847507</v>
      </c>
      <c r="AI6" s="11">
        <f>(AE6-AE17)/AE17</f>
        <v>0.37990776235914292</v>
      </c>
      <c r="AK6">
        <f>SUM(AI4:AI10)/7</f>
        <v>0.37931840048557131</v>
      </c>
    </row>
    <row r="7" spans="1:37" x14ac:dyDescent="0.2">
      <c r="A7" t="s">
        <v>37</v>
      </c>
      <c r="B7">
        <f>PI()</f>
        <v>3.1415926535897931</v>
      </c>
      <c r="C7" s="1">
        <v>206000</v>
      </c>
      <c r="D7" s="1">
        <f t="shared" si="0"/>
        <v>79230.769230769234</v>
      </c>
      <c r="E7" s="6">
        <v>1000</v>
      </c>
      <c r="F7" s="6">
        <f t="shared" si="1"/>
        <v>500</v>
      </c>
      <c r="G7" s="6">
        <v>1000</v>
      </c>
      <c r="H7" s="6">
        <v>1000</v>
      </c>
      <c r="I7" s="6">
        <v>152</v>
      </c>
      <c r="J7" s="6">
        <v>8</v>
      </c>
      <c r="K7" s="6">
        <v>152</v>
      </c>
      <c r="L7" s="6">
        <v>8</v>
      </c>
      <c r="M7">
        <f t="shared" si="2"/>
        <v>3619.1147369354403</v>
      </c>
      <c r="N7">
        <f t="shared" si="3"/>
        <v>3619.1147369354403</v>
      </c>
      <c r="O7">
        <f t="shared" si="4"/>
        <v>9409698.316032147</v>
      </c>
      <c r="P7">
        <f t="shared" si="5"/>
        <v>9409698.316032147</v>
      </c>
      <c r="Q7">
        <f t="shared" si="6"/>
        <v>18819396.632064298</v>
      </c>
      <c r="R7" s="2">
        <f t="shared" si="7"/>
        <v>13993631.627942696</v>
      </c>
      <c r="S7" s="2">
        <f t="shared" si="8"/>
        <v>27987263.255885392</v>
      </c>
      <c r="T7" s="2">
        <f t="shared" ref="T7:T10" si="20">4*(F7*F7*R7)+4*D7*Q7</f>
        <v>19957932714412.305</v>
      </c>
      <c r="U7" s="2">
        <f t="shared" si="10"/>
        <v>753291227221111.13</v>
      </c>
      <c r="V7" s="6">
        <v>55173.424700000003</v>
      </c>
      <c r="W7" s="7">
        <v>36250</v>
      </c>
      <c r="X7" s="6">
        <v>87.205637949999996</v>
      </c>
      <c r="Y7">
        <f t="shared" si="11"/>
        <v>1.5220255085296179</v>
      </c>
      <c r="Z7" s="2">
        <f t="shared" si="12"/>
        <v>37.743950638591635</v>
      </c>
      <c r="AA7" s="2">
        <f t="shared" si="13"/>
        <v>2442321.1525530592</v>
      </c>
      <c r="AB7" s="2">
        <f t="shared" si="14"/>
        <v>145080.22330976743</v>
      </c>
      <c r="AC7" s="2">
        <f t="shared" si="15"/>
        <v>144332.03568682101</v>
      </c>
      <c r="AD7" s="2">
        <f t="shared" si="16"/>
        <v>4.0022130568211702</v>
      </c>
      <c r="AE7" s="2">
        <f t="shared" si="19"/>
        <v>3.9815733982571309</v>
      </c>
      <c r="AG7" s="11"/>
      <c r="AH7" s="11">
        <f t="shared" si="18"/>
        <v>0.38298489329847513</v>
      </c>
      <c r="AI7" s="11">
        <f t="shared" si="18"/>
        <v>0.38100981667945499</v>
      </c>
    </row>
    <row r="8" spans="1:37" x14ac:dyDescent="0.2">
      <c r="A8" t="s">
        <v>38</v>
      </c>
      <c r="B8">
        <f>PI()</f>
        <v>3.1415926535897931</v>
      </c>
      <c r="C8" s="1">
        <v>206000</v>
      </c>
      <c r="D8" s="1">
        <f t="shared" si="0"/>
        <v>79230.769230769234</v>
      </c>
      <c r="E8" s="6">
        <v>1000</v>
      </c>
      <c r="F8" s="6">
        <f t="shared" si="1"/>
        <v>500</v>
      </c>
      <c r="G8" s="6">
        <v>1000</v>
      </c>
      <c r="H8" s="6">
        <v>1000</v>
      </c>
      <c r="I8" s="6">
        <v>152</v>
      </c>
      <c r="J8" s="6">
        <v>8</v>
      </c>
      <c r="K8" s="6">
        <v>152</v>
      </c>
      <c r="L8" s="6">
        <v>8</v>
      </c>
      <c r="M8">
        <f t="shared" si="2"/>
        <v>3619.1147369354403</v>
      </c>
      <c r="N8">
        <f t="shared" si="3"/>
        <v>3619.1147369354403</v>
      </c>
      <c r="O8">
        <f t="shared" si="4"/>
        <v>9409698.316032147</v>
      </c>
      <c r="P8">
        <f t="shared" si="5"/>
        <v>9409698.316032147</v>
      </c>
      <c r="Q8">
        <f t="shared" si="6"/>
        <v>18819396.632064298</v>
      </c>
      <c r="R8" s="2">
        <f t="shared" si="7"/>
        <v>13993631.627942696</v>
      </c>
      <c r="S8" s="2">
        <f t="shared" si="8"/>
        <v>27987263.255885392</v>
      </c>
      <c r="T8" s="2">
        <f t="shared" si="20"/>
        <v>19957932714412.305</v>
      </c>
      <c r="U8" s="2">
        <f t="shared" si="10"/>
        <v>753291227221111.13</v>
      </c>
      <c r="V8" s="6">
        <v>66208.109599999996</v>
      </c>
      <c r="W8" s="7">
        <v>43500</v>
      </c>
      <c r="X8" s="6">
        <v>87.205637949999996</v>
      </c>
      <c r="Y8">
        <f t="shared" si="11"/>
        <v>1.5220255085296179</v>
      </c>
      <c r="Z8" s="2">
        <f t="shared" si="12"/>
        <v>37.743950638591635</v>
      </c>
      <c r="AA8" s="2">
        <f t="shared" si="13"/>
        <v>1696056.3579889885</v>
      </c>
      <c r="AB8" s="2">
        <f t="shared" si="14"/>
        <v>100750.15519796494</v>
      </c>
      <c r="AC8" s="2">
        <f t="shared" si="15"/>
        <v>100388.76994711594</v>
      </c>
      <c r="AD8" s="2">
        <f t="shared" si="16"/>
        <v>2.3160955217922976</v>
      </c>
      <c r="AE8" s="2">
        <f t="shared" si="19"/>
        <v>2.3077878148762285</v>
      </c>
      <c r="AG8" s="11"/>
      <c r="AH8" s="11">
        <f t="shared" si="18"/>
        <v>0.38298489329847507</v>
      </c>
      <c r="AI8" s="11">
        <f t="shared" si="18"/>
        <v>0.38161114760583448</v>
      </c>
    </row>
    <row r="9" spans="1:37" x14ac:dyDescent="0.2">
      <c r="A9" t="s">
        <v>39</v>
      </c>
      <c r="B9">
        <f>PI()</f>
        <v>3.1415926535897931</v>
      </c>
      <c r="C9" s="1">
        <v>206000</v>
      </c>
      <c r="D9" s="1">
        <f t="shared" si="0"/>
        <v>79230.769230769234</v>
      </c>
      <c r="E9" s="6">
        <v>1000</v>
      </c>
      <c r="F9" s="6">
        <f t="shared" si="1"/>
        <v>500</v>
      </c>
      <c r="G9" s="6">
        <v>1000</v>
      </c>
      <c r="H9" s="6">
        <v>1000</v>
      </c>
      <c r="I9" s="6">
        <v>152</v>
      </c>
      <c r="J9" s="6">
        <v>8</v>
      </c>
      <c r="K9" s="6">
        <v>152</v>
      </c>
      <c r="L9" s="6">
        <v>8</v>
      </c>
      <c r="M9">
        <f t="shared" si="2"/>
        <v>3619.1147369354403</v>
      </c>
      <c r="N9">
        <f t="shared" si="3"/>
        <v>3619.1147369354403</v>
      </c>
      <c r="O9">
        <f t="shared" si="4"/>
        <v>9409698.316032147</v>
      </c>
      <c r="P9">
        <f t="shared" si="5"/>
        <v>9409698.316032147</v>
      </c>
      <c r="Q9">
        <f t="shared" si="6"/>
        <v>18819396.632064298</v>
      </c>
      <c r="R9" s="2">
        <f t="shared" si="7"/>
        <v>13993631.627942696</v>
      </c>
      <c r="S9" s="2">
        <f t="shared" si="8"/>
        <v>27987263.255885392</v>
      </c>
      <c r="T9" s="2">
        <f t="shared" si="20"/>
        <v>19957932714412.305</v>
      </c>
      <c r="U9" s="2">
        <f t="shared" si="10"/>
        <v>753291227221111.13</v>
      </c>
      <c r="V9" s="6">
        <v>77242.794599999994</v>
      </c>
      <c r="W9" s="7">
        <v>50750</v>
      </c>
      <c r="X9" s="6">
        <v>87.205637949999996</v>
      </c>
      <c r="Y9">
        <f t="shared" si="11"/>
        <v>1.5220255085296179</v>
      </c>
      <c r="Z9" s="2">
        <f t="shared" si="12"/>
        <v>37.743950638591635</v>
      </c>
      <c r="AA9" s="2">
        <f t="shared" si="13"/>
        <v>1246082.2200450557</v>
      </c>
      <c r="AB9" s="2">
        <f t="shared" si="14"/>
        <v>74020.522058488772</v>
      </c>
      <c r="AC9" s="2">
        <f t="shared" si="15"/>
        <v>73825.26949167221</v>
      </c>
      <c r="AD9" s="2">
        <f t="shared" si="16"/>
        <v>1.4585324543544587</v>
      </c>
      <c r="AE9" s="2">
        <f t="shared" si="19"/>
        <v>1.4546851131363985</v>
      </c>
      <c r="AG9" s="11"/>
      <c r="AH9" s="11">
        <f t="shared" si="18"/>
        <v>0.38298489329847529</v>
      </c>
      <c r="AI9" s="11">
        <f t="shared" si="18"/>
        <v>0.38197464936356484</v>
      </c>
    </row>
    <row r="10" spans="1:37" x14ac:dyDescent="0.2">
      <c r="A10" t="s">
        <v>40</v>
      </c>
      <c r="B10">
        <f>PI()</f>
        <v>3.1415926535897931</v>
      </c>
      <c r="C10" s="1">
        <v>206000</v>
      </c>
      <c r="D10" s="1">
        <f t="shared" si="0"/>
        <v>79230.769230769234</v>
      </c>
      <c r="E10" s="6">
        <v>1000</v>
      </c>
      <c r="F10" s="6">
        <f t="shared" si="1"/>
        <v>500</v>
      </c>
      <c r="G10" s="6">
        <v>1000</v>
      </c>
      <c r="H10" s="6">
        <v>1000</v>
      </c>
      <c r="I10" s="6">
        <v>152</v>
      </c>
      <c r="J10" s="6">
        <v>8</v>
      </c>
      <c r="K10" s="6">
        <v>152</v>
      </c>
      <c r="L10" s="6">
        <v>8</v>
      </c>
      <c r="M10">
        <f t="shared" si="2"/>
        <v>3619.1147369354403</v>
      </c>
      <c r="N10">
        <f t="shared" si="3"/>
        <v>3619.1147369354403</v>
      </c>
      <c r="O10">
        <f t="shared" si="4"/>
        <v>9409698.316032147</v>
      </c>
      <c r="P10">
        <f t="shared" si="5"/>
        <v>9409698.316032147</v>
      </c>
      <c r="Q10">
        <f t="shared" si="6"/>
        <v>18819396.632064298</v>
      </c>
      <c r="R10" s="2">
        <f t="shared" si="7"/>
        <v>13993631.627942696</v>
      </c>
      <c r="S10" s="2">
        <f t="shared" si="8"/>
        <v>27987263.255885392</v>
      </c>
      <c r="T10" s="2">
        <f t="shared" si="20"/>
        <v>19957932714412.305</v>
      </c>
      <c r="U10" s="2">
        <f t="shared" si="10"/>
        <v>753291227221111.13</v>
      </c>
      <c r="V10" s="6">
        <v>88277.479500000001</v>
      </c>
      <c r="W10" s="7">
        <v>58000</v>
      </c>
      <c r="X10" s="6">
        <v>87.205637949999996</v>
      </c>
      <c r="Y10">
        <f t="shared" si="11"/>
        <v>1.5220255085296179</v>
      </c>
      <c r="Z10" s="2">
        <f t="shared" si="12"/>
        <v>37.743950638591635</v>
      </c>
      <c r="AA10" s="2">
        <f t="shared" si="13"/>
        <v>954031.70064832654</v>
      </c>
      <c r="AB10" s="2">
        <f t="shared" si="14"/>
        <v>56671.962256056911</v>
      </c>
      <c r="AC10" s="2">
        <f t="shared" si="15"/>
        <v>56557.437982592091</v>
      </c>
      <c r="AD10" s="2">
        <f t="shared" si="16"/>
        <v>0.9771027975182226</v>
      </c>
      <c r="AE10" s="2">
        <f>AD10/(1+((AD10*W10)/S10))</f>
        <v>0.97512824107917395</v>
      </c>
      <c r="AG10" s="11"/>
      <c r="AH10" s="11">
        <f t="shared" si="18"/>
        <v>0.38298489329847502</v>
      </c>
      <c r="AI10" s="11">
        <f t="shared" si="18"/>
        <v>0.38221094680170747</v>
      </c>
    </row>
    <row r="11" spans="1:37" x14ac:dyDescent="0.2">
      <c r="C11" s="1"/>
      <c r="D11" s="1"/>
      <c r="R11" s="2"/>
      <c r="S11" s="2"/>
      <c r="T11" s="2"/>
      <c r="U11" s="2"/>
      <c r="W11" s="2"/>
    </row>
    <row r="12" spans="1:37" ht="30" x14ac:dyDescent="0.4">
      <c r="B12" s="4" t="s">
        <v>89</v>
      </c>
      <c r="D12" s="1"/>
      <c r="AE12" s="4">
        <v>11</v>
      </c>
    </row>
    <row r="14" spans="1:37" x14ac:dyDescent="0.2">
      <c r="B14" t="s">
        <v>3</v>
      </c>
      <c r="C14" t="s">
        <v>11</v>
      </c>
      <c r="D14" t="s">
        <v>18</v>
      </c>
      <c r="E14" t="s">
        <v>7</v>
      </c>
      <c r="F14" t="s">
        <v>13</v>
      </c>
      <c r="G14" t="s">
        <v>4</v>
      </c>
      <c r="H14" t="s">
        <v>5</v>
      </c>
      <c r="I14" t="s">
        <v>8</v>
      </c>
      <c r="J14" t="s">
        <v>9</v>
      </c>
      <c r="K14" t="s">
        <v>0</v>
      </c>
      <c r="L14" t="s">
        <v>1</v>
      </c>
      <c r="M14" t="s">
        <v>2</v>
      </c>
      <c r="N14" t="s">
        <v>15</v>
      </c>
      <c r="O14" t="s">
        <v>6</v>
      </c>
      <c r="P14" t="s">
        <v>10</v>
      </c>
      <c r="Q14" t="s">
        <v>16</v>
      </c>
      <c r="R14" t="s">
        <v>12</v>
      </c>
      <c r="S14" t="s">
        <v>17</v>
      </c>
      <c r="T14" t="s">
        <v>14</v>
      </c>
      <c r="U14" t="s">
        <v>21</v>
      </c>
      <c r="V14" t="s">
        <v>19</v>
      </c>
      <c r="W14" t="s">
        <v>22</v>
      </c>
      <c r="X14" t="s">
        <v>23</v>
      </c>
      <c r="Y14" t="s">
        <v>31</v>
      </c>
      <c r="Z14" s="5" t="s">
        <v>24</v>
      </c>
      <c r="AA14" s="5" t="s">
        <v>25</v>
      </c>
      <c r="AB14" s="5" t="s">
        <v>26</v>
      </c>
      <c r="AC14" s="5" t="s">
        <v>27</v>
      </c>
      <c r="AD14" s="5" t="s">
        <v>34</v>
      </c>
      <c r="AE14" s="5" t="s">
        <v>33</v>
      </c>
    </row>
    <row r="15" spans="1:37" x14ac:dyDescent="0.2">
      <c r="A15" t="s">
        <v>86</v>
      </c>
      <c r="B15">
        <f>PI()</f>
        <v>3.1415926535897931</v>
      </c>
      <c r="C15" s="1">
        <v>206000</v>
      </c>
      <c r="D15" s="1">
        <f t="shared" ref="D15:D21" si="21">C15/2.6</f>
        <v>79230.769230769234</v>
      </c>
      <c r="E15" s="6">
        <v>1000</v>
      </c>
      <c r="F15" s="6">
        <f t="shared" ref="F15:F21" si="22">G15/2</f>
        <v>500</v>
      </c>
      <c r="G15" s="6">
        <v>1000</v>
      </c>
      <c r="H15" s="6">
        <v>1000</v>
      </c>
      <c r="I15" s="6">
        <v>152</v>
      </c>
      <c r="J15" s="6">
        <v>8</v>
      </c>
      <c r="K15" s="6">
        <v>152</v>
      </c>
      <c r="L15" s="6">
        <v>8</v>
      </c>
      <c r="M15">
        <f t="shared" ref="M15:M21" si="23">(B15*((K15/2)^2))-(B15*(((K15-(2*L15))/2)^2))</f>
        <v>3619.1147369354403</v>
      </c>
      <c r="N15">
        <f t="shared" ref="N15:N21" si="24">(B15*((I15/2)^2))-(B15*(((I15-(2*J15))/2)^2))</f>
        <v>3619.1147369354403</v>
      </c>
      <c r="O15">
        <f t="shared" ref="O15:O21" si="25">((B15*K15*K15*K15*K15)/64)*(1-(((K15-2*L15)/K15)^4))</f>
        <v>9409698.316032147</v>
      </c>
      <c r="P15">
        <f t="shared" ref="P15:P21" si="26">((B15*I15*I15*I15*I15)/64)*(1-(((I15-2*J15)/I15)^4))</f>
        <v>9409698.316032147</v>
      </c>
      <c r="Q15">
        <f t="shared" ref="Q15:Q21" si="27">((B15/32)*((I15*I15*I15*I15)-(I15-2*J15)*(I15-2*J15)*(I15-2*J15)*(I15-2*J15)))</f>
        <v>18819396.632064298</v>
      </c>
      <c r="R15" s="2">
        <f t="shared" ref="R15:R21" si="28">1/(((E15*E15)/(24*C15*O15))+((E15*G15)/(12*C15*P15))+((2*E15)/(G15*N15*D15)))</f>
        <v>13993631.627942696</v>
      </c>
      <c r="S15" s="2">
        <f t="shared" ref="S15:S21" si="29">2*R15</f>
        <v>27987263.255885392</v>
      </c>
      <c r="T15" s="2">
        <f t="shared" ref="T15:T16" si="30">4*(F15*F15*R15)</f>
        <v>13993631627942.695</v>
      </c>
      <c r="U15" s="2">
        <f t="shared" ref="U15:U21" si="31">C15*M15*G15*G15+4*C15*O15</f>
        <v>753291227221111.13</v>
      </c>
      <c r="V15" s="6">
        <v>22069.369900000002</v>
      </c>
      <c r="W15" s="7">
        <v>14500</v>
      </c>
      <c r="X15" s="6">
        <v>87.205637949999996</v>
      </c>
      <c r="Y15">
        <f t="shared" ref="Y15:Y21" si="32">(X15*B15)/180</f>
        <v>1.5220255085296179</v>
      </c>
      <c r="Z15" s="2">
        <f t="shared" ref="Z15:Z21" si="33">U15/T15</f>
        <v>53.831003076923061</v>
      </c>
      <c r="AA15" s="2">
        <f t="shared" ref="AA15:AA21" si="34">(B15*B15*U15)/(V15*V15)</f>
        <v>15264507.175790206</v>
      </c>
      <c r="AB15" s="2">
        <f t="shared" ref="AB15:AB21" si="35">(AA15*(1-(Y15/B15)*(Y15/B15))*(1-(Y15/B15)*(Y15/B15)))/(1+Z15*(Y15/B15)*(Y15/B15))</f>
        <v>655648.08295190451</v>
      </c>
      <c r="AC15" s="2">
        <f t="shared" ref="AC15:AC21" si="36">AB15/(1+(AB15/S15))</f>
        <v>640640.02725556772</v>
      </c>
      <c r="AD15" s="2">
        <f t="shared" ref="AD15:AD21" si="37">AB15/W15</f>
        <v>45.217109169096865</v>
      </c>
      <c r="AE15" s="2">
        <f t="shared" ref="AE15:AE16" si="38">AD15/(1+((AD15*W15)/S15))</f>
        <v>44.18207084521157</v>
      </c>
      <c r="AG15" s="11"/>
    </row>
    <row r="16" spans="1:37" x14ac:dyDescent="0.2">
      <c r="A16" t="s">
        <v>88</v>
      </c>
      <c r="B16">
        <f>PI()</f>
        <v>3.1415926535897931</v>
      </c>
      <c r="C16" s="1">
        <v>206000</v>
      </c>
      <c r="D16" s="1">
        <f t="shared" si="21"/>
        <v>79230.769230769234</v>
      </c>
      <c r="E16" s="6">
        <v>1000</v>
      </c>
      <c r="F16" s="6">
        <f t="shared" si="22"/>
        <v>500</v>
      </c>
      <c r="G16" s="6">
        <v>1000</v>
      </c>
      <c r="H16" s="6">
        <v>1000</v>
      </c>
      <c r="I16" s="6">
        <v>152</v>
      </c>
      <c r="J16" s="6">
        <v>8</v>
      </c>
      <c r="K16" s="6">
        <v>152</v>
      </c>
      <c r="L16" s="6">
        <v>8</v>
      </c>
      <c r="M16">
        <f t="shared" si="23"/>
        <v>3619.1147369354403</v>
      </c>
      <c r="N16">
        <f t="shared" si="24"/>
        <v>3619.1147369354403</v>
      </c>
      <c r="O16">
        <f t="shared" si="25"/>
        <v>9409698.316032147</v>
      </c>
      <c r="P16">
        <f t="shared" si="26"/>
        <v>9409698.316032147</v>
      </c>
      <c r="Q16">
        <f t="shared" si="27"/>
        <v>18819396.632064298</v>
      </c>
      <c r="R16" s="2">
        <f t="shared" si="28"/>
        <v>13993631.627942696</v>
      </c>
      <c r="S16" s="2">
        <f t="shared" si="29"/>
        <v>27987263.255885392</v>
      </c>
      <c r="T16" s="2">
        <f t="shared" si="30"/>
        <v>13993631627942.695</v>
      </c>
      <c r="U16" s="2">
        <f t="shared" si="31"/>
        <v>753291227221111.13</v>
      </c>
      <c r="V16" s="6">
        <v>33104.054799999998</v>
      </c>
      <c r="W16" s="7">
        <v>21750</v>
      </c>
      <c r="X16" s="6">
        <v>87.205637949999996</v>
      </c>
      <c r="Y16">
        <f t="shared" si="32"/>
        <v>1.5220255085296179</v>
      </c>
      <c r="Z16" s="2">
        <f t="shared" si="33"/>
        <v>53.831003076923061</v>
      </c>
      <c r="AA16" s="2">
        <f t="shared" si="34"/>
        <v>6784225.4319559541</v>
      </c>
      <c r="AB16" s="2">
        <f t="shared" si="35"/>
        <v>291399.14885887649</v>
      </c>
      <c r="AC16" s="2">
        <f t="shared" si="36"/>
        <v>288396.40909911215</v>
      </c>
      <c r="AD16" s="2">
        <f t="shared" si="37"/>
        <v>13.397662016500069</v>
      </c>
      <c r="AE16" s="2">
        <f t="shared" si="38"/>
        <v>13.259605016051136</v>
      </c>
      <c r="AG16" s="11"/>
    </row>
    <row r="17" spans="1:37" x14ac:dyDescent="0.2">
      <c r="A17" t="s">
        <v>32</v>
      </c>
      <c r="B17">
        <f>PI()</f>
        <v>3.1415926535897931</v>
      </c>
      <c r="C17" s="1">
        <v>206000</v>
      </c>
      <c r="D17" s="1">
        <f t="shared" si="21"/>
        <v>79230.769230769234</v>
      </c>
      <c r="E17" s="6">
        <v>1000</v>
      </c>
      <c r="F17" s="6">
        <f t="shared" si="22"/>
        <v>500</v>
      </c>
      <c r="G17" s="6">
        <v>1000</v>
      </c>
      <c r="H17" s="6">
        <v>1000</v>
      </c>
      <c r="I17" s="6">
        <v>152</v>
      </c>
      <c r="J17" s="6">
        <v>8</v>
      </c>
      <c r="K17" s="6">
        <v>152</v>
      </c>
      <c r="L17" s="6">
        <v>8</v>
      </c>
      <c r="M17">
        <f t="shared" si="23"/>
        <v>3619.1147369354403</v>
      </c>
      <c r="N17">
        <f t="shared" si="24"/>
        <v>3619.1147369354403</v>
      </c>
      <c r="O17">
        <f t="shared" si="25"/>
        <v>9409698.316032147</v>
      </c>
      <c r="P17">
        <f t="shared" si="26"/>
        <v>9409698.316032147</v>
      </c>
      <c r="Q17">
        <f t="shared" si="27"/>
        <v>18819396.632064298</v>
      </c>
      <c r="R17" s="2">
        <f t="shared" si="28"/>
        <v>13993631.627942696</v>
      </c>
      <c r="S17" s="2">
        <f t="shared" si="29"/>
        <v>27987263.255885392</v>
      </c>
      <c r="T17" s="2">
        <f t="shared" ref="T17:T21" si="39">4*(F17*F17*R17)</f>
        <v>13993631627942.695</v>
      </c>
      <c r="U17" s="2">
        <f t="shared" si="31"/>
        <v>753291227221111.13</v>
      </c>
      <c r="V17" s="6">
        <v>44138.739699999998</v>
      </c>
      <c r="W17" s="7">
        <v>29000</v>
      </c>
      <c r="X17" s="6">
        <v>87.205637949999996</v>
      </c>
      <c r="Y17">
        <f t="shared" si="32"/>
        <v>1.5220255085296179</v>
      </c>
      <c r="Z17" s="2">
        <f t="shared" si="33"/>
        <v>53.831003076923061</v>
      </c>
      <c r="AA17" s="2">
        <f t="shared" si="34"/>
        <v>3816126.8112390605</v>
      </c>
      <c r="AB17" s="2">
        <f t="shared" si="35"/>
        <v>163912.02148068894</v>
      </c>
      <c r="AC17" s="2">
        <f t="shared" si="36"/>
        <v>162957.63323504126</v>
      </c>
      <c r="AD17" s="2">
        <f t="shared" si="37"/>
        <v>5.6521386717478945</v>
      </c>
      <c r="AE17" s="2">
        <f t="shared" ref="AE17:AE20" si="40">AD17/(1+((AD17*W17)/S17))</f>
        <v>5.6192287322428021</v>
      </c>
      <c r="AG17" s="11"/>
    </row>
    <row r="18" spans="1:37" x14ac:dyDescent="0.2">
      <c r="A18" t="s">
        <v>37</v>
      </c>
      <c r="B18">
        <f>PI()</f>
        <v>3.1415926535897931</v>
      </c>
      <c r="C18" s="1">
        <v>206000</v>
      </c>
      <c r="D18" s="1">
        <f t="shared" si="21"/>
        <v>79230.769230769234</v>
      </c>
      <c r="E18" s="6">
        <v>1000</v>
      </c>
      <c r="F18" s="6">
        <f t="shared" si="22"/>
        <v>500</v>
      </c>
      <c r="G18" s="6">
        <v>1000</v>
      </c>
      <c r="H18" s="6">
        <v>1000</v>
      </c>
      <c r="I18" s="6">
        <v>152</v>
      </c>
      <c r="J18" s="6">
        <v>8</v>
      </c>
      <c r="K18" s="6">
        <v>152</v>
      </c>
      <c r="L18" s="6">
        <v>8</v>
      </c>
      <c r="M18">
        <f t="shared" si="23"/>
        <v>3619.1147369354403</v>
      </c>
      <c r="N18">
        <f t="shared" si="24"/>
        <v>3619.1147369354403</v>
      </c>
      <c r="O18">
        <f t="shared" si="25"/>
        <v>9409698.316032147</v>
      </c>
      <c r="P18">
        <f t="shared" si="26"/>
        <v>9409698.316032147</v>
      </c>
      <c r="Q18">
        <f t="shared" si="27"/>
        <v>18819396.632064298</v>
      </c>
      <c r="R18" s="2">
        <f t="shared" si="28"/>
        <v>13993631.627942696</v>
      </c>
      <c r="S18" s="2">
        <f t="shared" si="29"/>
        <v>27987263.255885392</v>
      </c>
      <c r="T18" s="2">
        <f>4*(F18*F18*R18)</f>
        <v>13993631627942.695</v>
      </c>
      <c r="U18" s="2">
        <f t="shared" si="31"/>
        <v>753291227221111.13</v>
      </c>
      <c r="V18" s="6">
        <v>55173.424700000003</v>
      </c>
      <c r="W18" s="7">
        <v>36250</v>
      </c>
      <c r="X18" s="6">
        <v>87.205637949999996</v>
      </c>
      <c r="Y18">
        <f t="shared" si="32"/>
        <v>1.5220255085296179</v>
      </c>
      <c r="Z18" s="2">
        <f t="shared" si="33"/>
        <v>53.831003076923061</v>
      </c>
      <c r="AA18" s="2">
        <f t="shared" si="34"/>
        <v>2442321.1525530592</v>
      </c>
      <c r="AB18" s="2">
        <f t="shared" si="35"/>
        <v>104903.6934624392</v>
      </c>
      <c r="AC18" s="2">
        <f t="shared" si="36"/>
        <v>104511.95490692287</v>
      </c>
      <c r="AD18" s="2">
        <f t="shared" si="37"/>
        <v>2.8938949920672883</v>
      </c>
      <c r="AE18" s="2">
        <f t="shared" si="40"/>
        <v>2.883088411225458</v>
      </c>
      <c r="AG18" s="11"/>
    </row>
    <row r="19" spans="1:37" x14ac:dyDescent="0.2">
      <c r="A19" t="s">
        <v>38</v>
      </c>
      <c r="B19">
        <f>PI()</f>
        <v>3.1415926535897931</v>
      </c>
      <c r="C19" s="1">
        <v>206000</v>
      </c>
      <c r="D19" s="1">
        <f t="shared" si="21"/>
        <v>79230.769230769234</v>
      </c>
      <c r="E19" s="6">
        <v>1000</v>
      </c>
      <c r="F19" s="6">
        <f t="shared" si="22"/>
        <v>500</v>
      </c>
      <c r="G19" s="6">
        <v>1000</v>
      </c>
      <c r="H19" s="6">
        <v>1000</v>
      </c>
      <c r="I19" s="6">
        <v>152</v>
      </c>
      <c r="J19" s="6">
        <v>8</v>
      </c>
      <c r="K19" s="6">
        <v>152</v>
      </c>
      <c r="L19" s="6">
        <v>8</v>
      </c>
      <c r="M19">
        <f t="shared" si="23"/>
        <v>3619.1147369354403</v>
      </c>
      <c r="N19">
        <f t="shared" si="24"/>
        <v>3619.1147369354403</v>
      </c>
      <c r="O19">
        <f t="shared" si="25"/>
        <v>9409698.316032147</v>
      </c>
      <c r="P19">
        <f t="shared" si="26"/>
        <v>9409698.316032147</v>
      </c>
      <c r="Q19">
        <f t="shared" si="27"/>
        <v>18819396.632064298</v>
      </c>
      <c r="R19" s="2">
        <f t="shared" si="28"/>
        <v>13993631.627942696</v>
      </c>
      <c r="S19" s="2">
        <f t="shared" si="29"/>
        <v>27987263.255885392</v>
      </c>
      <c r="T19" s="2">
        <f t="shared" si="39"/>
        <v>13993631627942.695</v>
      </c>
      <c r="U19" s="2">
        <f t="shared" si="31"/>
        <v>753291227221111.13</v>
      </c>
      <c r="V19" s="6">
        <v>66208.109599999996</v>
      </c>
      <c r="W19" s="7">
        <v>43500</v>
      </c>
      <c r="X19" s="6">
        <v>87.205637949999996</v>
      </c>
      <c r="Y19">
        <f t="shared" si="32"/>
        <v>1.5220255085296179</v>
      </c>
      <c r="Z19" s="2">
        <f t="shared" si="33"/>
        <v>53.831003076923061</v>
      </c>
      <c r="AA19" s="2">
        <f t="shared" si="34"/>
        <v>1696056.3579889885</v>
      </c>
      <c r="AB19" s="2">
        <f t="shared" si="35"/>
        <v>72849.787214719123</v>
      </c>
      <c r="AC19" s="2">
        <f t="shared" si="36"/>
        <v>72660.654281110546</v>
      </c>
      <c r="AD19" s="2">
        <f t="shared" si="37"/>
        <v>1.6747077520625087</v>
      </c>
      <c r="AE19" s="2">
        <f t="shared" si="40"/>
        <v>1.670359868531277</v>
      </c>
      <c r="AG19" s="11"/>
    </row>
    <row r="20" spans="1:37" x14ac:dyDescent="0.2">
      <c r="A20" t="s">
        <v>39</v>
      </c>
      <c r="B20">
        <f>PI()</f>
        <v>3.1415926535897931</v>
      </c>
      <c r="C20" s="1">
        <v>206000</v>
      </c>
      <c r="D20" s="1">
        <f t="shared" si="21"/>
        <v>79230.769230769234</v>
      </c>
      <c r="E20" s="6">
        <v>1000</v>
      </c>
      <c r="F20" s="6">
        <f t="shared" si="22"/>
        <v>500</v>
      </c>
      <c r="G20" s="6">
        <v>1000</v>
      </c>
      <c r="H20" s="6">
        <v>1000</v>
      </c>
      <c r="I20" s="6">
        <v>152</v>
      </c>
      <c r="J20" s="6">
        <v>8</v>
      </c>
      <c r="K20" s="6">
        <v>152</v>
      </c>
      <c r="L20" s="6">
        <v>8</v>
      </c>
      <c r="M20">
        <f t="shared" si="23"/>
        <v>3619.1147369354403</v>
      </c>
      <c r="N20">
        <f t="shared" si="24"/>
        <v>3619.1147369354403</v>
      </c>
      <c r="O20">
        <f t="shared" si="25"/>
        <v>9409698.316032147</v>
      </c>
      <c r="P20">
        <f t="shared" si="26"/>
        <v>9409698.316032147</v>
      </c>
      <c r="Q20">
        <f t="shared" si="27"/>
        <v>18819396.632064298</v>
      </c>
      <c r="R20" s="2">
        <f t="shared" si="28"/>
        <v>13993631.627942696</v>
      </c>
      <c r="S20" s="2">
        <f t="shared" si="29"/>
        <v>27987263.255885392</v>
      </c>
      <c r="T20" s="2">
        <f t="shared" si="39"/>
        <v>13993631627942.695</v>
      </c>
      <c r="U20" s="2">
        <f t="shared" si="31"/>
        <v>753291227221111.13</v>
      </c>
      <c r="V20" s="6">
        <v>77242.794599999994</v>
      </c>
      <c r="W20" s="7">
        <v>50750</v>
      </c>
      <c r="X20" s="6">
        <v>87.205637949999996</v>
      </c>
      <c r="Y20">
        <f t="shared" si="32"/>
        <v>1.5220255085296179</v>
      </c>
      <c r="Z20" s="2">
        <f t="shared" si="33"/>
        <v>53.831003076923061</v>
      </c>
      <c r="AA20" s="2">
        <f t="shared" si="34"/>
        <v>1246082.2200450557</v>
      </c>
      <c r="AB20" s="2">
        <f t="shared" si="35"/>
        <v>53522.292555160762</v>
      </c>
      <c r="AC20" s="2">
        <f t="shared" si="36"/>
        <v>53420.13294214238</v>
      </c>
      <c r="AD20" s="2">
        <f t="shared" si="37"/>
        <v>1.0546264542888819</v>
      </c>
      <c r="AE20" s="2">
        <f t="shared" si="40"/>
        <v>1.052613456988027</v>
      </c>
      <c r="AG20" s="11"/>
    </row>
    <row r="21" spans="1:37" x14ac:dyDescent="0.2">
      <c r="A21" t="s">
        <v>40</v>
      </c>
      <c r="B21">
        <f>PI()</f>
        <v>3.1415926535897931</v>
      </c>
      <c r="C21" s="1">
        <v>206000</v>
      </c>
      <c r="D21" s="1">
        <f t="shared" si="21"/>
        <v>79230.769230769234</v>
      </c>
      <c r="E21" s="6">
        <v>1000</v>
      </c>
      <c r="F21" s="6">
        <f t="shared" si="22"/>
        <v>500</v>
      </c>
      <c r="G21" s="6">
        <v>1000</v>
      </c>
      <c r="H21" s="6">
        <v>1000</v>
      </c>
      <c r="I21" s="6">
        <v>152</v>
      </c>
      <c r="J21" s="6">
        <v>8</v>
      </c>
      <c r="K21" s="6">
        <v>152</v>
      </c>
      <c r="L21" s="6">
        <v>8</v>
      </c>
      <c r="M21">
        <f t="shared" si="23"/>
        <v>3619.1147369354403</v>
      </c>
      <c r="N21">
        <f t="shared" si="24"/>
        <v>3619.1147369354403</v>
      </c>
      <c r="O21">
        <f t="shared" si="25"/>
        <v>9409698.316032147</v>
      </c>
      <c r="P21">
        <f t="shared" si="26"/>
        <v>9409698.316032147</v>
      </c>
      <c r="Q21">
        <f t="shared" si="27"/>
        <v>18819396.632064298</v>
      </c>
      <c r="R21" s="2">
        <f t="shared" si="28"/>
        <v>13993631.627942696</v>
      </c>
      <c r="S21" s="2">
        <f t="shared" si="29"/>
        <v>27987263.255885392</v>
      </c>
      <c r="T21" s="2">
        <f t="shared" si="39"/>
        <v>13993631627942.695</v>
      </c>
      <c r="U21" s="2">
        <f t="shared" si="31"/>
        <v>753291227221111.13</v>
      </c>
      <c r="V21" s="6">
        <v>88277.479500000001</v>
      </c>
      <c r="W21" s="7">
        <v>58000</v>
      </c>
      <c r="X21" s="6">
        <v>87.205637949999996</v>
      </c>
      <c r="Y21">
        <f t="shared" si="32"/>
        <v>1.5220255085296179</v>
      </c>
      <c r="Z21" s="2">
        <f t="shared" si="33"/>
        <v>53.831003076923061</v>
      </c>
      <c r="AA21" s="2">
        <f t="shared" si="34"/>
        <v>954031.70064832654</v>
      </c>
      <c r="AB21" s="2">
        <f t="shared" si="35"/>
        <v>40978.005277333134</v>
      </c>
      <c r="AC21" s="2">
        <f t="shared" si="36"/>
        <v>40918.094385998113</v>
      </c>
      <c r="AD21" s="2">
        <f t="shared" si="37"/>
        <v>0.70651733236781267</v>
      </c>
      <c r="AE21" s="2">
        <f>AD21/(1+((AD21*W21)/S21))</f>
        <v>0.70548438596548479</v>
      </c>
      <c r="AG21" s="11"/>
    </row>
    <row r="22" spans="1:37" x14ac:dyDescent="0.2">
      <c r="D22" s="1"/>
      <c r="H22" s="1"/>
      <c r="I22" s="1"/>
      <c r="J22" s="1"/>
      <c r="R22" s="1"/>
      <c r="S22" s="1"/>
      <c r="T22" s="1"/>
      <c r="U22" s="1"/>
      <c r="V22" s="1"/>
      <c r="W22" s="1"/>
      <c r="X22" s="1"/>
      <c r="Y22" s="1"/>
      <c r="Z22" s="2"/>
      <c r="AA22" s="2"/>
      <c r="AB22" s="2"/>
      <c r="AC22" s="2"/>
      <c r="AE22" s="2"/>
      <c r="AF22" s="2"/>
      <c r="AJ22" s="2"/>
      <c r="AK22" s="2"/>
    </row>
    <row r="23" spans="1:37" x14ac:dyDescent="0.2">
      <c r="B23" s="3"/>
      <c r="D23" s="1"/>
      <c r="R23" s="1"/>
      <c r="S23" s="1"/>
      <c r="T23" s="1"/>
      <c r="U23" s="1"/>
      <c r="V23" s="1"/>
      <c r="W23" s="1"/>
      <c r="X23" s="1"/>
      <c r="Y23" s="1"/>
      <c r="Z23" s="2"/>
      <c r="AA23" s="2"/>
      <c r="AB23" s="2"/>
      <c r="AC23" s="2"/>
      <c r="AE23" s="2"/>
      <c r="AF23" s="2"/>
      <c r="AJ23" s="2"/>
      <c r="AK23" s="2"/>
    </row>
    <row r="24" spans="1:37" x14ac:dyDescent="0.2">
      <c r="D24" s="1"/>
      <c r="G24" s="1"/>
      <c r="R24" s="1"/>
      <c r="S24" s="1"/>
      <c r="T24" s="1"/>
      <c r="U24" s="1"/>
      <c r="V24" s="1"/>
      <c r="W24" s="1"/>
      <c r="X24" s="1"/>
      <c r="Y24" s="1"/>
      <c r="Z24" s="2"/>
      <c r="AA24" s="2"/>
      <c r="AB24" s="2"/>
      <c r="AC24" s="2"/>
      <c r="AE24" s="2"/>
      <c r="AF24" s="2"/>
      <c r="AH24" s="2"/>
    </row>
    <row r="25" spans="1:37" x14ac:dyDescent="0.2">
      <c r="K25" s="3" t="s">
        <v>35</v>
      </c>
      <c r="L25" t="s">
        <v>19</v>
      </c>
      <c r="M25" t="s">
        <v>22</v>
      </c>
      <c r="N25" t="s">
        <v>23</v>
      </c>
      <c r="O25" t="s">
        <v>31</v>
      </c>
      <c r="P25" t="s">
        <v>28</v>
      </c>
      <c r="Q25" t="s">
        <v>29</v>
      </c>
      <c r="R25" t="s">
        <v>30</v>
      </c>
      <c r="S25" s="5" t="s">
        <v>34</v>
      </c>
      <c r="T25" s="5" t="s">
        <v>33</v>
      </c>
      <c r="U25" s="1" t="s">
        <v>43</v>
      </c>
      <c r="W25" s="1"/>
      <c r="Z25" t="s">
        <v>41</v>
      </c>
      <c r="AA25" s="1" t="s">
        <v>42</v>
      </c>
      <c r="AB25" t="s">
        <v>41</v>
      </c>
      <c r="AC25" s="1" t="s">
        <v>42</v>
      </c>
    </row>
    <row r="26" spans="1:37" x14ac:dyDescent="0.2">
      <c r="J26">
        <v>20</v>
      </c>
      <c r="K26" t="s">
        <v>85</v>
      </c>
      <c r="L26" s="6">
        <v>22069.369900000002</v>
      </c>
      <c r="M26" s="7">
        <v>14500</v>
      </c>
      <c r="N26" s="6">
        <v>87.205637949999996</v>
      </c>
      <c r="O26">
        <f>(N26*B4)/180</f>
        <v>1.5220255085296179</v>
      </c>
      <c r="P26">
        <v>69188</v>
      </c>
      <c r="Q26">
        <f>(P26*21.5)/L26</f>
        <v>67.403011809594076</v>
      </c>
      <c r="R26" s="2">
        <f t="shared" ref="R26:R32" si="41">Q26*M26</f>
        <v>977343.67123911413</v>
      </c>
      <c r="S26">
        <v>62.534578899488928</v>
      </c>
      <c r="T26">
        <v>60.572119986112575</v>
      </c>
      <c r="U26" s="11">
        <f>(Q26-S26)/Q26</f>
        <v>7.22287147028077E-2</v>
      </c>
      <c r="V26" s="11"/>
      <c r="W26" s="11"/>
      <c r="X26" s="11"/>
      <c r="AA26" s="1"/>
      <c r="AC26" s="1"/>
    </row>
    <row r="27" spans="1:37" x14ac:dyDescent="0.2">
      <c r="J27">
        <v>30</v>
      </c>
      <c r="K27" t="s">
        <v>87</v>
      </c>
      <c r="L27" s="6">
        <v>33104.054799999998</v>
      </c>
      <c r="M27" s="7">
        <v>21750</v>
      </c>
      <c r="N27" s="6">
        <v>87.205637949999996</v>
      </c>
      <c r="O27">
        <f t="shared" ref="O27" si="42">(N27*B5)/180</f>
        <v>1.5220255085296179</v>
      </c>
      <c r="P27">
        <v>20675.2</v>
      </c>
      <c r="Q27">
        <f>(P27*32.5)/L27</f>
        <v>20.297936432850516</v>
      </c>
      <c r="R27" s="2">
        <f t="shared" si="41"/>
        <v>441480.1174144987</v>
      </c>
      <c r="S27">
        <v>18.528764174338381</v>
      </c>
      <c r="T27">
        <v>18.26574782841077</v>
      </c>
      <c r="U27" s="11">
        <f t="shared" ref="U27:U32" si="43">(Q27-S27)/Q27</f>
        <v>8.7160202928258157E-2</v>
      </c>
      <c r="V27" s="11"/>
      <c r="W27" s="11"/>
      <c r="X27" s="11"/>
      <c r="AA27" s="1"/>
      <c r="AC27" s="1"/>
    </row>
    <row r="28" spans="1:37" x14ac:dyDescent="0.2">
      <c r="J28">
        <v>40</v>
      </c>
      <c r="K28" t="s">
        <v>32</v>
      </c>
      <c r="L28" s="6">
        <v>44138.739699999998</v>
      </c>
      <c r="M28" s="7">
        <v>29000</v>
      </c>
      <c r="N28" s="6">
        <v>87.205637949999996</v>
      </c>
      <c r="O28">
        <f t="shared" ref="O28:O32" si="44">(N28*B6)/180</f>
        <v>1.5220255085296179</v>
      </c>
      <c r="P28">
        <v>8530</v>
      </c>
      <c r="Q28">
        <f>(P28*44.5)/L28</f>
        <v>8.5998150962158082</v>
      </c>
      <c r="R28" s="2">
        <f t="shared" si="41"/>
        <v>249394.63779025845</v>
      </c>
      <c r="S28">
        <v>7.8168223978554465</v>
      </c>
      <c r="T28">
        <v>7.7540173460933683</v>
      </c>
      <c r="U28" s="11">
        <f t="shared" si="43"/>
        <v>9.1047620163938567E-2</v>
      </c>
      <c r="V28" s="11"/>
      <c r="W28" s="11"/>
      <c r="X28" s="11"/>
      <c r="Z28">
        <v>-10000</v>
      </c>
      <c r="AA28">
        <v>-9523.8094999999994</v>
      </c>
      <c r="AB28">
        <v>50000</v>
      </c>
      <c r="AC28">
        <v>-9523.8094999999994</v>
      </c>
    </row>
    <row r="29" spans="1:37" x14ac:dyDescent="0.2">
      <c r="F29" s="1"/>
      <c r="G29" s="3"/>
      <c r="H29" s="2"/>
      <c r="J29">
        <v>50</v>
      </c>
      <c r="K29" t="s">
        <v>37</v>
      </c>
      <c r="L29" s="6">
        <v>55173.424700000003</v>
      </c>
      <c r="M29" s="7">
        <v>36250</v>
      </c>
      <c r="N29" s="6">
        <v>87.205637949999996</v>
      </c>
      <c r="O29">
        <f t="shared" si="44"/>
        <v>1.5220255085296179</v>
      </c>
      <c r="P29">
        <v>4375</v>
      </c>
      <c r="Q29">
        <f>(P29*55.5)/L29</f>
        <v>4.4008959262592224</v>
      </c>
      <c r="R29" s="2">
        <f t="shared" si="41"/>
        <v>159532.47732689683</v>
      </c>
      <c r="S29">
        <v>4.0022130568211702</v>
      </c>
      <c r="T29">
        <v>3.9815733982571309</v>
      </c>
      <c r="U29" s="11">
        <f t="shared" si="43"/>
        <v>9.0591296890070769E-2</v>
      </c>
      <c r="V29" s="11"/>
      <c r="W29" s="11"/>
      <c r="X29" s="11"/>
    </row>
    <row r="30" spans="1:37" x14ac:dyDescent="0.2">
      <c r="F30" s="1"/>
      <c r="G30" s="3"/>
      <c r="H30" s="2"/>
      <c r="J30">
        <v>60</v>
      </c>
      <c r="K30" t="s">
        <v>38</v>
      </c>
      <c r="L30" s="6">
        <v>66208.109599999996</v>
      </c>
      <c r="M30" s="7">
        <v>43500</v>
      </c>
      <c r="N30" s="6">
        <v>87.205637949999996</v>
      </c>
      <c r="O30">
        <f t="shared" si="44"/>
        <v>1.5220255085296179</v>
      </c>
      <c r="P30">
        <v>2533.4</v>
      </c>
      <c r="Q30">
        <f>(P30*66.5)/L30</f>
        <v>2.5445689511122973</v>
      </c>
      <c r="R30" s="2">
        <f t="shared" si="41"/>
        <v>110688.74937338493</v>
      </c>
      <c r="S30">
        <v>2.3160955217922976</v>
      </c>
      <c r="T30">
        <v>2.3077878148762285</v>
      </c>
      <c r="U30" s="11">
        <f t="shared" si="43"/>
        <v>8.9788657218397641E-2</v>
      </c>
      <c r="V30" s="11"/>
      <c r="W30" s="11"/>
      <c r="X30" s="11"/>
      <c r="AI30" s="5"/>
    </row>
    <row r="31" spans="1:37" x14ac:dyDescent="0.2">
      <c r="G31" s="3"/>
      <c r="H31" s="2"/>
      <c r="J31">
        <v>70</v>
      </c>
      <c r="K31" t="s">
        <v>39</v>
      </c>
      <c r="L31" s="6">
        <v>77242.794599999994</v>
      </c>
      <c r="M31" s="7">
        <v>50750</v>
      </c>
      <c r="N31" s="6">
        <v>87.205637949999996</v>
      </c>
      <c r="O31">
        <f t="shared" si="44"/>
        <v>1.5220255085296179</v>
      </c>
      <c r="P31">
        <v>1595.3</v>
      </c>
      <c r="Q31">
        <f>(P31*77.5)/L31</f>
        <v>1.6006120783206361</v>
      </c>
      <c r="R31" s="2">
        <f t="shared" si="41"/>
        <v>81231.062974772285</v>
      </c>
      <c r="S31">
        <v>1.4585324543544587</v>
      </c>
      <c r="T31">
        <v>1.4546851131363985</v>
      </c>
      <c r="U31" s="11">
        <f t="shared" si="43"/>
        <v>8.8765807712289382E-2</v>
      </c>
      <c r="V31" s="11"/>
      <c r="W31" s="11"/>
      <c r="X31" s="11"/>
      <c r="AC31" s="2"/>
      <c r="AG31" s="2"/>
      <c r="AI31" s="2"/>
      <c r="AJ31" s="2"/>
    </row>
    <row r="32" spans="1:37" x14ac:dyDescent="0.2">
      <c r="F32" s="1"/>
      <c r="G32" s="3"/>
      <c r="H32" s="2"/>
      <c r="J32">
        <v>80</v>
      </c>
      <c r="K32" t="s">
        <v>40</v>
      </c>
      <c r="L32" s="6">
        <v>88277.479500000001</v>
      </c>
      <c r="M32" s="7">
        <v>58000</v>
      </c>
      <c r="N32" s="6">
        <v>87.205637949999996</v>
      </c>
      <c r="O32">
        <f t="shared" si="44"/>
        <v>1.5220255085296179</v>
      </c>
      <c r="P32">
        <v>1068.4000000000001</v>
      </c>
      <c r="Q32">
        <f>(P32*88.5)/L32</f>
        <v>1.0710931093133442</v>
      </c>
      <c r="R32" s="2">
        <f t="shared" si="41"/>
        <v>62123.400340173968</v>
      </c>
      <c r="S32">
        <v>0.9771027975182226</v>
      </c>
      <c r="T32">
        <v>0.97512824107917395</v>
      </c>
      <c r="U32" s="11">
        <f t="shared" si="43"/>
        <v>8.7751765908919796E-2</v>
      </c>
      <c r="V32" s="11"/>
      <c r="W32" s="11"/>
      <c r="X32" s="11"/>
      <c r="AC32" s="2"/>
      <c r="AG32" s="2"/>
      <c r="AI32" s="2"/>
      <c r="AJ32" s="2"/>
    </row>
    <row r="33" spans="4:36" x14ac:dyDescent="0.2">
      <c r="F33" s="1"/>
      <c r="G33" s="3"/>
      <c r="H33" s="2"/>
      <c r="I33" t="s">
        <v>36</v>
      </c>
      <c r="K33" s="1"/>
      <c r="M33" s="2"/>
      <c r="AC33" s="2"/>
      <c r="AG33" s="2"/>
      <c r="AI33" s="2"/>
      <c r="AJ33" s="2"/>
    </row>
    <row r="34" spans="4:36" x14ac:dyDescent="0.2">
      <c r="F34" s="1"/>
      <c r="G34" s="3"/>
      <c r="H34" s="2"/>
      <c r="K34" s="1"/>
      <c r="L34" s="1"/>
      <c r="M34" s="1"/>
      <c r="N34" s="1"/>
      <c r="Q34" s="2"/>
      <c r="AC34" s="2"/>
      <c r="AG34" s="2"/>
      <c r="AI34" s="2"/>
      <c r="AJ34" s="2"/>
    </row>
    <row r="35" spans="4:36" x14ac:dyDescent="0.2">
      <c r="D35" s="1"/>
    </row>
    <row r="36" spans="4:36" x14ac:dyDescent="0.2">
      <c r="N36" t="s">
        <v>35</v>
      </c>
      <c r="O36" t="s">
        <v>7</v>
      </c>
      <c r="P36" t="s">
        <v>69</v>
      </c>
      <c r="Q36" t="s">
        <v>70</v>
      </c>
      <c r="R36" t="s">
        <v>14</v>
      </c>
    </row>
    <row r="37" spans="4:36" x14ac:dyDescent="0.2">
      <c r="N37" s="6">
        <v>152</v>
      </c>
      <c r="O37">
        <v>100000</v>
      </c>
      <c r="P37">
        <v>100000</v>
      </c>
      <c r="Q37" s="1">
        <v>4.58481E-4</v>
      </c>
      <c r="R37" s="12">
        <f>(P37*O37)/Q37</f>
        <v>21811154660716.582</v>
      </c>
      <c r="S37" s="2">
        <f t="shared" ref="S37" si="45">R37/1000000000000</f>
        <v>21.811154660716582</v>
      </c>
      <c r="U37">
        <v>22241158576447.336</v>
      </c>
      <c r="V37" s="1">
        <f>U37/1000000000000</f>
        <v>22.241158576447337</v>
      </c>
      <c r="X37" s="11">
        <f>(U37-R37)/U37</f>
        <v>1.9333701266179275E-2</v>
      </c>
    </row>
    <row r="38" spans="4:36" x14ac:dyDescent="0.2">
      <c r="N38" s="6"/>
      <c r="Q38" s="1"/>
      <c r="R38" s="12"/>
      <c r="S38" s="2"/>
      <c r="V38" s="1"/>
      <c r="X38" s="11"/>
    </row>
    <row r="39" spans="4:36" x14ac:dyDescent="0.2">
      <c r="N39" s="6"/>
      <c r="Q39" s="1"/>
      <c r="R39" s="12"/>
      <c r="S39" s="2"/>
      <c r="V39" s="1"/>
      <c r="X39" s="11"/>
    </row>
    <row r="44" spans="4:36" x14ac:dyDescent="0.2">
      <c r="O44">
        <v>5168.8</v>
      </c>
      <c r="P44">
        <f>O44*4</f>
        <v>20675.2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CB4E-4E5F-4BA1-974A-DF6A374B9790}">
  <dimension ref="A1:AK43"/>
  <sheetViews>
    <sheetView topLeftCell="L1" zoomScale="85" zoomScaleNormal="85" workbookViewId="0">
      <selection activeCell="AG13" sqref="AG13"/>
    </sheetView>
  </sheetViews>
  <sheetFormatPr defaultRowHeight="14.25" x14ac:dyDescent="0.2"/>
  <cols>
    <col min="7" max="7" width="11.25" customWidth="1"/>
    <col min="8" max="8" width="11" bestFit="1" customWidth="1"/>
    <col min="11" max="11" width="11.25" customWidth="1"/>
    <col min="12" max="12" width="12.25" customWidth="1"/>
    <col min="13" max="13" width="10" customWidth="1"/>
    <col min="14" max="14" width="11.625" customWidth="1"/>
    <col min="15" max="15" width="9.875" customWidth="1"/>
    <col min="16" max="16" width="9.5" customWidth="1"/>
    <col min="17" max="17" width="10.125" bestFit="1" customWidth="1"/>
    <col min="18" max="18" width="10.5" customWidth="1"/>
    <col min="19" max="19" width="11.25" customWidth="1"/>
    <col min="20" max="20" width="12" customWidth="1"/>
    <col min="21" max="21" width="14.75" customWidth="1"/>
    <col min="22" max="22" width="11.125" customWidth="1"/>
    <col min="23" max="23" width="11.375" customWidth="1"/>
    <col min="25" max="25" width="10.625" customWidth="1"/>
    <col min="26" max="26" width="10" customWidth="1"/>
    <col min="27" max="27" width="11.125" customWidth="1"/>
    <col min="28" max="28" width="10.375" customWidth="1"/>
    <col min="29" max="29" width="10.5" customWidth="1"/>
    <col min="30" max="30" width="9.625" customWidth="1"/>
    <col min="31" max="31" width="10" customWidth="1"/>
    <col min="32" max="32" width="9.125" customWidth="1"/>
    <col min="33" max="33" width="10.125" bestFit="1" customWidth="1"/>
    <col min="34" max="34" width="9.875" customWidth="1"/>
    <col min="35" max="37" width="10.125" bestFit="1" customWidth="1"/>
    <col min="38" max="38" width="6.5" customWidth="1"/>
    <col min="39" max="39" width="7.125" customWidth="1"/>
  </cols>
  <sheetData>
    <row r="1" spans="1:37" ht="30" x14ac:dyDescent="0.4">
      <c r="B1" s="4" t="s">
        <v>71</v>
      </c>
      <c r="D1" s="1"/>
      <c r="AE1" s="4">
        <v>22</v>
      </c>
    </row>
    <row r="3" spans="1:37" x14ac:dyDescent="0.2">
      <c r="B3" t="s">
        <v>3</v>
      </c>
      <c r="C3" t="s">
        <v>11</v>
      </c>
      <c r="D3" t="s">
        <v>18</v>
      </c>
      <c r="E3" t="s">
        <v>7</v>
      </c>
      <c r="F3" t="s">
        <v>13</v>
      </c>
      <c r="G3" t="s">
        <v>4</v>
      </c>
      <c r="H3" t="s">
        <v>5</v>
      </c>
      <c r="I3" t="s">
        <v>8</v>
      </c>
      <c r="J3" t="s">
        <v>9</v>
      </c>
      <c r="K3" t="s">
        <v>0</v>
      </c>
      <c r="L3" t="s">
        <v>1</v>
      </c>
      <c r="M3" t="s">
        <v>2</v>
      </c>
      <c r="N3" t="s">
        <v>15</v>
      </c>
      <c r="O3" t="s">
        <v>6</v>
      </c>
      <c r="P3" t="s">
        <v>10</v>
      </c>
      <c r="Q3" t="s">
        <v>16</v>
      </c>
      <c r="R3" t="s">
        <v>12</v>
      </c>
      <c r="S3" t="s">
        <v>17</v>
      </c>
      <c r="T3" t="s">
        <v>14</v>
      </c>
      <c r="U3" t="s">
        <v>21</v>
      </c>
      <c r="V3" t="s">
        <v>19</v>
      </c>
      <c r="W3" t="s">
        <v>22</v>
      </c>
      <c r="X3" t="s">
        <v>23</v>
      </c>
      <c r="Y3" t="s">
        <v>31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34</v>
      </c>
      <c r="AE3" s="5" t="s">
        <v>33</v>
      </c>
    </row>
    <row r="4" spans="1:37" x14ac:dyDescent="0.2">
      <c r="A4" t="s">
        <v>44</v>
      </c>
      <c r="B4">
        <f>PI()</f>
        <v>3.1415926535897931</v>
      </c>
      <c r="C4" s="1">
        <v>206000</v>
      </c>
      <c r="D4" s="1">
        <f t="shared" ref="D4:D8" si="0">C4/2.6</f>
        <v>79230.769230769234</v>
      </c>
      <c r="E4" s="6">
        <v>1000</v>
      </c>
      <c r="F4" s="6">
        <f t="shared" ref="F4:F8" si="1">G4/2</f>
        <v>500</v>
      </c>
      <c r="G4" s="6">
        <v>1000</v>
      </c>
      <c r="H4" s="6">
        <v>1000</v>
      </c>
      <c r="I4" s="6">
        <v>152</v>
      </c>
      <c r="J4" s="6">
        <v>8</v>
      </c>
      <c r="K4" s="6">
        <v>152</v>
      </c>
      <c r="L4" s="6">
        <v>8</v>
      </c>
      <c r="M4">
        <f t="shared" ref="M4:M8" si="2">(B4*((K4/2)^2))-(B4*(((K4-(2*L4))/2)^2))</f>
        <v>3619.1147369354403</v>
      </c>
      <c r="N4">
        <f t="shared" ref="N4:N8" si="3">(B4*((I4/2)^2))-(B4*(((I4-(2*J4))/2)^2))</f>
        <v>3619.1147369354403</v>
      </c>
      <c r="O4">
        <f t="shared" ref="O4:O8" si="4">((B4*K4*K4*K4*K4)/64)*(1-(((K4-2*L4)/K4)^4))</f>
        <v>9409698.316032147</v>
      </c>
      <c r="P4">
        <f t="shared" ref="P4:P8" si="5">((B4*I4*I4*I4*I4)/64)*(1-(((I4-2*J4)/I4)^4))</f>
        <v>9409698.316032147</v>
      </c>
      <c r="Q4">
        <f t="shared" ref="Q4:Q8" si="6">((B4/32)*((I4*I4*I4*I4)-(I4-2*J4)*(I4-2*J4)*(I4-2*J4)*(I4-2*J4)))</f>
        <v>18819396.632064298</v>
      </c>
      <c r="R4" s="2">
        <f t="shared" ref="R4:R8" si="7">1/(((E4*E4)/(24*C4*O4))+((E4*G4)/(12*C4*P4))+((2*E4)/(G4*N4*D4)))</f>
        <v>13993631.627942696</v>
      </c>
      <c r="S4" s="2">
        <f t="shared" ref="S4:S8" si="8">2*R4</f>
        <v>27987263.255885392</v>
      </c>
      <c r="T4" s="2">
        <f>4*(F4*F4*R4)+4*D4*Q4</f>
        <v>19957932714412.305</v>
      </c>
      <c r="U4" s="2">
        <f t="shared" ref="U4:U8" si="9">C4*M4*G4*G4+4*C4*O4</f>
        <v>753291227221111.13</v>
      </c>
      <c r="V4" s="6">
        <v>55173.424700000003</v>
      </c>
      <c r="W4" s="7">
        <v>36250</v>
      </c>
      <c r="X4" s="6">
        <v>87.205637949999996</v>
      </c>
      <c r="Y4">
        <f t="shared" ref="Y4:Y8" si="10">(X4*B4)/180</f>
        <v>1.5220255085296179</v>
      </c>
      <c r="Z4" s="2">
        <f t="shared" ref="Z4:Z8" si="11">U4/T4</f>
        <v>37.743950638591635</v>
      </c>
      <c r="AA4" s="2">
        <f t="shared" ref="AA4:AA8" si="12">(B4*B4*U4)/(V4*V4)</f>
        <v>2442321.1525530592</v>
      </c>
      <c r="AB4" s="2">
        <f t="shared" ref="AB4:AB8" si="13">(AA4*(1-(Y4/B4)*(Y4/B4))*(1-(Y4/B4)*(Y4/B4)))/(1+Z4*(Y4/B4)*(Y4/B4))</f>
        <v>145080.22330976743</v>
      </c>
      <c r="AC4" s="2">
        <f t="shared" ref="AC4:AC8" si="14">AB4/(1+(AB4/S4))</f>
        <v>144332.03568682101</v>
      </c>
      <c r="AD4" s="2">
        <f t="shared" ref="AD4:AD8" si="15">AB4/W4</f>
        <v>4.0022130568211702</v>
      </c>
      <c r="AE4">
        <f t="shared" ref="AE4:AE8" si="16">AC4/W4</f>
        <v>3.9815733982571313</v>
      </c>
      <c r="AG4" s="11">
        <f>(AD4-AD16)/AD16</f>
        <v>0.38298489329847513</v>
      </c>
      <c r="AH4" s="11">
        <f>(AE4-AE16)/AE16</f>
        <v>0.38100981667945494</v>
      </c>
      <c r="AJ4" s="11">
        <f>(SUM(AG4:AG11))/8</f>
        <v>4.428836302337503</v>
      </c>
      <c r="AK4" s="11">
        <f>(SUM(AH4:AH11))/8</f>
        <v>4.2939342249457235</v>
      </c>
    </row>
    <row r="5" spans="1:37" x14ac:dyDescent="0.2">
      <c r="A5" t="s">
        <v>45</v>
      </c>
      <c r="B5">
        <f>PI()</f>
        <v>3.1415926535897931</v>
      </c>
      <c r="C5" s="1">
        <v>206000</v>
      </c>
      <c r="D5" s="1">
        <f t="shared" si="0"/>
        <v>79230.769230769234</v>
      </c>
      <c r="E5" s="6">
        <v>2000</v>
      </c>
      <c r="F5" s="6">
        <f t="shared" si="1"/>
        <v>500</v>
      </c>
      <c r="G5" s="6">
        <v>1000</v>
      </c>
      <c r="H5" s="6">
        <v>1000</v>
      </c>
      <c r="I5" s="6">
        <v>152</v>
      </c>
      <c r="J5" s="6">
        <v>8</v>
      </c>
      <c r="K5" s="6">
        <v>152</v>
      </c>
      <c r="L5" s="6">
        <v>8</v>
      </c>
      <c r="M5">
        <f t="shared" si="2"/>
        <v>3619.1147369354403</v>
      </c>
      <c r="N5">
        <f t="shared" si="3"/>
        <v>3619.1147369354403</v>
      </c>
      <c r="O5">
        <f t="shared" si="4"/>
        <v>9409698.316032147</v>
      </c>
      <c r="P5">
        <f t="shared" si="5"/>
        <v>9409698.316032147</v>
      </c>
      <c r="Q5">
        <f t="shared" si="6"/>
        <v>18819396.632064298</v>
      </c>
      <c r="R5" s="2">
        <f t="shared" si="7"/>
        <v>5378860.4033852546</v>
      </c>
      <c r="S5" s="2">
        <f t="shared" si="8"/>
        <v>10757720.806770509</v>
      </c>
      <c r="T5" s="2">
        <f t="shared" ref="T5:T11" si="17">4*(F5*F5*R5)+4*D5*Q5</f>
        <v>11343161489854.863</v>
      </c>
      <c r="U5" s="2">
        <f t="shared" si="9"/>
        <v>753291227221111.13</v>
      </c>
      <c r="V5" s="6">
        <v>55173.424700000003</v>
      </c>
      <c r="W5" s="7">
        <v>36250</v>
      </c>
      <c r="X5" s="6">
        <v>87.205637949999996</v>
      </c>
      <c r="Y5">
        <f t="shared" si="10"/>
        <v>1.5220255085296179</v>
      </c>
      <c r="Z5" s="2">
        <f t="shared" si="11"/>
        <v>66.409283504853775</v>
      </c>
      <c r="AA5" s="2">
        <f t="shared" si="12"/>
        <v>2442321.1525530592</v>
      </c>
      <c r="AB5" s="2">
        <f t="shared" si="13"/>
        <v>86232.220772589993</v>
      </c>
      <c r="AC5" s="2">
        <f t="shared" si="14"/>
        <v>85546.493355615239</v>
      </c>
      <c r="AD5" s="2">
        <f t="shared" si="15"/>
        <v>2.3788198833817931</v>
      </c>
      <c r="AE5">
        <f t="shared" si="16"/>
        <v>2.3599032649824894</v>
      </c>
      <c r="AG5" s="11">
        <f t="shared" ref="AG5:AH11" si="18">(AD5-AD17)/AD17</f>
        <v>1.0419925219336081</v>
      </c>
      <c r="AH5" s="11">
        <f t="shared" si="18"/>
        <v>1.0337064910953573</v>
      </c>
    </row>
    <row r="6" spans="1:37" x14ac:dyDescent="0.2">
      <c r="A6" t="s">
        <v>72</v>
      </c>
      <c r="B6">
        <f>PI()</f>
        <v>3.1415926535897931</v>
      </c>
      <c r="C6" s="1">
        <v>206000</v>
      </c>
      <c r="D6" s="1">
        <f t="shared" si="0"/>
        <v>79230.769230769234</v>
      </c>
      <c r="E6" s="6">
        <v>3000</v>
      </c>
      <c r="F6" s="6">
        <f t="shared" si="1"/>
        <v>500</v>
      </c>
      <c r="G6" s="6">
        <v>1000</v>
      </c>
      <c r="H6" s="6">
        <v>1000</v>
      </c>
      <c r="I6" s="6">
        <v>152</v>
      </c>
      <c r="J6" s="6">
        <v>8</v>
      </c>
      <c r="K6" s="6">
        <v>152</v>
      </c>
      <c r="L6" s="6">
        <v>8</v>
      </c>
      <c r="M6">
        <f t="shared" si="2"/>
        <v>3619.1147369354403</v>
      </c>
      <c r="N6">
        <f t="shared" si="3"/>
        <v>3619.1147369354403</v>
      </c>
      <c r="O6">
        <f t="shared" si="4"/>
        <v>9409698.316032147</v>
      </c>
      <c r="P6">
        <f t="shared" si="5"/>
        <v>9409698.316032147</v>
      </c>
      <c r="Q6">
        <f t="shared" si="6"/>
        <v>18819396.632064298</v>
      </c>
      <c r="R6" s="2">
        <f t="shared" si="7"/>
        <v>2912431.4158041687</v>
      </c>
      <c r="S6" s="2">
        <f t="shared" si="8"/>
        <v>5824862.8316083374</v>
      </c>
      <c r="T6" s="2">
        <f t="shared" si="17"/>
        <v>8876732502273.7773</v>
      </c>
      <c r="U6" s="2">
        <f t="shared" si="9"/>
        <v>753291227221111.13</v>
      </c>
      <c r="V6" s="6">
        <v>55173.424700000003</v>
      </c>
      <c r="W6" s="7">
        <v>36250</v>
      </c>
      <c r="X6" s="6">
        <v>87.205637949999996</v>
      </c>
      <c r="Y6">
        <f t="shared" si="10"/>
        <v>1.5220255085296179</v>
      </c>
      <c r="Z6" s="2">
        <f t="shared" si="11"/>
        <v>84.861318849943416</v>
      </c>
      <c r="AA6" s="2">
        <f t="shared" si="12"/>
        <v>2442321.1525530592</v>
      </c>
      <c r="AB6" s="2">
        <f t="shared" si="13"/>
        <v>68378.446837843963</v>
      </c>
      <c r="AC6" s="2">
        <f t="shared" si="14"/>
        <v>67585.061369467454</v>
      </c>
      <c r="AD6" s="2">
        <f t="shared" si="15"/>
        <v>1.8863019817336266</v>
      </c>
      <c r="AE6">
        <f t="shared" si="16"/>
        <v>1.8644154860542745</v>
      </c>
      <c r="AG6" s="11">
        <f t="shared" si="18"/>
        <v>1.9499784500204462</v>
      </c>
      <c r="AH6" s="11">
        <f t="shared" si="18"/>
        <v>1.9273531252662526</v>
      </c>
    </row>
    <row r="7" spans="1:37" x14ac:dyDescent="0.2">
      <c r="A7" t="s">
        <v>73</v>
      </c>
      <c r="B7">
        <f>PI()</f>
        <v>3.1415926535897931</v>
      </c>
      <c r="C7" s="1">
        <v>206000</v>
      </c>
      <c r="D7" s="1">
        <f t="shared" si="0"/>
        <v>79230.769230769234</v>
      </c>
      <c r="E7" s="6">
        <v>4000</v>
      </c>
      <c r="F7" s="6">
        <f t="shared" si="1"/>
        <v>500</v>
      </c>
      <c r="G7" s="6">
        <v>1000</v>
      </c>
      <c r="H7" s="6">
        <v>1000</v>
      </c>
      <c r="I7" s="6">
        <v>152</v>
      </c>
      <c r="J7" s="6">
        <v>8</v>
      </c>
      <c r="K7" s="6">
        <v>152</v>
      </c>
      <c r="L7" s="6">
        <v>8</v>
      </c>
      <c r="M7">
        <f t="shared" si="2"/>
        <v>3619.1147369354403</v>
      </c>
      <c r="N7">
        <f t="shared" si="3"/>
        <v>3619.1147369354403</v>
      </c>
      <c r="O7">
        <f t="shared" si="4"/>
        <v>9409698.316032147</v>
      </c>
      <c r="P7">
        <f t="shared" si="5"/>
        <v>9409698.316032147</v>
      </c>
      <c r="Q7">
        <f t="shared" si="6"/>
        <v>18819396.632064298</v>
      </c>
      <c r="R7" s="2">
        <f t="shared" si="7"/>
        <v>1838947.5685931072</v>
      </c>
      <c r="S7" s="2">
        <f t="shared" si="8"/>
        <v>3677895.1371862143</v>
      </c>
      <c r="T7" s="2">
        <f t="shared" si="17"/>
        <v>7803248655062.7158</v>
      </c>
      <c r="U7" s="2">
        <f t="shared" si="9"/>
        <v>753291227221111.13</v>
      </c>
      <c r="V7" s="6">
        <v>55173.424700000003</v>
      </c>
      <c r="W7" s="7">
        <v>36250</v>
      </c>
      <c r="X7" s="6">
        <v>87.205637949999996</v>
      </c>
      <c r="Y7">
        <f t="shared" si="10"/>
        <v>1.5220255085296179</v>
      </c>
      <c r="Z7" s="2">
        <f t="shared" si="11"/>
        <v>96.535591843837864</v>
      </c>
      <c r="AA7" s="2">
        <f t="shared" si="12"/>
        <v>2442321.1525530592</v>
      </c>
      <c r="AB7" s="2">
        <f t="shared" si="13"/>
        <v>60458.804272514288</v>
      </c>
      <c r="AC7" s="2">
        <f t="shared" si="14"/>
        <v>59481.029810464323</v>
      </c>
      <c r="AD7" s="2">
        <f t="shared" si="15"/>
        <v>1.6678290833797045</v>
      </c>
      <c r="AE7">
        <f t="shared" si="16"/>
        <v>1.6408559947714296</v>
      </c>
      <c r="AG7" s="11">
        <f t="shared" si="18"/>
        <v>3.1062340796335262</v>
      </c>
      <c r="AH7" s="11">
        <f t="shared" si="18"/>
        <v>3.0559982803523336</v>
      </c>
    </row>
    <row r="8" spans="1:37" x14ac:dyDescent="0.2">
      <c r="A8" t="s">
        <v>74</v>
      </c>
      <c r="B8">
        <f>PI()</f>
        <v>3.1415926535897931</v>
      </c>
      <c r="C8" s="1">
        <v>206000</v>
      </c>
      <c r="D8" s="1">
        <f t="shared" si="0"/>
        <v>79230.769230769234</v>
      </c>
      <c r="E8" s="6">
        <v>5000</v>
      </c>
      <c r="F8" s="6">
        <f t="shared" si="1"/>
        <v>500</v>
      </c>
      <c r="G8" s="6">
        <v>1000</v>
      </c>
      <c r="H8" s="6">
        <v>1000</v>
      </c>
      <c r="I8" s="6">
        <v>152</v>
      </c>
      <c r="J8" s="6">
        <v>8</v>
      </c>
      <c r="K8" s="6">
        <v>152</v>
      </c>
      <c r="L8" s="6">
        <v>8</v>
      </c>
      <c r="M8">
        <f t="shared" si="2"/>
        <v>3619.1147369354403</v>
      </c>
      <c r="N8">
        <f t="shared" si="3"/>
        <v>3619.1147369354403</v>
      </c>
      <c r="O8">
        <f t="shared" si="4"/>
        <v>9409698.316032147</v>
      </c>
      <c r="P8">
        <f t="shared" si="5"/>
        <v>9409698.316032147</v>
      </c>
      <c r="Q8">
        <f t="shared" si="6"/>
        <v>18819396.632064298</v>
      </c>
      <c r="R8" s="2">
        <f t="shared" si="7"/>
        <v>1270303.1061444073</v>
      </c>
      <c r="S8" s="2">
        <f t="shared" si="8"/>
        <v>2540606.2122888146</v>
      </c>
      <c r="T8" s="2">
        <f t="shared" si="17"/>
        <v>7234604192614.0156</v>
      </c>
      <c r="U8" s="2">
        <f t="shared" si="9"/>
        <v>753291227221111.13</v>
      </c>
      <c r="V8" s="6">
        <v>55173.424700000003</v>
      </c>
      <c r="W8" s="7">
        <v>36250</v>
      </c>
      <c r="X8" s="6">
        <v>87.205637949999996</v>
      </c>
      <c r="Y8">
        <f t="shared" si="10"/>
        <v>1.5220255085296179</v>
      </c>
      <c r="Z8" s="2">
        <f t="shared" si="11"/>
        <v>104.12335038178931</v>
      </c>
      <c r="AA8" s="2">
        <f t="shared" si="12"/>
        <v>2442321.1525530592</v>
      </c>
      <c r="AB8" s="2">
        <f t="shared" si="13"/>
        <v>56226.190268771286</v>
      </c>
      <c r="AC8" s="2">
        <f t="shared" si="14"/>
        <v>55008.789997184074</v>
      </c>
      <c r="AD8" s="2">
        <f t="shared" si="15"/>
        <v>1.5510673177592078</v>
      </c>
      <c r="AE8">
        <f t="shared" si="16"/>
        <v>1.5174838619912847</v>
      </c>
      <c r="AG8" s="11">
        <f t="shared" si="18"/>
        <v>4.5106168908040081</v>
      </c>
      <c r="AH8" s="11">
        <f t="shared" si="18"/>
        <v>4.4129537519421786</v>
      </c>
    </row>
    <row r="9" spans="1:37" x14ac:dyDescent="0.2">
      <c r="A9" t="s">
        <v>90</v>
      </c>
      <c r="B9">
        <f>PI()</f>
        <v>3.1415926535897931</v>
      </c>
      <c r="C9" s="1">
        <v>206000</v>
      </c>
      <c r="D9" s="1">
        <f t="shared" ref="D9" si="19">C9/2.6</f>
        <v>79230.769230769234</v>
      </c>
      <c r="E9" s="6">
        <v>6000</v>
      </c>
      <c r="F9" s="6">
        <f t="shared" ref="F9" si="20">G9/2</f>
        <v>500</v>
      </c>
      <c r="G9" s="6">
        <v>1000</v>
      </c>
      <c r="H9" s="6">
        <v>1000</v>
      </c>
      <c r="I9" s="6">
        <v>152</v>
      </c>
      <c r="J9" s="6">
        <v>8</v>
      </c>
      <c r="K9" s="6">
        <v>152</v>
      </c>
      <c r="L9" s="6">
        <v>8</v>
      </c>
      <c r="M9">
        <f t="shared" ref="M9" si="21">(B9*((K9/2)^2))-(B9*(((K9-(2*L9))/2)^2))</f>
        <v>3619.1147369354403</v>
      </c>
      <c r="N9">
        <f t="shared" ref="N9" si="22">(B9*((I9/2)^2))-(B9*(((I9-(2*J9))/2)^2))</f>
        <v>3619.1147369354403</v>
      </c>
      <c r="O9">
        <f t="shared" ref="O9" si="23">((B9*K9*K9*K9*K9)/64)*(1-(((K9-2*L9)/K9)^4))</f>
        <v>9409698.316032147</v>
      </c>
      <c r="P9">
        <f t="shared" ref="P9" si="24">((B9*I9*I9*I9*I9)/64)*(1-(((I9-2*J9)/I9)^4))</f>
        <v>9409698.316032147</v>
      </c>
      <c r="Q9">
        <f t="shared" ref="Q9" si="25">((B9/32)*((I9*I9*I9*I9)-(I9-2*J9)*(I9-2*J9)*(I9-2*J9)*(I9-2*J9)))</f>
        <v>18819396.632064298</v>
      </c>
      <c r="R9" s="2">
        <f t="shared" ref="R9" si="26">1/(((E9*E9)/(24*C9*O9))+((E9*G9)/(12*C9*P9))+((2*E9)/(G9*N9*D9)))</f>
        <v>931420.51063976239</v>
      </c>
      <c r="S9" s="2">
        <f t="shared" ref="S9" si="27">2*R9</f>
        <v>1862841.0212795248</v>
      </c>
      <c r="T9" s="2">
        <f>4*(F9*F9*R9)+4*D9*Q9</f>
        <v>6895721597109.3711</v>
      </c>
      <c r="U9" s="2">
        <f t="shared" ref="U9" si="28">C9*M9*G9*G9+4*C9*O9</f>
        <v>753291227221111.13</v>
      </c>
      <c r="V9" s="6">
        <v>55173.424700000003</v>
      </c>
      <c r="W9" s="7">
        <v>36250</v>
      </c>
      <c r="X9" s="6">
        <v>87.205637949999996</v>
      </c>
      <c r="Y9">
        <f t="shared" ref="Y9" si="29">(X9*B9)/180</f>
        <v>1.5220255085296179</v>
      </c>
      <c r="Z9" s="2">
        <f t="shared" ref="Z9" si="30">U9/T9</f>
        <v>109.24037703855163</v>
      </c>
      <c r="AA9" s="2">
        <f t="shared" ref="AA9" si="31">(B9*B9*U9)/(V9*V9)</f>
        <v>2442321.1525530592</v>
      </c>
      <c r="AB9" s="2">
        <f t="shared" ref="AB9" si="32">(AA9*(1-(Y9/B9)*(Y9/B9))*(1-(Y9/B9)*(Y9/B9)))/(1+Z9*(Y9/B9)*(Y9/B9))</f>
        <v>53691.310905190177</v>
      </c>
      <c r="AC9" s="2">
        <f t="shared" ref="AC9" si="33">AB9/(1+(AB9/S9))</f>
        <v>52187.158421922832</v>
      </c>
      <c r="AD9" s="2">
        <f t="shared" ref="AD9" si="34">AB9/W9</f>
        <v>1.48113961117766</v>
      </c>
      <c r="AE9">
        <f t="shared" ref="AE9" si="35">AC9/W9</f>
        <v>1.439645749570285</v>
      </c>
      <c r="AG9" s="11">
        <f t="shared" si="18"/>
        <v>6.163081500237209</v>
      </c>
      <c r="AH9" s="11">
        <f t="shared" si="18"/>
        <v>5.9904238730183375</v>
      </c>
    </row>
    <row r="10" spans="1:37" x14ac:dyDescent="0.2">
      <c r="A10" t="s">
        <v>91</v>
      </c>
      <c r="B10">
        <f>PI()</f>
        <v>3.1415926535897931</v>
      </c>
      <c r="C10" s="1">
        <v>206000</v>
      </c>
      <c r="D10" s="1">
        <f t="shared" ref="D10" si="36">C10/2.6</f>
        <v>79230.769230769234</v>
      </c>
      <c r="E10" s="6">
        <v>7000</v>
      </c>
      <c r="F10" s="6">
        <f t="shared" ref="F10" si="37">G10/2</f>
        <v>500</v>
      </c>
      <c r="G10" s="6">
        <v>1000</v>
      </c>
      <c r="H10" s="6">
        <v>1000</v>
      </c>
      <c r="I10" s="6">
        <v>152</v>
      </c>
      <c r="J10" s="6">
        <v>8</v>
      </c>
      <c r="K10" s="6">
        <v>152</v>
      </c>
      <c r="L10" s="6">
        <v>8</v>
      </c>
      <c r="M10">
        <f t="shared" ref="M10" si="38">(B10*((K10/2)^2))-(B10*(((K10-(2*L10))/2)^2))</f>
        <v>3619.1147369354403</v>
      </c>
      <c r="N10">
        <f t="shared" ref="N10" si="39">(B10*((I10/2)^2))-(B10*(((I10-(2*J10))/2)^2))</f>
        <v>3619.1147369354403</v>
      </c>
      <c r="O10">
        <f t="shared" ref="O10" si="40">((B10*K10*K10*K10*K10)/64)*(1-(((K10-2*L10)/K10)^4))</f>
        <v>9409698.316032147</v>
      </c>
      <c r="P10">
        <f t="shared" ref="P10" si="41">((B10*I10*I10*I10*I10)/64)*(1-(((I10-2*J10)/I10)^4))</f>
        <v>9409698.316032147</v>
      </c>
      <c r="Q10">
        <f t="shared" ref="Q10" si="42">((B10/32)*((I10*I10*I10*I10)-(I10-2*J10)*(I10-2*J10)*(I10-2*J10)*(I10-2*J10)))</f>
        <v>18819396.632064298</v>
      </c>
      <c r="R10" s="2">
        <f t="shared" ref="R10" si="43">1/(((E10*E10)/(24*C10*O10))+((E10*G10)/(12*C10*P10))+((2*E10)/(G10*N10*D10)))</f>
        <v>712740.60283810436</v>
      </c>
      <c r="S10" s="2">
        <f t="shared" ref="S10" si="44">2*R10</f>
        <v>1425481.2056762087</v>
      </c>
      <c r="T10" s="2">
        <f t="shared" si="17"/>
        <v>6677041689307.7129</v>
      </c>
      <c r="U10" s="2">
        <f t="shared" ref="U10" si="45">C10*M10*G10*G10+4*C10*O10</f>
        <v>753291227221111.13</v>
      </c>
      <c r="V10" s="6">
        <v>55173.424700000003</v>
      </c>
      <c r="W10" s="7">
        <v>36250</v>
      </c>
      <c r="X10" s="6">
        <v>87.205637949999996</v>
      </c>
      <c r="Y10">
        <f t="shared" ref="Y10" si="46">(X10*B10)/180</f>
        <v>1.5220255085296179</v>
      </c>
      <c r="Z10" s="2">
        <f t="shared" ref="Z10" si="47">U10/T10</f>
        <v>112.81811051552887</v>
      </c>
      <c r="AA10" s="2">
        <f t="shared" ref="AA10" si="48">(B10*B10*U10)/(V10*V10)</f>
        <v>2442321.1525530592</v>
      </c>
      <c r="AB10" s="2">
        <f t="shared" ref="AB10" si="49">(AA10*(1-(Y10/B10)*(Y10/B10))*(1-(Y10/B10)*(Y10/B10)))/(1+Z10*(Y10/B10)*(Y10/B10))</f>
        <v>52050.590409500932</v>
      </c>
      <c r="AC10" s="2">
        <f t="shared" ref="AC10" si="50">AB10/(1+(AB10/S10))</f>
        <v>50216.948677285734</v>
      </c>
      <c r="AD10" s="2">
        <f t="shared" ref="AD10" si="51">AB10/W10</f>
        <v>1.4358783561241637</v>
      </c>
      <c r="AE10">
        <f t="shared" ref="AE10" si="52">AC10/W10</f>
        <v>1.3852951359251238</v>
      </c>
      <c r="AG10" s="11">
        <f t="shared" si="18"/>
        <v>8.0636095753399903</v>
      </c>
      <c r="AH10" s="11">
        <f t="shared" si="18"/>
        <v>7.7795441898504416</v>
      </c>
    </row>
    <row r="11" spans="1:37" x14ac:dyDescent="0.2">
      <c r="A11" t="s">
        <v>92</v>
      </c>
      <c r="B11">
        <f>PI()</f>
        <v>3.1415926535897931</v>
      </c>
      <c r="C11" s="1">
        <v>206000</v>
      </c>
      <c r="D11" s="1">
        <f t="shared" ref="D11" si="53">C11/2.6</f>
        <v>79230.769230769234</v>
      </c>
      <c r="E11" s="6">
        <v>8000</v>
      </c>
      <c r="F11" s="6">
        <f t="shared" ref="F11" si="54">G11/2</f>
        <v>500</v>
      </c>
      <c r="G11" s="6">
        <v>1000</v>
      </c>
      <c r="H11" s="6">
        <v>1000</v>
      </c>
      <c r="I11" s="6">
        <v>152</v>
      </c>
      <c r="J11" s="6">
        <v>8</v>
      </c>
      <c r="K11" s="6">
        <v>152</v>
      </c>
      <c r="L11" s="6">
        <v>8</v>
      </c>
      <c r="M11">
        <f t="shared" ref="M11" si="55">(B11*((K11/2)^2))-(B11*(((K11-(2*L11))/2)^2))</f>
        <v>3619.1147369354403</v>
      </c>
      <c r="N11">
        <f t="shared" ref="N11" si="56">(B11*((I11/2)^2))-(B11*(((I11-(2*J11))/2)^2))</f>
        <v>3619.1147369354403</v>
      </c>
      <c r="O11">
        <f t="shared" ref="O11" si="57">((B11*K11*K11*K11*K11)/64)*(1-(((K11-2*L11)/K11)^4))</f>
        <v>9409698.316032147</v>
      </c>
      <c r="P11">
        <f t="shared" ref="P11" si="58">((B11*I11*I11*I11*I11)/64)*(1-(((I11-2*J11)/I11)^4))</f>
        <v>9409698.316032147</v>
      </c>
      <c r="Q11">
        <f t="shared" ref="Q11" si="59">((B11/32)*((I11*I11*I11*I11)-(I11-2*J11)*(I11-2*J11)*(I11-2*J11)*(I11-2*J11)))</f>
        <v>18819396.632064298</v>
      </c>
      <c r="R11" s="2">
        <f t="shared" ref="R11" si="60">1/(((E11*E11)/(24*C11*O11))+((E11*G11)/(12*C11*P11))+((2*E11)/(G11*N11*D11)))</f>
        <v>563243.23930191807</v>
      </c>
      <c r="S11" s="2">
        <f t="shared" ref="S11" si="61">2*R11</f>
        <v>1126486.4786038361</v>
      </c>
      <c r="T11" s="2">
        <f t="shared" si="17"/>
        <v>6527544325771.5264</v>
      </c>
      <c r="U11" s="2">
        <f t="shared" ref="U11" si="62">C11*M11*G11*G11+4*C11*O11</f>
        <v>753291227221111.13</v>
      </c>
      <c r="V11" s="6">
        <v>55173.424700000003</v>
      </c>
      <c r="W11" s="7">
        <v>36250</v>
      </c>
      <c r="X11" s="6">
        <v>87.205637949999996</v>
      </c>
      <c r="Y11">
        <f t="shared" ref="Y11" si="63">(X11*B11)/180</f>
        <v>1.5220255085296179</v>
      </c>
      <c r="Z11" s="2">
        <f t="shared" ref="Z11" si="64">U11/T11</f>
        <v>115.40193212431008</v>
      </c>
      <c r="AA11" s="2">
        <f t="shared" ref="AA11" si="65">(B11*B11*U11)/(V11*V11)</f>
        <v>2442321.1525530592</v>
      </c>
      <c r="AB11" s="2">
        <f t="shared" ref="AB11" si="66">(AA11*(1-(Y11/B11)*(Y11/B11))*(1-(Y11/B11)*(Y11/B11)))/(1+Z11*(Y11/B11)*(Y11/B11))</f>
        <v>50926.683018238073</v>
      </c>
      <c r="AC11" s="2">
        <f t="shared" ref="AC11" si="67">AB11/(1+(AB11/S11))</f>
        <v>48723.949833510378</v>
      </c>
      <c r="AD11" s="2">
        <f t="shared" ref="AD11" si="68">AB11/W11</f>
        <v>1.4048740142962226</v>
      </c>
      <c r="AE11">
        <f t="shared" ref="AE11" si="69">AC11/W11</f>
        <v>1.3441089609244241</v>
      </c>
      <c r="AG11" s="11">
        <f t="shared" si="18"/>
        <v>10.212192507432761</v>
      </c>
      <c r="AH11" s="11">
        <f t="shared" si="18"/>
        <v>9.7704842713614326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  <c r="T12" s="1"/>
      <c r="U12" s="1"/>
      <c r="V12" s="1"/>
      <c r="W12" s="1"/>
      <c r="X12" s="1"/>
      <c r="Y12" s="1"/>
      <c r="Z12" s="2"/>
      <c r="AA12" s="2"/>
      <c r="AB12" s="2"/>
      <c r="AC12" s="2"/>
      <c r="AD12" s="6"/>
      <c r="AE12" s="7"/>
      <c r="AF12" s="6"/>
      <c r="AH12" s="2"/>
      <c r="AI12" s="2"/>
      <c r="AJ12" s="2"/>
      <c r="AK12" s="2"/>
    </row>
    <row r="13" spans="1:37" ht="30" x14ac:dyDescent="0.4">
      <c r="B13" s="4" t="s">
        <v>20</v>
      </c>
      <c r="D13" s="1"/>
      <c r="AE13" s="4">
        <v>11</v>
      </c>
    </row>
    <row r="15" spans="1:37" x14ac:dyDescent="0.2">
      <c r="B15" t="s">
        <v>3</v>
      </c>
      <c r="C15" t="s">
        <v>11</v>
      </c>
      <c r="D15" t="s">
        <v>18</v>
      </c>
      <c r="E15" t="s">
        <v>7</v>
      </c>
      <c r="F15" t="s">
        <v>13</v>
      </c>
      <c r="G15" t="s">
        <v>4</v>
      </c>
      <c r="H15" t="s">
        <v>5</v>
      </c>
      <c r="I15" t="s">
        <v>8</v>
      </c>
      <c r="J15" t="s">
        <v>9</v>
      </c>
      <c r="K15" t="s">
        <v>0</v>
      </c>
      <c r="L15" t="s">
        <v>1</v>
      </c>
      <c r="M15" t="s">
        <v>2</v>
      </c>
      <c r="N15" t="s">
        <v>15</v>
      </c>
      <c r="O15" t="s">
        <v>6</v>
      </c>
      <c r="P15" t="s">
        <v>10</v>
      </c>
      <c r="Q15" t="s">
        <v>16</v>
      </c>
      <c r="R15" t="s">
        <v>12</v>
      </c>
      <c r="S15" t="s">
        <v>17</v>
      </c>
      <c r="T15" t="s">
        <v>14</v>
      </c>
      <c r="U15" t="s">
        <v>21</v>
      </c>
      <c r="V15" t="s">
        <v>19</v>
      </c>
      <c r="W15" t="s">
        <v>22</v>
      </c>
      <c r="X15" t="s">
        <v>23</v>
      </c>
      <c r="Y15" t="s">
        <v>31</v>
      </c>
      <c r="Z15" s="5" t="s">
        <v>24</v>
      </c>
      <c r="AA15" s="5" t="s">
        <v>25</v>
      </c>
      <c r="AB15" s="5" t="s">
        <v>26</v>
      </c>
      <c r="AC15" s="5" t="s">
        <v>27</v>
      </c>
      <c r="AD15" s="5" t="s">
        <v>34</v>
      </c>
      <c r="AE15" s="5" t="s">
        <v>33</v>
      </c>
    </row>
    <row r="16" spans="1:37" x14ac:dyDescent="0.2">
      <c r="A16" t="s">
        <v>44</v>
      </c>
      <c r="B16">
        <f>PI()</f>
        <v>3.1415926535897931</v>
      </c>
      <c r="C16" s="1">
        <v>206000</v>
      </c>
      <c r="D16" s="1">
        <f t="shared" ref="D16:D20" si="70">C16/2.6</f>
        <v>79230.769230769234</v>
      </c>
      <c r="E16" s="6">
        <v>1000</v>
      </c>
      <c r="F16" s="6">
        <f t="shared" ref="F16:F20" si="71">G16/2</f>
        <v>500</v>
      </c>
      <c r="G16" s="6">
        <v>1000</v>
      </c>
      <c r="H16" s="6">
        <v>1000</v>
      </c>
      <c r="I16" s="6">
        <v>152</v>
      </c>
      <c r="J16" s="6">
        <v>8</v>
      </c>
      <c r="K16" s="6">
        <v>152</v>
      </c>
      <c r="L16" s="6">
        <v>8</v>
      </c>
      <c r="M16">
        <f t="shared" ref="M16:M20" si="72">(B16*((K16/2)^2))-(B16*(((K16-(2*L16))/2)^2))</f>
        <v>3619.1147369354403</v>
      </c>
      <c r="N16">
        <f t="shared" ref="N16:N20" si="73">(B16*((I16/2)^2))-(B16*(((I16-(2*J16))/2)^2))</f>
        <v>3619.1147369354403</v>
      </c>
      <c r="O16">
        <f t="shared" ref="O16:O20" si="74">((B16*K16*K16*K16*K16)/64)*(1-(((K16-2*L16)/K16)^4))</f>
        <v>9409698.316032147</v>
      </c>
      <c r="P16">
        <f t="shared" ref="P16:P20" si="75">((B16*I16*I16*I16*I16)/64)*(1-(((I16-2*J16)/I16)^4))</f>
        <v>9409698.316032147</v>
      </c>
      <c r="Q16">
        <f t="shared" ref="Q16:Q20" si="76">((B16/32)*((I16*I16*I16*I16)-(I16-2*J16)*(I16-2*J16)*(I16-2*J16)*(I16-2*J16)))</f>
        <v>18819396.632064298</v>
      </c>
      <c r="R16" s="2">
        <f t="shared" ref="R16:R20" si="77">1/(((E16*E16)/(24*C16*O16))+((E16*G16)/(12*C16*P16))+((2*E16)/(G16*N16*D16)))</f>
        <v>13993631.627942696</v>
      </c>
      <c r="S16" s="2">
        <f t="shared" ref="S16:S20" si="78">2*R16</f>
        <v>27987263.255885392</v>
      </c>
      <c r="T16" s="2">
        <f>4*(F16*F16*R16)</f>
        <v>13993631627942.695</v>
      </c>
      <c r="U16" s="2">
        <f t="shared" ref="U16:U20" si="79">C16*M16*G16*G16+4*C16*O16</f>
        <v>753291227221111.13</v>
      </c>
      <c r="V16" s="6">
        <v>55173.424700000003</v>
      </c>
      <c r="W16" s="7">
        <v>36250</v>
      </c>
      <c r="X16" s="6">
        <v>87.205637949999996</v>
      </c>
      <c r="Y16">
        <f t="shared" ref="Y16:Y20" si="80">(X16*B16)/180</f>
        <v>1.5220255085296179</v>
      </c>
      <c r="Z16" s="2">
        <f t="shared" ref="Z16:Z20" si="81">U16/T16</f>
        <v>53.831003076923061</v>
      </c>
      <c r="AA16" s="2">
        <f t="shared" ref="AA16:AA20" si="82">(B16*B16*U16)/(V16*V16)</f>
        <v>2442321.1525530592</v>
      </c>
      <c r="AB16" s="2">
        <f t="shared" ref="AB16:AB20" si="83">(AA16*(1-(Y16/B16)*(Y16/B16))*(1-(Y16/B16)*(Y16/B16)))/(1+Z16*(Y16/B16)*(Y16/B16))</f>
        <v>104903.6934624392</v>
      </c>
      <c r="AC16" s="2">
        <f t="shared" ref="AC16:AC20" si="84">AB16/(1+(AB16/S16))</f>
        <v>104511.95490692287</v>
      </c>
      <c r="AD16" s="2">
        <f t="shared" ref="AD16:AD20" si="85">AB16/W16</f>
        <v>2.8938949920672883</v>
      </c>
      <c r="AE16">
        <f t="shared" ref="AE16:AE20" si="86">AC16/W16</f>
        <v>2.8830884112254584</v>
      </c>
    </row>
    <row r="17" spans="1:36" x14ac:dyDescent="0.2">
      <c r="A17" t="s">
        <v>45</v>
      </c>
      <c r="B17">
        <f>PI()</f>
        <v>3.1415926535897931</v>
      </c>
      <c r="C17" s="1">
        <v>206000</v>
      </c>
      <c r="D17" s="1">
        <f t="shared" si="70"/>
        <v>79230.769230769234</v>
      </c>
      <c r="E17" s="6">
        <v>2000</v>
      </c>
      <c r="F17" s="6">
        <f t="shared" si="71"/>
        <v>500</v>
      </c>
      <c r="G17" s="6">
        <v>1000</v>
      </c>
      <c r="H17" s="6">
        <v>1000</v>
      </c>
      <c r="I17" s="6">
        <v>152</v>
      </c>
      <c r="J17" s="6">
        <v>8</v>
      </c>
      <c r="K17" s="6">
        <v>152</v>
      </c>
      <c r="L17" s="6">
        <v>8</v>
      </c>
      <c r="M17">
        <f t="shared" si="72"/>
        <v>3619.1147369354403</v>
      </c>
      <c r="N17">
        <f t="shared" si="73"/>
        <v>3619.1147369354403</v>
      </c>
      <c r="O17">
        <f t="shared" si="74"/>
        <v>9409698.316032147</v>
      </c>
      <c r="P17">
        <f t="shared" si="75"/>
        <v>9409698.316032147</v>
      </c>
      <c r="Q17">
        <f t="shared" si="76"/>
        <v>18819396.632064298</v>
      </c>
      <c r="R17" s="2">
        <f t="shared" si="77"/>
        <v>5378860.4033852546</v>
      </c>
      <c r="S17" s="2">
        <f t="shared" si="78"/>
        <v>10757720.806770509</v>
      </c>
      <c r="T17" s="2">
        <f t="shared" ref="T17:T20" si="87">4*(F17*F17*R17)</f>
        <v>5378860403385.2549</v>
      </c>
      <c r="U17" s="2">
        <f t="shared" si="79"/>
        <v>753291227221111.13</v>
      </c>
      <c r="V17" s="6">
        <v>55173.424700000003</v>
      </c>
      <c r="W17" s="7">
        <v>36250</v>
      </c>
      <c r="X17" s="6">
        <v>87.205637949999996</v>
      </c>
      <c r="Y17">
        <f t="shared" si="80"/>
        <v>1.5220255085296179</v>
      </c>
      <c r="Z17" s="2">
        <f t="shared" si="81"/>
        <v>140.04662153846149</v>
      </c>
      <c r="AA17" s="2">
        <f t="shared" si="82"/>
        <v>2442321.1525530592</v>
      </c>
      <c r="AB17" s="2">
        <f t="shared" si="83"/>
        <v>42229.449837032109</v>
      </c>
      <c r="AC17" s="2">
        <f t="shared" si="84"/>
        <v>42064.326258574205</v>
      </c>
      <c r="AD17" s="2">
        <f t="shared" si="85"/>
        <v>1.1649503403319204</v>
      </c>
      <c r="AE17">
        <f t="shared" si="86"/>
        <v>1.1603952071330814</v>
      </c>
    </row>
    <row r="18" spans="1:36" x14ac:dyDescent="0.2">
      <c r="A18" t="s">
        <v>72</v>
      </c>
      <c r="B18">
        <f>PI()</f>
        <v>3.1415926535897931</v>
      </c>
      <c r="C18" s="1">
        <v>206000</v>
      </c>
      <c r="D18" s="1">
        <f t="shared" si="70"/>
        <v>79230.769230769234</v>
      </c>
      <c r="E18" s="6">
        <v>3000</v>
      </c>
      <c r="F18" s="6">
        <f t="shared" si="71"/>
        <v>500</v>
      </c>
      <c r="G18" s="6">
        <v>1000</v>
      </c>
      <c r="H18" s="6">
        <v>1000</v>
      </c>
      <c r="I18" s="6">
        <v>152</v>
      </c>
      <c r="J18" s="6">
        <v>8</v>
      </c>
      <c r="K18" s="6">
        <v>152</v>
      </c>
      <c r="L18" s="6">
        <v>8</v>
      </c>
      <c r="M18">
        <f t="shared" si="72"/>
        <v>3619.1147369354403</v>
      </c>
      <c r="N18">
        <f t="shared" si="73"/>
        <v>3619.1147369354403</v>
      </c>
      <c r="O18">
        <f t="shared" si="74"/>
        <v>9409698.316032147</v>
      </c>
      <c r="P18">
        <f t="shared" si="75"/>
        <v>9409698.316032147</v>
      </c>
      <c r="Q18">
        <f t="shared" si="76"/>
        <v>18819396.632064298</v>
      </c>
      <c r="R18" s="2">
        <f t="shared" si="77"/>
        <v>2912431.4158041687</v>
      </c>
      <c r="S18" s="2">
        <f t="shared" si="78"/>
        <v>5824862.8316083374</v>
      </c>
      <c r="T18" s="2">
        <f t="shared" si="87"/>
        <v>2912431415804.1685</v>
      </c>
      <c r="U18" s="2">
        <f t="shared" si="79"/>
        <v>753291227221111.13</v>
      </c>
      <c r="V18" s="6">
        <v>55173.424700000003</v>
      </c>
      <c r="W18" s="7">
        <v>36250</v>
      </c>
      <c r="X18" s="6">
        <v>87.205637949999996</v>
      </c>
      <c r="Y18">
        <f t="shared" si="80"/>
        <v>1.5220255085296179</v>
      </c>
      <c r="Z18" s="2">
        <f t="shared" si="81"/>
        <v>258.64685538461526</v>
      </c>
      <c r="AA18" s="2">
        <f t="shared" si="82"/>
        <v>2442321.1525530592</v>
      </c>
      <c r="AB18" s="2">
        <f t="shared" si="83"/>
        <v>23179.303847921343</v>
      </c>
      <c r="AC18" s="2">
        <f t="shared" si="84"/>
        <v>23087.430343177461</v>
      </c>
      <c r="AD18" s="2">
        <f t="shared" si="85"/>
        <v>0.63942907166679563</v>
      </c>
      <c r="AE18">
        <f t="shared" si="86"/>
        <v>0.63689463015661962</v>
      </c>
    </row>
    <row r="19" spans="1:36" x14ac:dyDescent="0.2">
      <c r="A19" t="s">
        <v>73</v>
      </c>
      <c r="B19">
        <f>PI()</f>
        <v>3.1415926535897931</v>
      </c>
      <c r="C19" s="1">
        <v>206000</v>
      </c>
      <c r="D19" s="1">
        <f t="shared" si="70"/>
        <v>79230.769230769234</v>
      </c>
      <c r="E19" s="6">
        <v>4000</v>
      </c>
      <c r="F19" s="6">
        <f t="shared" si="71"/>
        <v>500</v>
      </c>
      <c r="G19" s="6">
        <v>1000</v>
      </c>
      <c r="H19" s="6">
        <v>1000</v>
      </c>
      <c r="I19" s="6">
        <v>152</v>
      </c>
      <c r="J19" s="6">
        <v>8</v>
      </c>
      <c r="K19" s="6">
        <v>152</v>
      </c>
      <c r="L19" s="6">
        <v>8</v>
      </c>
      <c r="M19">
        <f t="shared" si="72"/>
        <v>3619.1147369354403</v>
      </c>
      <c r="N19">
        <f t="shared" si="73"/>
        <v>3619.1147369354403</v>
      </c>
      <c r="O19">
        <f t="shared" si="74"/>
        <v>9409698.316032147</v>
      </c>
      <c r="P19">
        <f t="shared" si="75"/>
        <v>9409698.316032147</v>
      </c>
      <c r="Q19">
        <f t="shared" si="76"/>
        <v>18819396.632064298</v>
      </c>
      <c r="R19" s="2">
        <f t="shared" si="77"/>
        <v>1838947.5685931072</v>
      </c>
      <c r="S19" s="2">
        <f t="shared" si="78"/>
        <v>3677895.1371862143</v>
      </c>
      <c r="T19" s="2">
        <f t="shared" si="87"/>
        <v>1838947568593.1072</v>
      </c>
      <c r="U19" s="2">
        <f t="shared" si="79"/>
        <v>753291227221111.13</v>
      </c>
      <c r="V19" s="6">
        <v>55173.424700000003</v>
      </c>
      <c r="W19" s="7">
        <v>36250</v>
      </c>
      <c r="X19" s="6">
        <v>87.205637949999996</v>
      </c>
      <c r="Y19">
        <f t="shared" si="80"/>
        <v>1.5220255085296179</v>
      </c>
      <c r="Z19" s="2">
        <f t="shared" si="81"/>
        <v>409.63170461538448</v>
      </c>
      <c r="AA19" s="2">
        <f t="shared" si="82"/>
        <v>2442321.1525530592</v>
      </c>
      <c r="AB19" s="2">
        <f t="shared" si="83"/>
        <v>14723.662387486231</v>
      </c>
      <c r="AC19" s="2">
        <f t="shared" si="84"/>
        <v>14664.954395714727</v>
      </c>
      <c r="AD19" s="2">
        <f t="shared" si="85"/>
        <v>0.40616999689617189</v>
      </c>
      <c r="AE19">
        <f t="shared" si="86"/>
        <v>0.40455046608868211</v>
      </c>
    </row>
    <row r="20" spans="1:36" x14ac:dyDescent="0.2">
      <c r="A20" t="s">
        <v>74</v>
      </c>
      <c r="B20">
        <f>PI()</f>
        <v>3.1415926535897931</v>
      </c>
      <c r="C20" s="1">
        <v>206000</v>
      </c>
      <c r="D20" s="1">
        <f t="shared" si="70"/>
        <v>79230.769230769234</v>
      </c>
      <c r="E20" s="6">
        <v>5000</v>
      </c>
      <c r="F20" s="6">
        <f t="shared" si="71"/>
        <v>500</v>
      </c>
      <c r="G20" s="6">
        <v>1000</v>
      </c>
      <c r="H20" s="6">
        <v>1000</v>
      </c>
      <c r="I20" s="6">
        <v>152</v>
      </c>
      <c r="J20" s="6">
        <v>8</v>
      </c>
      <c r="K20" s="6">
        <v>152</v>
      </c>
      <c r="L20" s="6">
        <v>8</v>
      </c>
      <c r="M20">
        <f t="shared" si="72"/>
        <v>3619.1147369354403</v>
      </c>
      <c r="N20">
        <f t="shared" si="73"/>
        <v>3619.1147369354403</v>
      </c>
      <c r="O20">
        <f t="shared" si="74"/>
        <v>9409698.316032147</v>
      </c>
      <c r="P20">
        <f t="shared" si="75"/>
        <v>9409698.316032147</v>
      </c>
      <c r="Q20">
        <f t="shared" si="76"/>
        <v>18819396.632064298</v>
      </c>
      <c r="R20" s="2">
        <f t="shared" si="77"/>
        <v>1270303.1061444073</v>
      </c>
      <c r="S20" s="2">
        <f t="shared" si="78"/>
        <v>2540606.2122888146</v>
      </c>
      <c r="T20" s="2">
        <f t="shared" si="87"/>
        <v>1270303106144.4072</v>
      </c>
      <c r="U20" s="2">
        <f t="shared" si="79"/>
        <v>753291227221111.13</v>
      </c>
      <c r="V20" s="6">
        <v>55173.424700000003</v>
      </c>
      <c r="W20" s="7">
        <v>36250</v>
      </c>
      <c r="X20" s="6">
        <v>87.205637949999996</v>
      </c>
      <c r="Y20">
        <f t="shared" si="80"/>
        <v>1.5220255085296179</v>
      </c>
      <c r="Z20" s="2">
        <f t="shared" si="81"/>
        <v>593.00116923076894</v>
      </c>
      <c r="AA20" s="2">
        <f t="shared" si="82"/>
        <v>2442321.1525530592</v>
      </c>
      <c r="AB20" s="2">
        <f t="shared" si="83"/>
        <v>10203.247909068086</v>
      </c>
      <c r="AC20" s="2">
        <f t="shared" si="84"/>
        <v>10162.434877158668</v>
      </c>
      <c r="AD20" s="2">
        <f t="shared" si="85"/>
        <v>0.28146890783636103</v>
      </c>
      <c r="AE20">
        <f t="shared" si="86"/>
        <v>0.28034303109403225</v>
      </c>
    </row>
    <row r="21" spans="1:36" x14ac:dyDescent="0.2">
      <c r="A21" t="s">
        <v>90</v>
      </c>
      <c r="B21">
        <f>PI()</f>
        <v>3.1415926535897931</v>
      </c>
      <c r="C21" s="1">
        <v>206000</v>
      </c>
      <c r="D21" s="1">
        <f t="shared" ref="D21:D23" si="88">C21/2.6</f>
        <v>79230.769230769234</v>
      </c>
      <c r="E21" s="6">
        <v>6000</v>
      </c>
      <c r="F21" s="6">
        <f t="shared" ref="F21:F23" si="89">G21/2</f>
        <v>500</v>
      </c>
      <c r="G21" s="6">
        <v>1000</v>
      </c>
      <c r="H21" s="6">
        <v>1000</v>
      </c>
      <c r="I21" s="6">
        <v>152</v>
      </c>
      <c r="J21" s="6">
        <v>8</v>
      </c>
      <c r="K21" s="6">
        <v>152</v>
      </c>
      <c r="L21" s="6">
        <v>8</v>
      </c>
      <c r="M21">
        <f t="shared" ref="M21:M23" si="90">(B21*((K21/2)^2))-(B21*(((K21-(2*L21))/2)^2))</f>
        <v>3619.1147369354403</v>
      </c>
      <c r="N21">
        <f t="shared" ref="N21:N23" si="91">(B21*((I21/2)^2))-(B21*(((I21-(2*J21))/2)^2))</f>
        <v>3619.1147369354403</v>
      </c>
      <c r="O21">
        <f t="shared" ref="O21:O23" si="92">((B21*K21*K21*K21*K21)/64)*(1-(((K21-2*L21)/K21)^4))</f>
        <v>9409698.316032147</v>
      </c>
      <c r="P21">
        <f t="shared" ref="P21:P23" si="93">((B21*I21*I21*I21*I21)/64)*(1-(((I21-2*J21)/I21)^4))</f>
        <v>9409698.316032147</v>
      </c>
      <c r="Q21">
        <f t="shared" ref="Q21:Q23" si="94">((B21/32)*((I21*I21*I21*I21)-(I21-2*J21)*(I21-2*J21)*(I21-2*J21)*(I21-2*J21)))</f>
        <v>18819396.632064298</v>
      </c>
      <c r="R21" s="2">
        <f t="shared" ref="R21:R23" si="95">1/(((E21*E21)/(24*C21*O21))+((E21*G21)/(12*C21*P21))+((2*E21)/(G21*N21*D21)))</f>
        <v>931420.51063976239</v>
      </c>
      <c r="S21" s="2">
        <f t="shared" ref="S21:S23" si="96">2*R21</f>
        <v>1862841.0212795248</v>
      </c>
      <c r="T21" s="2">
        <f t="shared" ref="T21:T23" si="97">4*(F21*F21*R21)</f>
        <v>931420510639.76233</v>
      </c>
      <c r="U21" s="2">
        <f t="shared" ref="U21:U23" si="98">C21*M21*G21*G21+4*C21*O21</f>
        <v>753291227221111.13</v>
      </c>
      <c r="V21" s="6">
        <v>55173.424700000003</v>
      </c>
      <c r="W21" s="7">
        <v>36250</v>
      </c>
      <c r="X21" s="6">
        <v>87.205637949999996</v>
      </c>
      <c r="Y21">
        <f t="shared" ref="Y21:Y23" si="99">(X21*B21)/180</f>
        <v>1.5220255085296179</v>
      </c>
      <c r="Z21" s="2">
        <f t="shared" ref="Z21:Z23" si="100">U21/T21</f>
        <v>808.75524923076898</v>
      </c>
      <c r="AA21" s="2">
        <f t="shared" ref="AA21:AA23" si="101">(B21*B21*U21)/(V21*V21)</f>
        <v>2442321.1525530592</v>
      </c>
      <c r="AB21" s="2">
        <f t="shared" ref="AB21:AB23" si="102">(AA21*(1-(Y21/B21)*(Y21/B21))*(1-(Y21/B21)*(Y21/B21)))/(1+Z21*(Y21/B21)*(Y21/B21))</f>
        <v>7495.5605214616317</v>
      </c>
      <c r="AC21" s="2">
        <f t="shared" ref="AC21:AC23" si="103">AB21/(1+(AB21/S21))</f>
        <v>7465.5213145736416</v>
      </c>
      <c r="AD21" s="2">
        <f t="shared" ref="AD21:AD23" si="104">AB21/W21</f>
        <v>0.20677408335066569</v>
      </c>
      <c r="AE21">
        <f t="shared" ref="AE21:AE23" si="105">AC21/W21</f>
        <v>0.20594541557444529</v>
      </c>
    </row>
    <row r="22" spans="1:36" x14ac:dyDescent="0.2">
      <c r="A22" t="s">
        <v>91</v>
      </c>
      <c r="B22">
        <f>PI()</f>
        <v>3.1415926535897931</v>
      </c>
      <c r="C22" s="1">
        <v>206000</v>
      </c>
      <c r="D22" s="1">
        <f t="shared" si="88"/>
        <v>79230.769230769234</v>
      </c>
      <c r="E22" s="6">
        <v>7000</v>
      </c>
      <c r="F22" s="6">
        <f t="shared" si="89"/>
        <v>500</v>
      </c>
      <c r="G22" s="6">
        <v>1000</v>
      </c>
      <c r="H22" s="6">
        <v>1000</v>
      </c>
      <c r="I22" s="6">
        <v>152</v>
      </c>
      <c r="J22" s="6">
        <v>8</v>
      </c>
      <c r="K22" s="6">
        <v>152</v>
      </c>
      <c r="L22" s="6">
        <v>8</v>
      </c>
      <c r="M22">
        <f t="shared" si="90"/>
        <v>3619.1147369354403</v>
      </c>
      <c r="N22">
        <f t="shared" si="91"/>
        <v>3619.1147369354403</v>
      </c>
      <c r="O22">
        <f t="shared" si="92"/>
        <v>9409698.316032147</v>
      </c>
      <c r="P22">
        <f t="shared" si="93"/>
        <v>9409698.316032147</v>
      </c>
      <c r="Q22">
        <f t="shared" si="94"/>
        <v>18819396.632064298</v>
      </c>
      <c r="R22" s="2">
        <f t="shared" si="95"/>
        <v>712740.60283810436</v>
      </c>
      <c r="S22" s="2">
        <f t="shared" si="96"/>
        <v>1425481.2056762087</v>
      </c>
      <c r="T22" s="2">
        <f t="shared" si="97"/>
        <v>712740602838.10437</v>
      </c>
      <c r="U22" s="2">
        <f t="shared" si="98"/>
        <v>753291227221111.13</v>
      </c>
      <c r="V22" s="6">
        <v>55173.424700000003</v>
      </c>
      <c r="W22" s="7">
        <v>36250</v>
      </c>
      <c r="X22" s="6">
        <v>87.205637949999996</v>
      </c>
      <c r="Y22">
        <f t="shared" si="99"/>
        <v>1.5220255085296179</v>
      </c>
      <c r="Z22" s="2">
        <f t="shared" si="100"/>
        <v>1056.8939446153843</v>
      </c>
      <c r="AA22" s="2">
        <f t="shared" si="101"/>
        <v>2442321.1525530592</v>
      </c>
      <c r="AB22" s="2">
        <f t="shared" si="102"/>
        <v>5742.8102983516292</v>
      </c>
      <c r="AC22" s="2">
        <f t="shared" si="103"/>
        <v>5719.7671759928999</v>
      </c>
      <c r="AD22" s="2">
        <f t="shared" si="104"/>
        <v>0.15842235305797597</v>
      </c>
      <c r="AE22">
        <f t="shared" si="105"/>
        <v>0.15778668071704552</v>
      </c>
    </row>
    <row r="23" spans="1:36" x14ac:dyDescent="0.2">
      <c r="A23" t="s">
        <v>92</v>
      </c>
      <c r="B23">
        <f>PI()</f>
        <v>3.1415926535897931</v>
      </c>
      <c r="C23" s="1">
        <v>206000</v>
      </c>
      <c r="D23" s="1">
        <f t="shared" si="88"/>
        <v>79230.769230769234</v>
      </c>
      <c r="E23" s="6">
        <v>8000</v>
      </c>
      <c r="F23" s="6">
        <f t="shared" si="89"/>
        <v>500</v>
      </c>
      <c r="G23" s="6">
        <v>1000</v>
      </c>
      <c r="H23" s="6">
        <v>1000</v>
      </c>
      <c r="I23" s="6">
        <v>152</v>
      </c>
      <c r="J23" s="6">
        <v>8</v>
      </c>
      <c r="K23" s="6">
        <v>152</v>
      </c>
      <c r="L23" s="6">
        <v>8</v>
      </c>
      <c r="M23">
        <f t="shared" si="90"/>
        <v>3619.1147369354403</v>
      </c>
      <c r="N23">
        <f t="shared" si="91"/>
        <v>3619.1147369354403</v>
      </c>
      <c r="O23">
        <f t="shared" si="92"/>
        <v>9409698.316032147</v>
      </c>
      <c r="P23">
        <f t="shared" si="93"/>
        <v>9409698.316032147</v>
      </c>
      <c r="Q23">
        <f t="shared" si="94"/>
        <v>18819396.632064298</v>
      </c>
      <c r="R23" s="2">
        <f t="shared" si="95"/>
        <v>563243.23930191807</v>
      </c>
      <c r="S23" s="2">
        <f t="shared" si="96"/>
        <v>1126486.4786038361</v>
      </c>
      <c r="T23" s="2">
        <f t="shared" si="97"/>
        <v>563243239301.91809</v>
      </c>
      <c r="U23" s="2">
        <f t="shared" si="98"/>
        <v>753291227221111.13</v>
      </c>
      <c r="V23" s="6">
        <v>55173.424700000003</v>
      </c>
      <c r="W23" s="7">
        <v>36250</v>
      </c>
      <c r="X23" s="6">
        <v>87.205637949999996</v>
      </c>
      <c r="Y23">
        <f t="shared" si="99"/>
        <v>1.5220255085296179</v>
      </c>
      <c r="Z23" s="2">
        <f t="shared" si="100"/>
        <v>1337.4172553846149</v>
      </c>
      <c r="AA23" s="2">
        <f t="shared" si="101"/>
        <v>2442321.1525530592</v>
      </c>
      <c r="AB23" s="2">
        <f t="shared" si="102"/>
        <v>4542.0806844404306</v>
      </c>
      <c r="AC23" s="2">
        <f t="shared" si="103"/>
        <v>4523.8402105155728</v>
      </c>
      <c r="AD23" s="2">
        <f t="shared" si="104"/>
        <v>0.12529877750180499</v>
      </c>
      <c r="AE23">
        <f t="shared" si="105"/>
        <v>0.1247955920142227</v>
      </c>
    </row>
    <row r="24" spans="1:36" x14ac:dyDescent="0.2">
      <c r="C24" s="1"/>
      <c r="D24" s="1"/>
      <c r="E24" s="6"/>
      <c r="F24" s="6"/>
      <c r="G24" s="6"/>
      <c r="H24" s="6"/>
      <c r="I24" s="6"/>
      <c r="J24" s="6"/>
      <c r="K24" s="6"/>
      <c r="L24" s="6"/>
      <c r="R24" s="2"/>
      <c r="S24" s="2"/>
      <c r="T24" s="2"/>
      <c r="U24" s="2"/>
      <c r="V24" s="6"/>
      <c r="W24" s="7"/>
      <c r="X24" s="6"/>
      <c r="Z24" s="2"/>
      <c r="AA24" s="2"/>
      <c r="AB24" s="2"/>
      <c r="AC24" s="2"/>
      <c r="AD24" s="2"/>
    </row>
    <row r="25" spans="1:36" x14ac:dyDescent="0.2">
      <c r="D25" s="1"/>
      <c r="G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E25" s="2"/>
      <c r="AF25" s="2"/>
      <c r="AH25" s="2"/>
    </row>
    <row r="26" spans="1:36" x14ac:dyDescent="0.2">
      <c r="K26" s="3" t="s">
        <v>35</v>
      </c>
      <c r="L26" t="s">
        <v>19</v>
      </c>
      <c r="M26" t="s">
        <v>22</v>
      </c>
      <c r="N26" t="s">
        <v>23</v>
      </c>
      <c r="O26" t="s">
        <v>31</v>
      </c>
      <c r="P26" t="s">
        <v>28</v>
      </c>
      <c r="Q26" t="s">
        <v>29</v>
      </c>
      <c r="R26" t="s">
        <v>30</v>
      </c>
      <c r="S26" s="5" t="s">
        <v>34</v>
      </c>
      <c r="T26" s="5" t="s">
        <v>33</v>
      </c>
      <c r="U26" s="1" t="s">
        <v>43</v>
      </c>
      <c r="W26" s="1"/>
      <c r="Z26" t="s">
        <v>41</v>
      </c>
      <c r="AA26" s="1" t="s">
        <v>42</v>
      </c>
      <c r="AB26" t="s">
        <v>41</v>
      </c>
      <c r="AC26" s="1" t="s">
        <v>42</v>
      </c>
    </row>
    <row r="27" spans="1:36" x14ac:dyDescent="0.2">
      <c r="F27" s="1"/>
      <c r="G27" s="3"/>
      <c r="H27" s="2"/>
      <c r="K27" t="s">
        <v>44</v>
      </c>
      <c r="L27" s="6">
        <v>55173.424700000003</v>
      </c>
      <c r="M27" s="7">
        <v>36250</v>
      </c>
      <c r="N27" s="6">
        <v>87.205637949999996</v>
      </c>
      <c r="O27">
        <f t="shared" ref="O27:O34" si="106">(N27*B4)/180</f>
        <v>1.5220255085296179</v>
      </c>
      <c r="P27">
        <v>4375</v>
      </c>
      <c r="Q27">
        <f>(P27*55.5)/L27</f>
        <v>4.4008959262592224</v>
      </c>
      <c r="R27" s="2">
        <f t="shared" ref="R27:R28" si="107">Q27*M27</f>
        <v>159532.47732689683</v>
      </c>
      <c r="S27">
        <v>4.0022130568211702</v>
      </c>
      <c r="T27">
        <v>3.9815733982571313</v>
      </c>
      <c r="U27" s="11">
        <f t="shared" ref="U27:U28" si="108">(Q27-S27)/Q27</f>
        <v>9.0591296890070769E-2</v>
      </c>
      <c r="V27" s="11"/>
      <c r="W27" s="11"/>
      <c r="X27" s="11"/>
      <c r="AI27" s="5"/>
    </row>
    <row r="28" spans="1:36" x14ac:dyDescent="0.2">
      <c r="F28" s="1"/>
      <c r="G28" s="3"/>
      <c r="H28" s="2"/>
      <c r="K28" t="s">
        <v>45</v>
      </c>
      <c r="L28" s="6">
        <v>55173.424700000003</v>
      </c>
      <c r="M28" s="7">
        <v>36250</v>
      </c>
      <c r="N28" s="6">
        <v>87.205637949999996</v>
      </c>
      <c r="O28">
        <f t="shared" si="106"/>
        <v>1.5220255085296179</v>
      </c>
      <c r="P28">
        <v>5216.5</v>
      </c>
      <c r="Q28">
        <f>(P28*27.5)/L28</f>
        <v>2.6000515788174372</v>
      </c>
      <c r="R28" s="2">
        <f t="shared" si="107"/>
        <v>94251.869732132094</v>
      </c>
      <c r="S28">
        <v>2.3788198833817931</v>
      </c>
      <c r="T28">
        <v>2.3599032649824894</v>
      </c>
      <c r="U28" s="11">
        <f t="shared" si="108"/>
        <v>8.5087425664172919E-2</v>
      </c>
      <c r="V28" s="11"/>
      <c r="W28" s="11"/>
      <c r="X28" s="11"/>
      <c r="AC28" s="2"/>
      <c r="AG28" s="2"/>
      <c r="AI28" s="2"/>
      <c r="AJ28" s="2"/>
    </row>
    <row r="29" spans="1:36" x14ac:dyDescent="0.2">
      <c r="F29" s="1"/>
      <c r="G29" s="3"/>
      <c r="H29" s="2"/>
      <c r="K29" t="s">
        <v>72</v>
      </c>
      <c r="L29" s="6">
        <v>55173.424700000003</v>
      </c>
      <c r="M29" s="7">
        <v>36250</v>
      </c>
      <c r="N29" s="6">
        <v>87.205637949999996</v>
      </c>
      <c r="O29">
        <f t="shared" si="106"/>
        <v>1.5220255085296179</v>
      </c>
      <c r="P29">
        <v>6017.4</v>
      </c>
      <c r="Q29">
        <f>(P29*18.5)/L29</f>
        <v>2.0176724683178855</v>
      </c>
      <c r="R29" s="2">
        <f t="shared" ref="R29:R31" si="109">Q29*M29</f>
        <v>73140.626976523345</v>
      </c>
      <c r="S29">
        <v>1.8863019817336266</v>
      </c>
      <c r="T29">
        <v>1.8644154860542745</v>
      </c>
      <c r="U29" s="11">
        <f t="shared" ref="U29:U31" si="110">(Q29-S29)/Q29</f>
        <v>6.510991682102954E-2</v>
      </c>
      <c r="V29" s="11"/>
      <c r="W29" s="11"/>
      <c r="X29" s="11"/>
      <c r="AC29" s="2"/>
      <c r="AG29" s="2"/>
      <c r="AI29" s="2"/>
      <c r="AJ29" s="2"/>
    </row>
    <row r="30" spans="1:36" x14ac:dyDescent="0.2">
      <c r="F30" s="1"/>
      <c r="G30" s="3"/>
      <c r="H30" s="2"/>
      <c r="K30" t="s">
        <v>73</v>
      </c>
      <c r="L30" s="6">
        <v>55173.424700000003</v>
      </c>
      <c r="M30" s="7">
        <v>36250</v>
      </c>
      <c r="N30" s="6">
        <v>87.205637949999996</v>
      </c>
      <c r="O30">
        <f t="shared" si="106"/>
        <v>1.5220255085296179</v>
      </c>
      <c r="P30">
        <v>7436.1</v>
      </c>
      <c r="Q30">
        <f>(P30*13)/L30</f>
        <v>1.752098959338299</v>
      </c>
      <c r="R30" s="2">
        <f t="shared" si="109"/>
        <v>63513.587276013335</v>
      </c>
      <c r="S30">
        <v>1.6678290833797045</v>
      </c>
      <c r="T30">
        <v>1.6408559947714296</v>
      </c>
      <c r="U30" s="11">
        <f t="shared" si="110"/>
        <v>4.8096527601625881E-2</v>
      </c>
      <c r="V30" s="11"/>
      <c r="W30" s="11"/>
      <c r="X30" s="11"/>
      <c r="AC30" s="2"/>
      <c r="AG30" s="2"/>
      <c r="AI30" s="2"/>
      <c r="AJ30" s="2"/>
    </row>
    <row r="31" spans="1:36" x14ac:dyDescent="0.2">
      <c r="K31" t="s">
        <v>74</v>
      </c>
      <c r="L31" s="6">
        <v>55173.424700000003</v>
      </c>
      <c r="M31" s="7">
        <v>36250</v>
      </c>
      <c r="N31" s="6">
        <v>87.205637949999996</v>
      </c>
      <c r="O31">
        <f t="shared" si="106"/>
        <v>1.5220255085296179</v>
      </c>
      <c r="P31">
        <v>7637.9</v>
      </c>
      <c r="Q31">
        <f>(P31*11.5)/L31</f>
        <v>1.5919956116119067</v>
      </c>
      <c r="R31" s="2">
        <f t="shared" si="109"/>
        <v>57709.840920931616</v>
      </c>
      <c r="S31">
        <v>1.5510673177592078</v>
      </c>
      <c r="T31">
        <v>1.5174838619912847</v>
      </c>
      <c r="U31" s="11">
        <f t="shared" si="110"/>
        <v>2.5708798161358456E-2</v>
      </c>
      <c r="V31" s="11"/>
      <c r="W31" s="11"/>
      <c r="X31" s="11"/>
    </row>
    <row r="32" spans="1:36" x14ac:dyDescent="0.2">
      <c r="K32" t="s">
        <v>90</v>
      </c>
      <c r="L32" s="6">
        <v>55173.424700000003</v>
      </c>
      <c r="M32" s="7">
        <v>36250</v>
      </c>
      <c r="N32" s="6">
        <v>87.205637949999996</v>
      </c>
      <c r="O32">
        <f t="shared" si="106"/>
        <v>1.5220255085296179</v>
      </c>
      <c r="P32">
        <v>8852.6</v>
      </c>
      <c r="Q32">
        <f>(P32*9.5)/L32</f>
        <v>1.5242791336097719</v>
      </c>
      <c r="R32" s="2">
        <f t="shared" ref="R32:R34" si="111">Q32*M32</f>
        <v>55255.118593354229</v>
      </c>
      <c r="S32">
        <v>1.48113961117766</v>
      </c>
      <c r="T32">
        <v>1.439645749570285</v>
      </c>
      <c r="U32" s="11">
        <f t="shared" ref="U32:U34" si="112">(Q32-S32)/Q32</f>
        <v>2.8301589571687932E-2</v>
      </c>
      <c r="V32" s="11"/>
      <c r="W32" s="11"/>
      <c r="X32" s="11"/>
    </row>
    <row r="33" spans="10:24" x14ac:dyDescent="0.2">
      <c r="K33" t="s">
        <v>91</v>
      </c>
      <c r="L33" s="6">
        <v>55173.424700000003</v>
      </c>
      <c r="M33" s="7">
        <v>36250</v>
      </c>
      <c r="N33" s="6">
        <v>87.205637949999996</v>
      </c>
      <c r="O33">
        <f t="shared" si="106"/>
        <v>1.5220255085296179</v>
      </c>
      <c r="P33">
        <v>11633</v>
      </c>
      <c r="Q33">
        <f>(P33*7)/L33</f>
        <v>1.4759098323653632</v>
      </c>
      <c r="R33" s="2">
        <f t="shared" si="111"/>
        <v>53501.731423244419</v>
      </c>
      <c r="S33">
        <v>1.4358783561241637</v>
      </c>
      <c r="T33">
        <v>1.3852951359251238</v>
      </c>
      <c r="U33" s="11">
        <f t="shared" si="112"/>
        <v>2.7123253306770893E-2</v>
      </c>
      <c r="V33" s="11"/>
      <c r="W33" s="11"/>
      <c r="X33" s="11"/>
    </row>
    <row r="34" spans="10:24" x14ac:dyDescent="0.2">
      <c r="K34" t="s">
        <v>92</v>
      </c>
      <c r="L34" s="6">
        <v>55173.424700000003</v>
      </c>
      <c r="M34" s="7">
        <v>36250</v>
      </c>
      <c r="N34" s="6">
        <v>87.205637949999996</v>
      </c>
      <c r="O34">
        <f t="shared" si="106"/>
        <v>1.5220255085296179</v>
      </c>
      <c r="P34">
        <v>13039</v>
      </c>
      <c r="Q34">
        <f>(P34*6)/L34</f>
        <v>1.4179652690654889</v>
      </c>
      <c r="R34" s="2">
        <f t="shared" si="111"/>
        <v>51401.241003623974</v>
      </c>
      <c r="S34">
        <v>1.4048740142962226</v>
      </c>
      <c r="T34">
        <v>1.3441089609244241</v>
      </c>
      <c r="U34" s="11">
        <f t="shared" si="112"/>
        <v>9.2324227220982047E-3</v>
      </c>
      <c r="V34" s="11"/>
      <c r="W34" s="11"/>
      <c r="X34" s="11"/>
    </row>
    <row r="37" spans="10:24" x14ac:dyDescent="0.2">
      <c r="K37" s="12"/>
      <c r="L37" s="2"/>
    </row>
    <row r="38" spans="10:24" x14ac:dyDescent="0.2">
      <c r="K38" s="12"/>
      <c r="L38" s="2"/>
    </row>
    <row r="39" spans="10:24" x14ac:dyDescent="0.2">
      <c r="J39" s="1"/>
      <c r="K39" s="12"/>
      <c r="L39" s="2"/>
    </row>
    <row r="40" spans="10:24" x14ac:dyDescent="0.2">
      <c r="J40" s="1"/>
      <c r="K40" s="12"/>
      <c r="L40" s="2"/>
    </row>
    <row r="41" spans="10:24" x14ac:dyDescent="0.2">
      <c r="K41" s="12"/>
      <c r="L41" s="2"/>
    </row>
    <row r="42" spans="10:24" x14ac:dyDescent="0.2">
      <c r="J42" s="1"/>
      <c r="K42" s="12"/>
      <c r="L42" s="2"/>
    </row>
    <row r="43" spans="10:24" x14ac:dyDescent="0.2">
      <c r="J43" s="1"/>
      <c r="K43" s="12"/>
      <c r="L4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E299-CD51-4D85-9A28-3476CCFBC272}">
  <dimension ref="A1:AK57"/>
  <sheetViews>
    <sheetView topLeftCell="M2" zoomScale="85" zoomScaleNormal="85" workbookViewId="0">
      <selection activeCell="AJ13" sqref="AJ13"/>
    </sheetView>
  </sheetViews>
  <sheetFormatPr defaultRowHeight="14.25" x14ac:dyDescent="0.2"/>
  <cols>
    <col min="7" max="7" width="11.25" customWidth="1"/>
    <col min="8" max="8" width="11" bestFit="1" customWidth="1"/>
    <col min="11" max="11" width="11.25" customWidth="1"/>
    <col min="12" max="12" width="12.25" customWidth="1"/>
    <col min="13" max="13" width="10" customWidth="1"/>
    <col min="14" max="14" width="11.625" customWidth="1"/>
    <col min="15" max="15" width="12.375" customWidth="1"/>
    <col min="16" max="16" width="12.125" customWidth="1"/>
    <col min="17" max="17" width="10.125" bestFit="1" customWidth="1"/>
    <col min="18" max="18" width="10.625" customWidth="1"/>
    <col min="19" max="19" width="11.25" customWidth="1"/>
    <col min="20" max="20" width="12" customWidth="1"/>
    <col min="21" max="21" width="14.75" customWidth="1"/>
    <col min="22" max="22" width="11.125" customWidth="1"/>
    <col min="23" max="23" width="11.375" customWidth="1"/>
    <col min="25" max="25" width="10.625" customWidth="1"/>
    <col min="26" max="26" width="10" customWidth="1"/>
    <col min="27" max="27" width="11.125" customWidth="1"/>
    <col min="28" max="28" width="10.375" customWidth="1"/>
    <col min="29" max="29" width="10.5" customWidth="1"/>
    <col min="30" max="30" width="9.625" customWidth="1"/>
    <col min="31" max="31" width="10" customWidth="1"/>
    <col min="32" max="32" width="8.75" customWidth="1"/>
    <col min="33" max="33" width="10.125" bestFit="1" customWidth="1"/>
    <col min="34" max="34" width="9.875" customWidth="1"/>
    <col min="35" max="37" width="10.125" bestFit="1" customWidth="1"/>
    <col min="38" max="38" width="6.5" customWidth="1"/>
    <col min="39" max="39" width="7.125" customWidth="1"/>
  </cols>
  <sheetData>
    <row r="1" spans="1:37" ht="30" x14ac:dyDescent="0.4">
      <c r="B1" s="4" t="s">
        <v>71</v>
      </c>
      <c r="D1" s="1"/>
    </row>
    <row r="3" spans="1:37" x14ac:dyDescent="0.2">
      <c r="B3" t="s">
        <v>3</v>
      </c>
      <c r="C3" t="s">
        <v>11</v>
      </c>
      <c r="D3" t="s">
        <v>18</v>
      </c>
      <c r="E3" t="s">
        <v>7</v>
      </c>
      <c r="F3" t="s">
        <v>13</v>
      </c>
      <c r="G3" t="s">
        <v>4</v>
      </c>
      <c r="H3" t="s">
        <v>5</v>
      </c>
      <c r="I3" t="s">
        <v>8</v>
      </c>
      <c r="J3" t="s">
        <v>9</v>
      </c>
      <c r="K3" t="s">
        <v>0</v>
      </c>
      <c r="L3" t="s">
        <v>1</v>
      </c>
      <c r="M3" t="s">
        <v>2</v>
      </c>
      <c r="N3" t="s">
        <v>15</v>
      </c>
      <c r="O3" t="s">
        <v>6</v>
      </c>
      <c r="P3" t="s">
        <v>10</v>
      </c>
      <c r="Q3" t="s">
        <v>16</v>
      </c>
      <c r="R3" t="s">
        <v>12</v>
      </c>
      <c r="S3" t="s">
        <v>17</v>
      </c>
      <c r="T3" t="s">
        <v>14</v>
      </c>
      <c r="U3" t="s">
        <v>21</v>
      </c>
      <c r="V3" t="s">
        <v>19</v>
      </c>
      <c r="W3" t="s">
        <v>22</v>
      </c>
      <c r="X3" t="s">
        <v>23</v>
      </c>
      <c r="Y3" t="s">
        <v>31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34</v>
      </c>
      <c r="AE3" s="5" t="s">
        <v>33</v>
      </c>
    </row>
    <row r="4" spans="1:37" x14ac:dyDescent="0.2">
      <c r="A4">
        <f t="shared" ref="A4:A9" si="0">P4/O4</f>
        <v>0.10643162393162392</v>
      </c>
      <c r="B4">
        <f>PI()</f>
        <v>3.1415926535897931</v>
      </c>
      <c r="C4" s="1">
        <v>206000</v>
      </c>
      <c r="D4" s="1">
        <f t="shared" ref="D4:D9" si="1">C4/2.6</f>
        <v>79230.769230769234</v>
      </c>
      <c r="E4" s="6">
        <v>1000</v>
      </c>
      <c r="F4" s="6">
        <f t="shared" ref="F4:F9" si="2">G4/2</f>
        <v>500</v>
      </c>
      <c r="G4" s="6">
        <v>1000</v>
      </c>
      <c r="H4" s="6">
        <v>1000</v>
      </c>
      <c r="I4" s="6">
        <f>K4*0.5</f>
        <v>76</v>
      </c>
      <c r="J4" s="6">
        <v>8</v>
      </c>
      <c r="K4" s="6">
        <v>152</v>
      </c>
      <c r="L4" s="6">
        <v>8</v>
      </c>
      <c r="M4">
        <f t="shared" ref="M4:M9" si="3">(B4*((K4/2)^2))-(B4*(((K4-(2*L4))/2)^2))</f>
        <v>3619.1147369354403</v>
      </c>
      <c r="N4">
        <f t="shared" ref="N4:N9" si="4">(B4*((I4/2)^2))-(B4*(((I4-(2*J4))/2)^2))</f>
        <v>1709.0264035528471</v>
      </c>
      <c r="O4">
        <f t="shared" ref="O4:O9" si="5">((B4*K4*K4*K4*K4)/64)*(1-(((K4-2*L4)/K4)^4))</f>
        <v>9409698.316032147</v>
      </c>
      <c r="P4">
        <f t="shared" ref="P4:P9" si="6">((B4*I4*I4*I4*I4)/64)*(1-(((I4-2*J4)/I4)^4))</f>
        <v>1001489.4724819683</v>
      </c>
      <c r="Q4">
        <f>((B4/32)*((K4*K4*K4*K4)-(K4-2*L4)*(K4-2*L4)*(K4-2*L4)*(K4-2*L4)))</f>
        <v>18819396.632064298</v>
      </c>
      <c r="R4" s="2">
        <f t="shared" ref="R4:R9" si="7">1/(((E4*E4)/(24*C4*O4))+((E4*G4)/(12*C4*P4))+((2*E4)/(G4*N4*D4)))</f>
        <v>2271721.7704532431</v>
      </c>
      <c r="S4" s="2">
        <f t="shared" ref="S4:S9" si="8">2*R4</f>
        <v>4543443.5409064861</v>
      </c>
      <c r="T4" s="2">
        <f>4*(F4*F4*R4)+4*D4*Q4</f>
        <v>8236022856922.8516</v>
      </c>
      <c r="U4" s="2">
        <f>C4*M4*G4*G4+4*C4*O4</f>
        <v>753291227221111.13</v>
      </c>
      <c r="V4" s="6">
        <v>55173.424700000003</v>
      </c>
      <c r="W4" s="7">
        <v>36250</v>
      </c>
      <c r="X4" s="6">
        <v>87.205637949999996</v>
      </c>
      <c r="Y4">
        <f t="shared" ref="Y4:Y9" si="9">(X4*B4)/180</f>
        <v>1.5220255085296179</v>
      </c>
      <c r="Z4" s="2">
        <f t="shared" ref="Z4:Z9" si="10">U4/T4</f>
        <v>91.46298405278543</v>
      </c>
      <c r="AA4" s="2">
        <f t="shared" ref="AA4:AA9" si="11">(B4*B4*U4)/(V4*V4)</f>
        <v>2442321.1525530592</v>
      </c>
      <c r="AB4" s="2">
        <f t="shared" ref="AB4:AB9" si="12">(AA4*(1-(Y4/B4)*(Y4/B4))*(1-(Y4/B4)*(Y4/B4)))/(1+Z4*(Y4/B4)*(Y4/B4))</f>
        <v>63662.65703571897</v>
      </c>
      <c r="AC4" s="2">
        <f t="shared" ref="AC4:AC9" si="13">AB4/(1+(AB4/S4))</f>
        <v>62782.943452676795</v>
      </c>
      <c r="AD4" s="2">
        <f t="shared" ref="AD4:AD9" si="14">AB4/W4</f>
        <v>1.7562112285715579</v>
      </c>
      <c r="AE4" s="8">
        <f t="shared" ref="AE4:AE9" si="15">AC4/W4</f>
        <v>1.7319432676600495</v>
      </c>
      <c r="AG4" s="11">
        <f>(AD4-AD23)/AD23</f>
        <v>2.5086004563593063</v>
      </c>
      <c r="AH4" s="11">
        <f>(AE4-AE23)/AE23</f>
        <v>2.4739357094159469</v>
      </c>
      <c r="AJ4" s="11">
        <f>SUM(AG4:AG19)/16</f>
        <v>0.52608699894544386</v>
      </c>
      <c r="AK4" s="11">
        <f>SUM(AH4:AH19)/16</f>
        <v>0.52153099665641189</v>
      </c>
    </row>
    <row r="5" spans="1:37" x14ac:dyDescent="0.2">
      <c r="A5">
        <f t="shared" si="0"/>
        <v>0.19406222222222225</v>
      </c>
      <c r="B5">
        <f>PI()</f>
        <v>3.1415926535897931</v>
      </c>
      <c r="C5" s="1">
        <v>206000</v>
      </c>
      <c r="D5" s="1">
        <f t="shared" si="1"/>
        <v>79230.769230769234</v>
      </c>
      <c r="E5" s="6">
        <v>1000</v>
      </c>
      <c r="F5" s="6">
        <f t="shared" si="2"/>
        <v>500</v>
      </c>
      <c r="G5" s="6">
        <v>1000</v>
      </c>
      <c r="H5" s="6">
        <v>1000</v>
      </c>
      <c r="I5" s="6">
        <f>K5*0.6</f>
        <v>91.2</v>
      </c>
      <c r="J5" s="6">
        <v>8</v>
      </c>
      <c r="K5" s="6">
        <v>152</v>
      </c>
      <c r="L5" s="6">
        <v>8</v>
      </c>
      <c r="M5">
        <f t="shared" si="3"/>
        <v>3619.1147369354403</v>
      </c>
      <c r="N5">
        <f t="shared" si="4"/>
        <v>2091.0440702293663</v>
      </c>
      <c r="O5">
        <f t="shared" si="5"/>
        <v>9409698.316032147</v>
      </c>
      <c r="P5">
        <f t="shared" si="6"/>
        <v>1826066.965649901</v>
      </c>
      <c r="Q5">
        <f>((B5/32)*((K5*K5*K5*K5)-(K5-2*L5)*(K5-2*L5)*(K5-2*L5)*(K5-2*L5)))</f>
        <v>18819396.632064298</v>
      </c>
      <c r="R5" s="2">
        <f t="shared" si="7"/>
        <v>3920055.8471235614</v>
      </c>
      <c r="S5" s="2">
        <f t="shared" si="8"/>
        <v>7840111.6942471229</v>
      </c>
      <c r="T5" s="2">
        <f t="shared" ref="T5:T9" si="16">4*(F5*F5*R5)+4*D5*Q5</f>
        <v>9884356933593.1699</v>
      </c>
      <c r="U5" s="2">
        <f t="shared" ref="U5:U9" si="17">C5*M5*G5*G5+4*C5*O5</f>
        <v>753291227221111.13</v>
      </c>
      <c r="V5" s="6">
        <v>55173.424700000003</v>
      </c>
      <c r="W5" s="7">
        <v>36250</v>
      </c>
      <c r="X5" s="6">
        <v>87.205637949999996</v>
      </c>
      <c r="Y5">
        <f t="shared" si="9"/>
        <v>1.5220255085296179</v>
      </c>
      <c r="Z5" s="2">
        <f t="shared" si="10"/>
        <v>76.210443661839122</v>
      </c>
      <c r="AA5" s="2">
        <f t="shared" si="11"/>
        <v>2442321.1525530592</v>
      </c>
      <c r="AB5" s="2">
        <f t="shared" si="12"/>
        <v>75729.345437846845</v>
      </c>
      <c r="AC5" s="2">
        <f t="shared" si="13"/>
        <v>75004.857195638149</v>
      </c>
      <c r="AD5" s="2">
        <f t="shared" si="14"/>
        <v>2.0890853913888785</v>
      </c>
      <c r="AE5" s="8">
        <f t="shared" si="15"/>
        <v>2.0690995088451904</v>
      </c>
      <c r="AG5" s="11">
        <f t="shared" ref="AG5:AH19" si="18">(AD5-AD24)/AD24</f>
        <v>1.4409302165952671</v>
      </c>
      <c r="AH5" s="11">
        <f t="shared" si="18"/>
        <v>1.4271451113136786</v>
      </c>
    </row>
    <row r="6" spans="1:37" x14ac:dyDescent="0.2">
      <c r="A6">
        <f t="shared" si="0"/>
        <v>0.32019948717948704</v>
      </c>
      <c r="B6">
        <f>PI()</f>
        <v>3.1415926535897931</v>
      </c>
      <c r="C6" s="1">
        <v>206000</v>
      </c>
      <c r="D6" s="1">
        <f t="shared" si="1"/>
        <v>79230.769230769234</v>
      </c>
      <c r="E6" s="6">
        <v>1000</v>
      </c>
      <c r="F6" s="6">
        <f t="shared" si="2"/>
        <v>500</v>
      </c>
      <c r="G6" s="6">
        <v>1000</v>
      </c>
      <c r="H6" s="6">
        <v>1000</v>
      </c>
      <c r="I6" s="6">
        <f>K6*0.7</f>
        <v>106.39999999999999</v>
      </c>
      <c r="J6" s="6">
        <v>8</v>
      </c>
      <c r="K6" s="6">
        <v>152</v>
      </c>
      <c r="L6" s="6">
        <v>8</v>
      </c>
      <c r="M6">
        <f t="shared" si="3"/>
        <v>3619.1147369354403</v>
      </c>
      <c r="N6">
        <f t="shared" si="4"/>
        <v>2473.0617369058855</v>
      </c>
      <c r="O6">
        <f t="shared" si="5"/>
        <v>9409698.316032147</v>
      </c>
      <c r="P6">
        <f t="shared" si="6"/>
        <v>3012980.5753071764</v>
      </c>
      <c r="Q6">
        <f t="shared" ref="Q6:Q9" si="19">((B6/32)*((K6*K6*K6*K6)-(K6-2*L6)*(K6-2*L6)*(K6-2*L6)*(K6-2*L6)))</f>
        <v>18819396.632064298</v>
      </c>
      <c r="R6" s="2">
        <f t="shared" si="7"/>
        <v>6025361.97034044</v>
      </c>
      <c r="S6" s="2">
        <f t="shared" si="8"/>
        <v>12050723.94068088</v>
      </c>
      <c r="T6" s="2">
        <f t="shared" si="16"/>
        <v>11989663056810.049</v>
      </c>
      <c r="U6" s="2">
        <f t="shared" si="17"/>
        <v>753291227221111.13</v>
      </c>
      <c r="V6" s="6">
        <v>55173.424700000003</v>
      </c>
      <c r="W6" s="7">
        <v>36250</v>
      </c>
      <c r="X6" s="6">
        <v>87.205637949999996</v>
      </c>
      <c r="Y6">
        <f t="shared" si="9"/>
        <v>1.5220255085296179</v>
      </c>
      <c r="Z6" s="2">
        <f t="shared" si="10"/>
        <v>62.828390059989779</v>
      </c>
      <c r="AA6" s="2">
        <f t="shared" si="11"/>
        <v>2442321.1525530592</v>
      </c>
      <c r="AB6" s="2">
        <f t="shared" si="12"/>
        <v>90834.899478863284</v>
      </c>
      <c r="AC6" s="2">
        <f t="shared" si="13"/>
        <v>90155.334435201512</v>
      </c>
      <c r="AD6" s="2">
        <f t="shared" si="14"/>
        <v>2.5057903304514011</v>
      </c>
      <c r="AE6" s="8">
        <f t="shared" si="15"/>
        <v>2.487043708557283</v>
      </c>
      <c r="AG6" s="11">
        <f t="shared" si="18"/>
        <v>0.92700492017229663</v>
      </c>
      <c r="AH6" s="11">
        <f t="shared" si="18"/>
        <v>0.92006969876878564</v>
      </c>
    </row>
    <row r="7" spans="1:37" x14ac:dyDescent="0.2">
      <c r="A7">
        <f t="shared" si="0"/>
        <v>0.49187829059829069</v>
      </c>
      <c r="B7">
        <f>PI()</f>
        <v>3.1415926535897931</v>
      </c>
      <c r="C7" s="1">
        <v>206000</v>
      </c>
      <c r="D7" s="1">
        <f t="shared" si="1"/>
        <v>79230.769230769234</v>
      </c>
      <c r="E7" s="6">
        <v>1000</v>
      </c>
      <c r="F7" s="6">
        <f t="shared" si="2"/>
        <v>500</v>
      </c>
      <c r="G7" s="6">
        <v>1000</v>
      </c>
      <c r="H7" s="6">
        <v>1000</v>
      </c>
      <c r="I7" s="6">
        <f>K7*0.8</f>
        <v>121.60000000000001</v>
      </c>
      <c r="J7" s="6">
        <v>8</v>
      </c>
      <c r="K7" s="6">
        <v>152</v>
      </c>
      <c r="L7" s="6">
        <v>8</v>
      </c>
      <c r="M7">
        <f t="shared" si="3"/>
        <v>3619.1147369354403</v>
      </c>
      <c r="N7">
        <f t="shared" si="4"/>
        <v>2855.0794035824038</v>
      </c>
      <c r="O7">
        <f t="shared" si="5"/>
        <v>9409698.316032147</v>
      </c>
      <c r="P7">
        <f t="shared" si="6"/>
        <v>4628426.322735507</v>
      </c>
      <c r="Q7">
        <f t="shared" si="19"/>
        <v>18819396.632064298</v>
      </c>
      <c r="R7" s="2">
        <f t="shared" si="7"/>
        <v>8493426.6700752247</v>
      </c>
      <c r="S7" s="2">
        <f t="shared" si="8"/>
        <v>16986853.340150449</v>
      </c>
      <c r="T7" s="2">
        <f t="shared" si="16"/>
        <v>14457727756544.832</v>
      </c>
      <c r="U7" s="2">
        <f t="shared" si="17"/>
        <v>753291227221111.13</v>
      </c>
      <c r="V7" s="6">
        <v>55173.424700000003</v>
      </c>
      <c r="W7" s="7">
        <v>36250</v>
      </c>
      <c r="X7" s="6">
        <v>87.205637949999996</v>
      </c>
      <c r="Y7">
        <f t="shared" si="9"/>
        <v>1.5220255085296179</v>
      </c>
      <c r="Z7" s="2">
        <f t="shared" si="10"/>
        <v>52.103016456379571</v>
      </c>
      <c r="AA7" s="2">
        <f t="shared" si="11"/>
        <v>2442321.1525530592</v>
      </c>
      <c r="AB7" s="2">
        <f t="shared" si="12"/>
        <v>108119.82222809189</v>
      </c>
      <c r="AC7" s="2">
        <f t="shared" si="13"/>
        <v>107436.00156060111</v>
      </c>
      <c r="AD7" s="2">
        <f t="shared" si="14"/>
        <v>2.9826157856025346</v>
      </c>
      <c r="AE7" s="8">
        <f t="shared" si="15"/>
        <v>2.9637517671889961</v>
      </c>
      <c r="AG7" s="11">
        <f t="shared" si="18"/>
        <v>0.64914506306725894</v>
      </c>
      <c r="AH7" s="11">
        <f t="shared" si="18"/>
        <v>0.64503944393861734</v>
      </c>
    </row>
    <row r="8" spans="1:37" x14ac:dyDescent="0.2">
      <c r="A8">
        <f t="shared" si="0"/>
        <v>0.71613350427350475</v>
      </c>
      <c r="B8">
        <f>PI()</f>
        <v>3.1415926535897931</v>
      </c>
      <c r="C8" s="1">
        <v>206000</v>
      </c>
      <c r="D8" s="1">
        <f t="shared" si="1"/>
        <v>79230.769230769234</v>
      </c>
      <c r="E8" s="6">
        <v>1000</v>
      </c>
      <c r="F8" s="6">
        <f t="shared" si="2"/>
        <v>500</v>
      </c>
      <c r="G8" s="6">
        <v>1000</v>
      </c>
      <c r="H8" s="6">
        <v>1000</v>
      </c>
      <c r="I8" s="6">
        <f>K8*0.9</f>
        <v>136.80000000000001</v>
      </c>
      <c r="J8" s="6">
        <v>8</v>
      </c>
      <c r="K8" s="6">
        <v>152</v>
      </c>
      <c r="L8" s="6">
        <v>8</v>
      </c>
      <c r="M8">
        <f t="shared" si="3"/>
        <v>3619.1147369354403</v>
      </c>
      <c r="N8">
        <f t="shared" si="4"/>
        <v>3237.097070258922</v>
      </c>
      <c r="O8">
        <f t="shared" si="5"/>
        <v>9409698.316032147</v>
      </c>
      <c r="P8">
        <f t="shared" si="6"/>
        <v>6738600.229216598</v>
      </c>
      <c r="Q8">
        <f t="shared" si="19"/>
        <v>18819396.632064298</v>
      </c>
      <c r="R8" s="2">
        <f t="shared" si="7"/>
        <v>11195045.325176775</v>
      </c>
      <c r="S8" s="2">
        <f t="shared" si="8"/>
        <v>22390090.650353551</v>
      </c>
      <c r="T8" s="2">
        <f t="shared" si="16"/>
        <v>17159346411646.383</v>
      </c>
      <c r="U8" s="2">
        <f t="shared" si="17"/>
        <v>753291227221111.13</v>
      </c>
      <c r="V8" s="6">
        <v>55173.424700000003</v>
      </c>
      <c r="W8" s="7">
        <v>36250</v>
      </c>
      <c r="X8" s="6">
        <v>87.205637949999996</v>
      </c>
      <c r="Y8">
        <f t="shared" si="9"/>
        <v>1.5220255085296179</v>
      </c>
      <c r="Z8" s="2">
        <f t="shared" si="10"/>
        <v>43.899762214127087</v>
      </c>
      <c r="AA8" s="2">
        <f t="shared" si="11"/>
        <v>2442321.1525530592</v>
      </c>
      <c r="AB8" s="2">
        <f t="shared" si="12"/>
        <v>126536.15129837034</v>
      </c>
      <c r="AC8" s="2">
        <f t="shared" si="13"/>
        <v>125825.05910296968</v>
      </c>
      <c r="AD8" s="2">
        <f t="shared" si="14"/>
        <v>3.4906524496102165</v>
      </c>
      <c r="AE8" s="8">
        <f t="shared" si="15"/>
        <v>3.4710361131853706</v>
      </c>
      <c r="AG8" s="11">
        <f t="shared" si="18"/>
        <v>0.48563216362681022</v>
      </c>
      <c r="AH8" s="11">
        <f t="shared" si="18"/>
        <v>0.48290306812448025</v>
      </c>
    </row>
    <row r="9" spans="1:37" x14ac:dyDescent="0.2">
      <c r="A9">
        <f t="shared" si="0"/>
        <v>1</v>
      </c>
      <c r="B9">
        <f>PI()</f>
        <v>3.1415926535897931</v>
      </c>
      <c r="C9" s="1">
        <v>206000</v>
      </c>
      <c r="D9" s="1">
        <f t="shared" si="1"/>
        <v>79230.769230769234</v>
      </c>
      <c r="E9" s="6">
        <v>1000</v>
      </c>
      <c r="F9" s="6">
        <f t="shared" si="2"/>
        <v>500</v>
      </c>
      <c r="G9" s="6">
        <v>1000</v>
      </c>
      <c r="H9" s="6">
        <v>1000</v>
      </c>
      <c r="I9" s="6">
        <f>K9*1</f>
        <v>152</v>
      </c>
      <c r="J9" s="6">
        <v>8</v>
      </c>
      <c r="K9" s="6">
        <v>152</v>
      </c>
      <c r="L9" s="6">
        <v>8</v>
      </c>
      <c r="M9">
        <f t="shared" si="3"/>
        <v>3619.1147369354403</v>
      </c>
      <c r="N9">
        <f t="shared" si="4"/>
        <v>3619.1147369354403</v>
      </c>
      <c r="O9">
        <f t="shared" si="5"/>
        <v>9409698.316032147</v>
      </c>
      <c r="P9">
        <f t="shared" si="6"/>
        <v>9409698.316032147</v>
      </c>
      <c r="Q9">
        <f t="shared" si="19"/>
        <v>18819396.632064298</v>
      </c>
      <c r="R9" s="2">
        <f t="shared" si="7"/>
        <v>13993631.627942696</v>
      </c>
      <c r="S9" s="2">
        <f t="shared" si="8"/>
        <v>27987263.255885392</v>
      </c>
      <c r="T9" s="2">
        <f t="shared" si="16"/>
        <v>19957932714412.305</v>
      </c>
      <c r="U9" s="2">
        <f t="shared" si="17"/>
        <v>753291227221111.13</v>
      </c>
      <c r="V9" s="6">
        <v>55173.424700000003</v>
      </c>
      <c r="W9" s="7">
        <v>36250</v>
      </c>
      <c r="X9" s="6">
        <v>87.205637949999996</v>
      </c>
      <c r="Y9">
        <f t="shared" si="9"/>
        <v>1.5220255085296179</v>
      </c>
      <c r="Z9" s="2">
        <f t="shared" si="10"/>
        <v>37.743950638591635</v>
      </c>
      <c r="AA9" s="2">
        <f t="shared" si="11"/>
        <v>2442321.1525530592</v>
      </c>
      <c r="AB9" s="2">
        <f t="shared" si="12"/>
        <v>145080.22330976743</v>
      </c>
      <c r="AC9" s="2">
        <f t="shared" si="13"/>
        <v>144332.03568682101</v>
      </c>
      <c r="AD9" s="2">
        <f t="shared" si="14"/>
        <v>4.0022130568211702</v>
      </c>
      <c r="AE9" s="8">
        <f t="shared" si="15"/>
        <v>3.9815733982571313</v>
      </c>
      <c r="AG9" s="11">
        <f t="shared" si="18"/>
        <v>0.38298489329847513</v>
      </c>
      <c r="AH9" s="11">
        <f t="shared" si="18"/>
        <v>0.38100981667945494</v>
      </c>
    </row>
    <row r="10" spans="1:37" x14ac:dyDescent="0.2">
      <c r="A10">
        <f t="shared" ref="A10:A15" si="20">P10/O10</f>
        <v>1.3505126495726498</v>
      </c>
      <c r="B10">
        <f>PI()</f>
        <v>3.1415926535897931</v>
      </c>
      <c r="C10" s="1">
        <v>206000</v>
      </c>
      <c r="D10" s="1">
        <f t="shared" ref="D10:D15" si="21">C10/2.6</f>
        <v>79230.769230769234</v>
      </c>
      <c r="E10" s="6">
        <v>1000</v>
      </c>
      <c r="F10" s="6">
        <f t="shared" ref="F10:F15" si="22">G10/2</f>
        <v>500</v>
      </c>
      <c r="G10" s="6">
        <v>1000</v>
      </c>
      <c r="H10" s="6">
        <v>1000</v>
      </c>
      <c r="I10" s="6">
        <f>K10*1.1</f>
        <v>167.20000000000002</v>
      </c>
      <c r="J10" s="6">
        <v>8</v>
      </c>
      <c r="K10" s="6">
        <v>152</v>
      </c>
      <c r="L10" s="6">
        <v>8</v>
      </c>
      <c r="M10">
        <f t="shared" ref="M10:M15" si="23">(B10*((K10/2)^2))-(B10*(((K10-(2*L10))/2)^2))</f>
        <v>3619.1147369354403</v>
      </c>
      <c r="N10">
        <f t="shared" ref="N10:N15" si="24">(B10*((I10/2)^2))-(B10*(((I10-(2*J10))/2)^2))</f>
        <v>4001.1324036119622</v>
      </c>
      <c r="O10">
        <f t="shared" ref="O10:O15" si="25">((B10*K10*K10*K10*K10)/64)*(1-(((K10-2*L10)/K10)^4))</f>
        <v>9409698.316032147</v>
      </c>
      <c r="P10">
        <f t="shared" ref="P10:P15" si="26">((B10*I10*I10*I10*I10)/64)*(1-(((I10-2*J10)/I10)^4))</f>
        <v>12707916.604463877</v>
      </c>
      <c r="Q10">
        <f>((B10/32)*((K10*K10*K10*K10)-(K10-2*L10)*(K10-2*L10)*(K10-2*L10)*(K10-2*L10)))</f>
        <v>18819396.632064298</v>
      </c>
      <c r="R10" s="2">
        <f t="shared" ref="R10:R15" si="27">1/(((E10*E10)/(24*C10*O10))+((E10*G10)/(12*C10*P10))+((2*E10)/(G10*N10*D10)))</f>
        <v>16768035.017417934</v>
      </c>
      <c r="S10" s="2">
        <f t="shared" ref="S10:S15" si="28">2*R10</f>
        <v>33536070.034835868</v>
      </c>
      <c r="T10" s="2">
        <f>4*(F10*F10*R10)+4*D10*Q10</f>
        <v>22732336103887.543</v>
      </c>
      <c r="U10" s="2">
        <f t="shared" ref="U10:U15" si="29">C10*M10*G10*G10+4*C10*O10</f>
        <v>753291227221111.13</v>
      </c>
      <c r="V10" s="6">
        <v>55173.424700000003</v>
      </c>
      <c r="W10" s="7">
        <v>36250</v>
      </c>
      <c r="X10" s="6">
        <v>87.205637949999996</v>
      </c>
      <c r="Y10">
        <f t="shared" ref="Y10:Y15" si="30">(X10*B10)/180</f>
        <v>1.5220255085296179</v>
      </c>
      <c r="Z10" s="2">
        <f t="shared" ref="Z10:Z15" si="31">U10/T10</f>
        <v>33.137431356748593</v>
      </c>
      <c r="AA10" s="2">
        <f t="shared" ref="AA10:AA15" si="32">(B10*B10*U10)/(V10*V10)</f>
        <v>2442321.1525530592</v>
      </c>
      <c r="AB10" s="2">
        <f t="shared" ref="AB10:AB15" si="33">(AA10*(1-(Y10/B10)*(Y10/B10))*(1-(Y10/B10)*(Y10/B10)))/(1+Z10*(Y10/B10)*(Y10/B10))</f>
        <v>162950.61462361182</v>
      </c>
      <c r="AC10" s="2">
        <f t="shared" ref="AC10:AC15" si="34">AB10/(1+(AB10/S10))</f>
        <v>162162.67176074887</v>
      </c>
      <c r="AD10" s="2">
        <f t="shared" ref="AD10:AD15" si="35">AB10/W10</f>
        <v>4.4951893689272229</v>
      </c>
      <c r="AE10" s="8">
        <f t="shared" ref="AE10:AE15" si="36">AC10/W10</f>
        <v>4.4734530140896238</v>
      </c>
      <c r="AG10" s="11">
        <f t="shared" si="18"/>
        <v>0.31517312783353257</v>
      </c>
      <c r="AH10" s="11">
        <f t="shared" si="18"/>
        <v>0.31364911752392877</v>
      </c>
    </row>
    <row r="11" spans="1:37" x14ac:dyDescent="0.2">
      <c r="A11">
        <f t="shared" si="20"/>
        <v>1.7747063247863257</v>
      </c>
      <c r="B11">
        <f>PI()</f>
        <v>3.1415926535897931</v>
      </c>
      <c r="C11" s="1">
        <v>206000</v>
      </c>
      <c r="D11" s="1">
        <f t="shared" si="21"/>
        <v>79230.769230769234</v>
      </c>
      <c r="E11" s="6">
        <v>1000</v>
      </c>
      <c r="F11" s="6">
        <f t="shared" si="22"/>
        <v>500</v>
      </c>
      <c r="G11" s="6">
        <v>1000</v>
      </c>
      <c r="H11" s="6">
        <v>1000</v>
      </c>
      <c r="I11" s="6">
        <f>K11*1.2</f>
        <v>182.4</v>
      </c>
      <c r="J11" s="6">
        <v>8</v>
      </c>
      <c r="K11" s="6">
        <v>152</v>
      </c>
      <c r="L11" s="6">
        <v>8</v>
      </c>
      <c r="M11">
        <f t="shared" si="23"/>
        <v>3619.1147369354403</v>
      </c>
      <c r="N11">
        <f t="shared" si="24"/>
        <v>4383.1500702884805</v>
      </c>
      <c r="O11">
        <f t="shared" si="25"/>
        <v>9409698.316032147</v>
      </c>
      <c r="P11">
        <f t="shared" si="26"/>
        <v>16699451.115793489</v>
      </c>
      <c r="Q11">
        <f>((B11/32)*((K11*K11*K11*K11)-(K11-2*L11)*(K11-2*L11)*(K11-2*L11)*(K11-2*L11)))</f>
        <v>18819396.632064298</v>
      </c>
      <c r="R11" s="2">
        <f t="shared" si="27"/>
        <v>19425530.682089947</v>
      </c>
      <c r="S11" s="2">
        <f t="shared" si="28"/>
        <v>38851061.364179894</v>
      </c>
      <c r="T11" s="2">
        <f t="shared" ref="T11:T15" si="37">4*(F11*F11*R11)+4*D11*Q11</f>
        <v>25389831768559.555</v>
      </c>
      <c r="U11" s="2">
        <f t="shared" si="29"/>
        <v>753291227221111.13</v>
      </c>
      <c r="V11" s="6">
        <v>55173.424700000003</v>
      </c>
      <c r="W11" s="7">
        <v>36250</v>
      </c>
      <c r="X11" s="6">
        <v>87.205637949999996</v>
      </c>
      <c r="Y11">
        <f t="shared" si="30"/>
        <v>1.5220255085296179</v>
      </c>
      <c r="Z11" s="2">
        <f t="shared" si="31"/>
        <v>29.669012149734606</v>
      </c>
      <c r="AA11" s="2">
        <f t="shared" si="32"/>
        <v>2442321.1525530592</v>
      </c>
      <c r="AB11" s="2">
        <f t="shared" si="33"/>
        <v>179608.14288051991</v>
      </c>
      <c r="AC11" s="2">
        <f t="shared" si="34"/>
        <v>178781.63681755951</v>
      </c>
      <c r="AD11" s="2">
        <f t="shared" si="35"/>
        <v>4.9547073898074458</v>
      </c>
      <c r="AE11" s="8">
        <f t="shared" si="36"/>
        <v>4.9319072225533658</v>
      </c>
      <c r="AG11" s="11">
        <f t="shared" si="18"/>
        <v>0.26848048689062143</v>
      </c>
      <c r="AH11" s="11">
        <f t="shared" si="18"/>
        <v>0.26724501534326922</v>
      </c>
    </row>
    <row r="12" spans="1:37" x14ac:dyDescent="0.2">
      <c r="A12">
        <f t="shared" si="20"/>
        <v>2.2796158974358964</v>
      </c>
      <c r="B12">
        <f>PI()</f>
        <v>3.1415926535897931</v>
      </c>
      <c r="C12" s="1">
        <v>206000</v>
      </c>
      <c r="D12" s="1">
        <f t="shared" si="21"/>
        <v>79230.769230769234</v>
      </c>
      <c r="E12" s="6">
        <v>1000</v>
      </c>
      <c r="F12" s="6">
        <f t="shared" si="22"/>
        <v>500</v>
      </c>
      <c r="G12" s="6">
        <v>1000</v>
      </c>
      <c r="H12" s="6">
        <v>1000</v>
      </c>
      <c r="I12" s="6">
        <f>K12*1.3</f>
        <v>197.6</v>
      </c>
      <c r="J12" s="6">
        <v>8</v>
      </c>
      <c r="K12" s="6">
        <v>152</v>
      </c>
      <c r="L12" s="6">
        <v>8</v>
      </c>
      <c r="M12">
        <f t="shared" si="23"/>
        <v>3619.1147369354403</v>
      </c>
      <c r="N12">
        <f t="shared" si="24"/>
        <v>4765.1677369649951</v>
      </c>
      <c r="O12">
        <f t="shared" si="25"/>
        <v>9409698.316032147</v>
      </c>
      <c r="P12">
        <f t="shared" si="26"/>
        <v>21450497.871302668</v>
      </c>
      <c r="Q12">
        <f t="shared" ref="Q12:Q15" si="38">((B12/32)*((K12*K12*K12*K12)-(K12-2*L12)*(K12-2*L12)*(K12-2*L12)*(K12-2*L12)))</f>
        <v>18819396.632064298</v>
      </c>
      <c r="R12" s="2">
        <f t="shared" si="27"/>
        <v>21905056.172014888</v>
      </c>
      <c r="S12" s="2">
        <f t="shared" si="28"/>
        <v>43810112.344029777</v>
      </c>
      <c r="T12" s="2">
        <f t="shared" si="37"/>
        <v>27869357258484.496</v>
      </c>
      <c r="U12" s="2">
        <f t="shared" si="29"/>
        <v>753291227221111.13</v>
      </c>
      <c r="V12" s="6">
        <v>55173.424700000003</v>
      </c>
      <c r="W12" s="7">
        <v>36250</v>
      </c>
      <c r="X12" s="6">
        <v>87.205637949999996</v>
      </c>
      <c r="Y12">
        <f t="shared" si="30"/>
        <v>1.5220255085296179</v>
      </c>
      <c r="Z12" s="2">
        <f t="shared" si="31"/>
        <v>27.029372089009357</v>
      </c>
      <c r="AA12" s="2">
        <f t="shared" si="32"/>
        <v>2442321.1525530592</v>
      </c>
      <c r="AB12" s="2">
        <f t="shared" si="33"/>
        <v>194760.05991084504</v>
      </c>
      <c r="AC12" s="2">
        <f t="shared" si="34"/>
        <v>193898.07625166557</v>
      </c>
      <c r="AD12" s="2">
        <f t="shared" si="35"/>
        <v>5.3726913078853809</v>
      </c>
      <c r="AE12" s="8">
        <f t="shared" si="36"/>
        <v>5.3489124483218085</v>
      </c>
      <c r="AG12" s="11">
        <f t="shared" si="18"/>
        <v>0.23520578278861215</v>
      </c>
      <c r="AH12" s="11">
        <f t="shared" si="18"/>
        <v>0.23416479142004748</v>
      </c>
    </row>
    <row r="13" spans="1:37" x14ac:dyDescent="0.2">
      <c r="A13">
        <f t="shared" si="20"/>
        <v>2.8722762393162387</v>
      </c>
      <c r="B13">
        <f>PI()</f>
        <v>3.1415926535897931</v>
      </c>
      <c r="C13" s="1">
        <v>206000</v>
      </c>
      <c r="D13" s="1">
        <f t="shared" si="21"/>
        <v>79230.769230769234</v>
      </c>
      <c r="E13" s="6">
        <v>1000</v>
      </c>
      <c r="F13" s="6">
        <f t="shared" si="22"/>
        <v>500</v>
      </c>
      <c r="G13" s="6">
        <v>1000</v>
      </c>
      <c r="H13" s="6">
        <v>1000</v>
      </c>
      <c r="I13" s="6">
        <f>K13*1.4</f>
        <v>212.79999999999998</v>
      </c>
      <c r="J13" s="6">
        <v>8</v>
      </c>
      <c r="K13" s="6">
        <v>152</v>
      </c>
      <c r="L13" s="6">
        <v>8</v>
      </c>
      <c r="M13">
        <f t="shared" si="23"/>
        <v>3619.1147369354403</v>
      </c>
      <c r="N13">
        <f t="shared" si="24"/>
        <v>5147.185403641517</v>
      </c>
      <c r="O13">
        <f t="shared" si="25"/>
        <v>9409698.316032147</v>
      </c>
      <c r="P13">
        <f t="shared" si="26"/>
        <v>27027252.892273158</v>
      </c>
      <c r="Q13">
        <f t="shared" si="38"/>
        <v>18819396.632064298</v>
      </c>
      <c r="R13" s="2">
        <f t="shared" si="27"/>
        <v>24173796.078216542</v>
      </c>
      <c r="S13" s="2">
        <f t="shared" si="28"/>
        <v>48347592.156433083</v>
      </c>
      <c r="T13" s="2">
        <f t="shared" si="37"/>
        <v>30138097164686.152</v>
      </c>
      <c r="U13" s="2">
        <f t="shared" si="29"/>
        <v>753291227221111.13</v>
      </c>
      <c r="V13" s="6">
        <v>55173.424700000003</v>
      </c>
      <c r="W13" s="7">
        <v>36250</v>
      </c>
      <c r="X13" s="6">
        <v>87.205637949999996</v>
      </c>
      <c r="Y13">
        <f t="shared" si="30"/>
        <v>1.5220255085296179</v>
      </c>
      <c r="Z13" s="2">
        <f t="shared" si="31"/>
        <v>24.994651225153273</v>
      </c>
      <c r="AA13" s="2">
        <f t="shared" si="32"/>
        <v>2442321.1525530592</v>
      </c>
      <c r="AB13" s="2">
        <f t="shared" si="33"/>
        <v>208305.81043717483</v>
      </c>
      <c r="AC13" s="2">
        <f t="shared" si="34"/>
        <v>207412.17418537504</v>
      </c>
      <c r="AD13" s="2">
        <f t="shared" si="35"/>
        <v>5.7463671844737885</v>
      </c>
      <c r="AE13" s="8">
        <f t="shared" si="36"/>
        <v>5.7217151499413808</v>
      </c>
      <c r="AG13" s="11">
        <f t="shared" si="18"/>
        <v>0.21079491053987306</v>
      </c>
      <c r="AH13" s="11">
        <f t="shared" si="18"/>
        <v>0.20989059599695178</v>
      </c>
    </row>
    <row r="14" spans="1:37" x14ac:dyDescent="0.2">
      <c r="A14">
        <f t="shared" si="20"/>
        <v>3.559722222222224</v>
      </c>
      <c r="B14">
        <f>PI()</f>
        <v>3.1415926535897931</v>
      </c>
      <c r="C14" s="1">
        <v>206000</v>
      </c>
      <c r="D14" s="1">
        <f t="shared" si="21"/>
        <v>79230.769230769234</v>
      </c>
      <c r="E14" s="6">
        <v>1000</v>
      </c>
      <c r="F14" s="6">
        <f t="shared" si="22"/>
        <v>500</v>
      </c>
      <c r="G14" s="6">
        <v>1000</v>
      </c>
      <c r="H14" s="6">
        <v>1000</v>
      </c>
      <c r="I14" s="6">
        <f>K14*1.5</f>
        <v>228</v>
      </c>
      <c r="J14" s="6">
        <v>8</v>
      </c>
      <c r="K14" s="6">
        <v>152</v>
      </c>
      <c r="L14" s="6">
        <v>8</v>
      </c>
      <c r="M14">
        <f t="shared" si="23"/>
        <v>3619.1147369354403</v>
      </c>
      <c r="N14">
        <f t="shared" si="24"/>
        <v>5529.2030703180353</v>
      </c>
      <c r="O14">
        <f t="shared" si="25"/>
        <v>9409698.316032147</v>
      </c>
      <c r="P14">
        <f t="shared" si="26"/>
        <v>33495912.199986674</v>
      </c>
      <c r="Q14">
        <f t="shared" si="38"/>
        <v>18819396.632064298</v>
      </c>
      <c r="R14" s="2">
        <f t="shared" si="27"/>
        <v>26220719.85028239</v>
      </c>
      <c r="S14" s="2">
        <f t="shared" si="28"/>
        <v>52441439.700564779</v>
      </c>
      <c r="T14" s="2">
        <f t="shared" si="37"/>
        <v>32185020936752</v>
      </c>
      <c r="U14" s="2">
        <f t="shared" si="29"/>
        <v>753291227221111.13</v>
      </c>
      <c r="V14" s="6">
        <v>55173.424700000003</v>
      </c>
      <c r="W14" s="7">
        <v>36250</v>
      </c>
      <c r="X14" s="6">
        <v>87.205637949999996</v>
      </c>
      <c r="Y14">
        <f t="shared" si="30"/>
        <v>1.5220255085296179</v>
      </c>
      <c r="Z14" s="2">
        <f t="shared" si="31"/>
        <v>23.405025235230767</v>
      </c>
      <c r="AA14" s="2">
        <f t="shared" si="32"/>
        <v>2442321.1525530592</v>
      </c>
      <c r="AB14" s="2">
        <f t="shared" si="33"/>
        <v>220274.8179863476</v>
      </c>
      <c r="AC14" s="2">
        <f t="shared" si="34"/>
        <v>219353.44662799907</v>
      </c>
      <c r="AD14" s="2">
        <f t="shared" si="35"/>
        <v>6.0765467030716582</v>
      </c>
      <c r="AE14" s="8">
        <f t="shared" si="36"/>
        <v>6.0511295621516989</v>
      </c>
      <c r="AG14" s="11">
        <f t="shared" si="18"/>
        <v>0.19243579765443353</v>
      </c>
      <c r="AH14" s="11">
        <f t="shared" si="18"/>
        <v>0.19163087208962934</v>
      </c>
    </row>
    <row r="15" spans="1:37" x14ac:dyDescent="0.2">
      <c r="A15">
        <f t="shared" si="20"/>
        <v>4.3489887179487177</v>
      </c>
      <c r="B15">
        <f>PI()</f>
        <v>3.1415926535897931</v>
      </c>
      <c r="C15" s="1">
        <v>206000</v>
      </c>
      <c r="D15" s="1">
        <f t="shared" si="21"/>
        <v>79230.769230769234</v>
      </c>
      <c r="E15" s="6">
        <v>1000</v>
      </c>
      <c r="F15" s="6">
        <f t="shared" si="22"/>
        <v>500</v>
      </c>
      <c r="G15" s="6">
        <v>1000</v>
      </c>
      <c r="H15" s="6">
        <v>1000</v>
      </c>
      <c r="I15" s="6">
        <f>K15*1.6</f>
        <v>243.20000000000002</v>
      </c>
      <c r="J15" s="6">
        <v>8</v>
      </c>
      <c r="K15" s="6">
        <v>152</v>
      </c>
      <c r="L15" s="6">
        <v>8</v>
      </c>
      <c r="M15">
        <f t="shared" si="23"/>
        <v>3619.1147369354403</v>
      </c>
      <c r="N15">
        <f t="shared" si="24"/>
        <v>5911.2207369945536</v>
      </c>
      <c r="O15">
        <f t="shared" si="25"/>
        <v>9409698.316032147</v>
      </c>
      <c r="P15">
        <f t="shared" si="26"/>
        <v>40922671.815724857</v>
      </c>
      <c r="Q15">
        <f t="shared" si="38"/>
        <v>18819396.632064298</v>
      </c>
      <c r="R15" s="2">
        <f t="shared" si="27"/>
        <v>28049728.99841461</v>
      </c>
      <c r="S15" s="2">
        <f t="shared" si="28"/>
        <v>56099457.996829219</v>
      </c>
      <c r="T15" s="2">
        <f t="shared" si="37"/>
        <v>34014030084884.219</v>
      </c>
      <c r="U15" s="2">
        <f t="shared" si="29"/>
        <v>753291227221111.13</v>
      </c>
      <c r="V15" s="6">
        <v>55173.424700000003</v>
      </c>
      <c r="W15" s="7">
        <v>36250</v>
      </c>
      <c r="X15" s="6">
        <v>87.205637949999996</v>
      </c>
      <c r="Y15">
        <f t="shared" si="30"/>
        <v>1.5220255085296179</v>
      </c>
      <c r="Z15" s="2">
        <f t="shared" si="31"/>
        <v>22.146485592598818</v>
      </c>
      <c r="AA15" s="2">
        <f t="shared" si="32"/>
        <v>2442321.1525530592</v>
      </c>
      <c r="AB15" s="2">
        <f t="shared" si="33"/>
        <v>230772.98985779277</v>
      </c>
      <c r="AC15" s="2">
        <f t="shared" si="34"/>
        <v>229827.5619425319</v>
      </c>
      <c r="AD15" s="2">
        <f t="shared" si="35"/>
        <v>6.3661514443529041</v>
      </c>
      <c r="AE15" s="8">
        <f t="shared" si="36"/>
        <v>6.3400706742767419</v>
      </c>
      <c r="AG15" s="11">
        <f t="shared" si="18"/>
        <v>0.17832721835243251</v>
      </c>
      <c r="AH15" s="11">
        <f t="shared" si="18"/>
        <v>0.17759664962172836</v>
      </c>
    </row>
    <row r="16" spans="1:37" x14ac:dyDescent="0.2">
      <c r="A16">
        <f t="shared" ref="A16" si="39">P16/O16</f>
        <v>5.2471105982905986</v>
      </c>
      <c r="B16">
        <f>PI()</f>
        <v>3.1415926535897931</v>
      </c>
      <c r="C16" s="1">
        <v>206000</v>
      </c>
      <c r="D16" s="1">
        <f t="shared" ref="D16" si="40">C16/2.6</f>
        <v>79230.769230769234</v>
      </c>
      <c r="E16" s="6">
        <v>1000</v>
      </c>
      <c r="F16" s="6">
        <f t="shared" ref="F16" si="41">G16/2</f>
        <v>500</v>
      </c>
      <c r="G16" s="6">
        <v>1000</v>
      </c>
      <c r="H16" s="6">
        <v>1000</v>
      </c>
      <c r="I16" s="6">
        <f>K16*1.7</f>
        <v>258.39999999999998</v>
      </c>
      <c r="J16" s="6">
        <v>8</v>
      </c>
      <c r="K16" s="6">
        <v>152</v>
      </c>
      <c r="L16" s="6">
        <v>8</v>
      </c>
      <c r="M16">
        <f t="shared" ref="M16" si="42">(B16*((K16/2)^2))-(B16*(((K16-(2*L16))/2)^2))</f>
        <v>3619.1147369354403</v>
      </c>
      <c r="N16">
        <f t="shared" ref="N16" si="43">(B16*((I16/2)^2))-(B16*(((I16-(2*J16))/2)^2))</f>
        <v>6293.2384036710719</v>
      </c>
      <c r="O16">
        <f t="shared" ref="O16" si="44">((B16*K16*K16*K16*K16)/64)*(1-(((K16-2*L16)/K16)^4))</f>
        <v>9409698.316032147</v>
      </c>
      <c r="P16">
        <f t="shared" ref="P16" si="45">((B16*I16*I16*I16*I16)/64)*(1-(((I16-2*J16)/I16)^4))</f>
        <v>49373727.760769479</v>
      </c>
      <c r="Q16">
        <f t="shared" ref="Q16" si="46">((B16/32)*((K16*K16*K16*K16)-(K16-2*L16)*(K16-2*L16)*(K16-2*L16)*(K16-2*L16)))</f>
        <v>18819396.632064298</v>
      </c>
      <c r="R16" s="2">
        <f t="shared" ref="R16" si="47">1/(((E16*E16)/(24*C16*O16))+((E16*G16)/(12*C16*P16))+((2*E16)/(G16*N16*D16)))</f>
        <v>29673819.685072564</v>
      </c>
      <c r="S16" s="2">
        <f t="shared" ref="S16" si="48">2*R16</f>
        <v>59347639.370145127</v>
      </c>
      <c r="T16" s="2">
        <f t="shared" ref="T16" si="49">4*(F16*F16*R16)+4*D16*Q16</f>
        <v>35638120771542.172</v>
      </c>
      <c r="U16" s="2">
        <f t="shared" ref="U16" si="50">C16*M16*G16*G16+4*C16*O16</f>
        <v>753291227221111.13</v>
      </c>
      <c r="V16" s="6">
        <v>55173.424700000003</v>
      </c>
      <c r="W16" s="7">
        <v>36250</v>
      </c>
      <c r="X16" s="6">
        <v>87.205637949999996</v>
      </c>
      <c r="Y16">
        <f t="shared" ref="Y16" si="51">(X16*B16)/180</f>
        <v>1.5220255085296179</v>
      </c>
      <c r="Z16" s="2">
        <f t="shared" ref="Z16" si="52">U16/T16</f>
        <v>21.137232012037821</v>
      </c>
      <c r="AA16" s="2">
        <f t="shared" ref="AA16" si="53">(B16*B16*U16)/(V16*V16)</f>
        <v>2442321.1525530592</v>
      </c>
      <c r="AB16" s="2">
        <f t="shared" ref="AB16" si="54">(AA16*(1-(Y16/B16)*(Y16/B16))*(1-(Y16/B16)*(Y16/B16)))/(1+Z16*(Y16/B16)*(Y16/B16))</f>
        <v>239943.44995273155</v>
      </c>
      <c r="AC16" s="2">
        <f t="shared" ref="AC16" si="55">AB16/(1+(AB16/S16))</f>
        <v>238977.26108500993</v>
      </c>
      <c r="AD16" s="2">
        <f t="shared" ref="AD16" si="56">AB16/W16</f>
        <v>6.6191296538684563</v>
      </c>
      <c r="AE16" s="8">
        <f t="shared" ref="AE16" si="57">AC16/W16</f>
        <v>6.5924761678623431</v>
      </c>
      <c r="AG16" s="11">
        <f t="shared" si="18"/>
        <v>0.16727847865014911</v>
      </c>
      <c r="AH16" s="11">
        <f t="shared" si="18"/>
        <v>0.16660489242008933</v>
      </c>
    </row>
    <row r="17" spans="1:34" x14ac:dyDescent="0.2">
      <c r="A17">
        <f t="shared" ref="A17:A19" si="58">P17/O17</f>
        <v>6.2611227350427354</v>
      </c>
      <c r="B17">
        <f>PI()</f>
        <v>3.1415926535897931</v>
      </c>
      <c r="C17" s="1">
        <v>206000</v>
      </c>
      <c r="D17" s="1">
        <f t="shared" ref="D17:D19" si="59">C17/2.6</f>
        <v>79230.769230769234</v>
      </c>
      <c r="E17" s="6">
        <v>1000</v>
      </c>
      <c r="F17" s="6">
        <f t="shared" ref="F17:F19" si="60">G17/2</f>
        <v>500</v>
      </c>
      <c r="G17" s="6">
        <v>1000</v>
      </c>
      <c r="H17" s="6">
        <v>1000</v>
      </c>
      <c r="I17" s="6">
        <f>K17*1.8</f>
        <v>273.60000000000002</v>
      </c>
      <c r="J17" s="6">
        <v>8</v>
      </c>
      <c r="K17" s="6">
        <v>152</v>
      </c>
      <c r="L17" s="6">
        <v>8</v>
      </c>
      <c r="M17">
        <f t="shared" ref="M17:M19" si="61">(B17*((K17/2)^2))-(B17*(((K17-(2*L17))/2)^2))</f>
        <v>3619.1147369354403</v>
      </c>
      <c r="N17">
        <f t="shared" ref="N17:N19" si="62">(B17*((I17/2)^2))-(B17*(((I17-(2*J17))/2)^2))</f>
        <v>6675.2560703475901</v>
      </c>
      <c r="O17">
        <f t="shared" ref="O17:O19" si="63">((B17*K17*K17*K17*K17)/64)*(1-(((K17-2*L17)/K17)^4))</f>
        <v>9409698.316032147</v>
      </c>
      <c r="P17">
        <f t="shared" ref="P17:P19" si="64">((B17*I17*I17*I17*I17)/64)*(1-(((I17-2*J17)/I17)^4))</f>
        <v>58915276.056402221</v>
      </c>
      <c r="Q17">
        <f t="shared" ref="Q17:Q19" si="65">((B17/32)*((K17*K17*K17*K17)-(K17-2*L17)*(K17-2*L17)*(K17-2*L17)*(K17-2*L17)))</f>
        <v>18819396.632064298</v>
      </c>
      <c r="R17" s="2">
        <f t="shared" ref="R17:R19" si="66">1/(((E17*E17)/(24*C17*O17))+((E17*G17)/(12*C17*P17))+((2*E17)/(G17*N17*D17)))</f>
        <v>31110717.216549836</v>
      </c>
      <c r="S17" s="2">
        <f t="shared" ref="S17:S19" si="67">2*R17</f>
        <v>62221434.433099672</v>
      </c>
      <c r="T17" s="2">
        <f t="shared" ref="T17:T19" si="68">4*(F17*F17*R17)+4*D17*Q17</f>
        <v>37075018303019.445</v>
      </c>
      <c r="U17" s="2">
        <f t="shared" ref="U17:U19" si="69">C17*M17*G17*G17+4*C17*O17</f>
        <v>753291227221111.13</v>
      </c>
      <c r="V17" s="6">
        <v>55173.424700000003</v>
      </c>
      <c r="W17" s="7">
        <v>36250</v>
      </c>
      <c r="X17" s="6">
        <v>87.205637949999996</v>
      </c>
      <c r="Y17">
        <f t="shared" ref="Y17:Y19" si="70">(X17*B17)/180</f>
        <v>1.5220255085296179</v>
      </c>
      <c r="Z17" s="2">
        <f t="shared" ref="Z17:Z19" si="71">U17/T17</f>
        <v>20.318027116382083</v>
      </c>
      <c r="AA17" s="2">
        <f t="shared" ref="AA17:AA19" si="72">(B17*B17*U17)/(V17*V17)</f>
        <v>2442321.1525530592</v>
      </c>
      <c r="AB17" s="2">
        <f t="shared" ref="AB17:AB19" si="73">(AA17*(1-(Y17/B17)*(Y17/B17))*(1-(Y17/B17)*(Y17/B17)))/(1+Z17*(Y17/B17)*(Y17/B17))</f>
        <v>247940.80535265911</v>
      </c>
      <c r="AC17" s="2">
        <f t="shared" ref="AC17:AC19" si="74">AB17/(1+(AB17/S17))</f>
        <v>246956.72887159506</v>
      </c>
      <c r="AD17" s="2">
        <f t="shared" ref="AD17:AD19" si="75">AB17/W17</f>
        <v>6.8397463545561132</v>
      </c>
      <c r="AE17" s="8">
        <f t="shared" ref="AE17:AE19" si="76">AC17/W17</f>
        <v>6.8125994171474495</v>
      </c>
      <c r="AG17" s="11">
        <f t="shared" si="18"/>
        <v>0.15848057192740392</v>
      </c>
      <c r="AH17" s="11">
        <f t="shared" si="18"/>
        <v>0.15785156290519975</v>
      </c>
    </row>
    <row r="18" spans="1:34" x14ac:dyDescent="0.2">
      <c r="A18">
        <f t="shared" si="58"/>
        <v>7.3980600000000054</v>
      </c>
      <c r="B18">
        <f>PI()</f>
        <v>3.1415926535897931</v>
      </c>
      <c r="C18" s="1">
        <v>206000</v>
      </c>
      <c r="D18" s="1">
        <f t="shared" si="59"/>
        <v>79230.769230769234</v>
      </c>
      <c r="E18" s="6">
        <v>1000</v>
      </c>
      <c r="F18" s="6">
        <f t="shared" si="60"/>
        <v>500</v>
      </c>
      <c r="G18" s="6">
        <v>1000</v>
      </c>
      <c r="H18" s="6">
        <v>1000</v>
      </c>
      <c r="I18" s="6">
        <f>K18*1.9</f>
        <v>288.8</v>
      </c>
      <c r="J18" s="6">
        <v>8</v>
      </c>
      <c r="K18" s="6">
        <v>152</v>
      </c>
      <c r="L18" s="6">
        <v>8</v>
      </c>
      <c r="M18">
        <f t="shared" si="61"/>
        <v>3619.1147369354403</v>
      </c>
      <c r="N18">
        <f t="shared" si="62"/>
        <v>7057.2737370241084</v>
      </c>
      <c r="O18">
        <f t="shared" si="63"/>
        <v>9409698.316032147</v>
      </c>
      <c r="P18">
        <f t="shared" si="64"/>
        <v>69613512.723904833</v>
      </c>
      <c r="Q18">
        <f t="shared" si="65"/>
        <v>18819396.632064298</v>
      </c>
      <c r="R18" s="2">
        <f t="shared" si="66"/>
        <v>32379909.690266438</v>
      </c>
      <c r="S18" s="2">
        <f t="shared" si="67"/>
        <v>64759819.380532876</v>
      </c>
      <c r="T18" s="2">
        <f t="shared" si="68"/>
        <v>38344210776736.047</v>
      </c>
      <c r="U18" s="2">
        <f t="shared" si="69"/>
        <v>753291227221111.13</v>
      </c>
      <c r="V18" s="6">
        <v>55173.424700000003</v>
      </c>
      <c r="W18" s="7">
        <v>36250</v>
      </c>
      <c r="X18" s="6">
        <v>87.205637949999996</v>
      </c>
      <c r="Y18">
        <f t="shared" si="70"/>
        <v>1.5220255085296179</v>
      </c>
      <c r="Z18" s="2">
        <f t="shared" si="71"/>
        <v>19.645500897312591</v>
      </c>
      <c r="AA18" s="2">
        <f t="shared" si="72"/>
        <v>2442321.1525530592</v>
      </c>
      <c r="AB18" s="2">
        <f t="shared" si="73"/>
        <v>254915.91648774961</v>
      </c>
      <c r="AC18" s="2">
        <f t="shared" si="74"/>
        <v>253916.41807893629</v>
      </c>
      <c r="AD18" s="2">
        <f t="shared" si="75"/>
        <v>7.0321632134551617</v>
      </c>
      <c r="AE18" s="8">
        <f t="shared" si="76"/>
        <v>7.0045908435568629</v>
      </c>
      <c r="AG18" s="11">
        <f t="shared" si="18"/>
        <v>0.15137039218668671</v>
      </c>
      <c r="AH18" s="11">
        <f t="shared" si="18"/>
        <v>0.15077688485212445</v>
      </c>
    </row>
    <row r="19" spans="1:34" x14ac:dyDescent="0.2">
      <c r="A19">
        <f t="shared" si="58"/>
        <v>8.664957264957275</v>
      </c>
      <c r="B19">
        <f>PI()</f>
        <v>3.1415926535897931</v>
      </c>
      <c r="C19" s="1">
        <v>206000</v>
      </c>
      <c r="D19" s="1">
        <f t="shared" si="59"/>
        <v>79230.769230769234</v>
      </c>
      <c r="E19" s="6">
        <v>1000</v>
      </c>
      <c r="F19" s="6">
        <f t="shared" si="60"/>
        <v>500</v>
      </c>
      <c r="G19" s="6">
        <v>1000</v>
      </c>
      <c r="H19" s="6">
        <v>1000</v>
      </c>
      <c r="I19" s="6">
        <f>K19*2</f>
        <v>304</v>
      </c>
      <c r="J19" s="6">
        <v>8</v>
      </c>
      <c r="K19" s="6">
        <v>152</v>
      </c>
      <c r="L19" s="6">
        <v>8</v>
      </c>
      <c r="M19">
        <f t="shared" si="61"/>
        <v>3619.1147369354403</v>
      </c>
      <c r="N19">
        <f t="shared" si="62"/>
        <v>7439.2914037006267</v>
      </c>
      <c r="O19">
        <f t="shared" si="63"/>
        <v>9409698.316032147</v>
      </c>
      <c r="P19">
        <f t="shared" si="64"/>
        <v>81534633.784558982</v>
      </c>
      <c r="Q19">
        <f t="shared" si="65"/>
        <v>18819396.632064298</v>
      </c>
      <c r="R19" s="2">
        <f t="shared" si="66"/>
        <v>33500797.244405553</v>
      </c>
      <c r="S19" s="2">
        <f t="shared" si="67"/>
        <v>67001594.488811105</v>
      </c>
      <c r="T19" s="2">
        <f t="shared" si="68"/>
        <v>39465098330875.164</v>
      </c>
      <c r="U19" s="2">
        <f t="shared" si="69"/>
        <v>753291227221111.13</v>
      </c>
      <c r="V19" s="6">
        <v>55173.424700000003</v>
      </c>
      <c r="W19" s="7">
        <v>36250</v>
      </c>
      <c r="X19" s="6">
        <v>87.205637949999996</v>
      </c>
      <c r="Y19">
        <f t="shared" si="70"/>
        <v>1.5220255085296179</v>
      </c>
      <c r="Z19" s="2">
        <f t="shared" si="71"/>
        <v>19.087529464782317</v>
      </c>
      <c r="AA19" s="2">
        <f t="shared" si="72"/>
        <v>2442321.1525530592</v>
      </c>
      <c r="AB19" s="2">
        <f t="shared" si="73"/>
        <v>261007.91150551307</v>
      </c>
      <c r="AC19" s="2">
        <f t="shared" si="74"/>
        <v>259995.08822129012</v>
      </c>
      <c r="AD19" s="2">
        <f t="shared" si="75"/>
        <v>7.2002182484279471</v>
      </c>
      <c r="AE19" s="8">
        <f t="shared" si="76"/>
        <v>7.1722782957597273</v>
      </c>
      <c r="AG19" s="11">
        <f t="shared" si="18"/>
        <v>0.14554750318394358</v>
      </c>
      <c r="AH19" s="11">
        <f t="shared" si="18"/>
        <v>0.14498271608865995</v>
      </c>
    </row>
    <row r="20" spans="1:34" ht="30" x14ac:dyDescent="0.4">
      <c r="B20" s="4" t="s">
        <v>20</v>
      </c>
      <c r="D20" s="1"/>
    </row>
    <row r="22" spans="1:34" x14ac:dyDescent="0.2">
      <c r="B22" t="s">
        <v>3</v>
      </c>
      <c r="C22" t="s">
        <v>11</v>
      </c>
      <c r="D22" t="s">
        <v>18</v>
      </c>
      <c r="E22" t="s">
        <v>7</v>
      </c>
      <c r="F22" t="s">
        <v>13</v>
      </c>
      <c r="G22" t="s">
        <v>4</v>
      </c>
      <c r="H22" t="s">
        <v>5</v>
      </c>
      <c r="I22" t="s">
        <v>8</v>
      </c>
      <c r="J22" t="s">
        <v>9</v>
      </c>
      <c r="K22" t="s">
        <v>0</v>
      </c>
      <c r="L22" t="s">
        <v>1</v>
      </c>
      <c r="M22" t="s">
        <v>2</v>
      </c>
      <c r="N22" t="s">
        <v>15</v>
      </c>
      <c r="O22" t="s">
        <v>6</v>
      </c>
      <c r="P22" t="s">
        <v>10</v>
      </c>
      <c r="Q22" t="s">
        <v>16</v>
      </c>
      <c r="R22" t="s">
        <v>12</v>
      </c>
      <c r="S22" t="s">
        <v>17</v>
      </c>
      <c r="T22" t="s">
        <v>14</v>
      </c>
      <c r="U22" t="s">
        <v>21</v>
      </c>
      <c r="V22" t="s">
        <v>19</v>
      </c>
      <c r="W22" t="s">
        <v>22</v>
      </c>
      <c r="X22" t="s">
        <v>23</v>
      </c>
      <c r="Y22" t="s">
        <v>31</v>
      </c>
      <c r="Z22" s="5" t="s">
        <v>24</v>
      </c>
      <c r="AA22" s="5" t="s">
        <v>25</v>
      </c>
      <c r="AB22" s="5" t="s">
        <v>26</v>
      </c>
      <c r="AC22" s="5" t="s">
        <v>27</v>
      </c>
      <c r="AD22" s="5" t="s">
        <v>34</v>
      </c>
      <c r="AE22" s="5" t="s">
        <v>33</v>
      </c>
    </row>
    <row r="23" spans="1:34" x14ac:dyDescent="0.2">
      <c r="A23">
        <f>P23/O23</f>
        <v>0.10643162393162392</v>
      </c>
      <c r="B23">
        <f>PI()</f>
        <v>3.1415926535897931</v>
      </c>
      <c r="C23" s="1">
        <v>206000</v>
      </c>
      <c r="D23" s="1">
        <f t="shared" ref="D23:D29" si="77">C23/2.6</f>
        <v>79230.769230769234</v>
      </c>
      <c r="E23" s="6">
        <v>1000</v>
      </c>
      <c r="F23" s="6">
        <f t="shared" ref="F23:F29" si="78">G23/2</f>
        <v>500</v>
      </c>
      <c r="G23" s="6">
        <v>1000</v>
      </c>
      <c r="H23" s="6">
        <v>1000</v>
      </c>
      <c r="I23" s="6">
        <f>K23*0.5</f>
        <v>76</v>
      </c>
      <c r="J23" s="6">
        <v>8</v>
      </c>
      <c r="K23" s="6">
        <v>152</v>
      </c>
      <c r="L23" s="6">
        <v>8</v>
      </c>
      <c r="M23">
        <f t="shared" ref="M23:M29" si="79">(B23*((K23/2)^2))-(B23*(((K23-(2*L23))/2)^2))</f>
        <v>3619.1147369354403</v>
      </c>
      <c r="N23">
        <f t="shared" ref="N23:N29" si="80">(B23*((I23/2)^2))-(B23*(((I23-(2*J23))/2)^2))</f>
        <v>1709.0264035528471</v>
      </c>
      <c r="O23">
        <f t="shared" ref="O23:O29" si="81">((B23*K23*K23*K23*K23)/64)*(1-(((K23-2*L23)/K23)^4))</f>
        <v>9409698.316032147</v>
      </c>
      <c r="P23">
        <f t="shared" ref="P23:P29" si="82">((B23*I23*I23*I23*I23)/64)*(1-(((I23-2*J23)/I23)^4))</f>
        <v>1001489.4724819683</v>
      </c>
      <c r="Q23">
        <f t="shared" ref="Q23:Q28" si="83">((B23/32)*((I23*I23*I23*I23)-(I23-2*J23)*(I23-2*J23)*(I23-2*J23)*(I23-2*J23)))</f>
        <v>2002978.9449639372</v>
      </c>
      <c r="R23" s="2">
        <f t="shared" ref="R23:R29" si="84">1/(((E23*E23)/(24*C23*O23))+((E23*G23)/(12*C23*P23))+((2*E23)/(G23*N23*D23)))</f>
        <v>2271721.7704532431</v>
      </c>
      <c r="S23" s="2">
        <f t="shared" ref="S23:S29" si="85">2*R23</f>
        <v>4543443.5409064861</v>
      </c>
      <c r="T23" s="2">
        <f t="shared" ref="T23:T29" si="86">4*(F23*F23*R23)</f>
        <v>2271721770453.2432</v>
      </c>
      <c r="U23" s="2">
        <f t="shared" ref="U23:U29" si="87">C23*M23*G23*G23+4*C23*O23</f>
        <v>753291227221111.13</v>
      </c>
      <c r="V23" s="6">
        <v>55173.424700000003</v>
      </c>
      <c r="W23" s="7">
        <v>36250</v>
      </c>
      <c r="X23" s="6">
        <v>87.205637949999996</v>
      </c>
      <c r="Y23">
        <f t="shared" ref="Y23:Y29" si="88">(X23*B23)/180</f>
        <v>1.5220255085296179</v>
      </c>
      <c r="Z23" s="2">
        <f t="shared" ref="Z23:Z29" si="89">U23/T23</f>
        <v>331.59484450017749</v>
      </c>
      <c r="AA23" s="2">
        <f t="shared" ref="AA23:AA29" si="90">(B23*B23*U23)/(V23*V23)</f>
        <v>2442321.1525530592</v>
      </c>
      <c r="AB23" s="2">
        <f t="shared" ref="AB23:AB29" si="91">(AA23*(1-(Y23/B23)*(Y23/B23))*(1-(Y23/B23)*(Y23/B23)))/(1+Z23*(Y23/B23)*(Y23/B23))</f>
        <v>18144.743987686314</v>
      </c>
      <c r="AC23" s="2">
        <f t="shared" ref="AC23:AC29" si="92">AB23/(1+(AB23/S23))</f>
        <v>18072.569185004329</v>
      </c>
      <c r="AD23" s="2">
        <f t="shared" ref="AD23:AD29" si="93">AB23/W23</f>
        <v>0.50054466172927758</v>
      </c>
      <c r="AE23" s="8">
        <f t="shared" ref="AE23:AE29" si="94">AC23/W23</f>
        <v>0.4985536326897746</v>
      </c>
    </row>
    <row r="24" spans="1:34" x14ac:dyDescent="0.2">
      <c r="A24">
        <f t="shared" ref="A24:A29" si="95">P24/O24</f>
        <v>0.19406222222222225</v>
      </c>
      <c r="B24">
        <f>PI()</f>
        <v>3.1415926535897931</v>
      </c>
      <c r="C24" s="1">
        <v>206000</v>
      </c>
      <c r="D24" s="1">
        <f t="shared" si="77"/>
        <v>79230.769230769234</v>
      </c>
      <c r="E24" s="6">
        <v>1000</v>
      </c>
      <c r="F24" s="6">
        <f t="shared" si="78"/>
        <v>500</v>
      </c>
      <c r="G24" s="6">
        <v>1000</v>
      </c>
      <c r="H24" s="6">
        <v>1000</v>
      </c>
      <c r="I24" s="6">
        <f>K24*0.6</f>
        <v>91.2</v>
      </c>
      <c r="J24" s="6">
        <v>8</v>
      </c>
      <c r="K24" s="6">
        <v>152</v>
      </c>
      <c r="L24" s="6">
        <v>8</v>
      </c>
      <c r="M24">
        <f t="shared" si="79"/>
        <v>3619.1147369354403</v>
      </c>
      <c r="N24">
        <f t="shared" si="80"/>
        <v>2091.0440702293663</v>
      </c>
      <c r="O24">
        <f t="shared" si="81"/>
        <v>9409698.316032147</v>
      </c>
      <c r="P24">
        <f t="shared" si="82"/>
        <v>1826066.965649901</v>
      </c>
      <c r="Q24">
        <f t="shared" si="83"/>
        <v>3652133.9312998024</v>
      </c>
      <c r="R24" s="2">
        <f t="shared" si="84"/>
        <v>3920055.8471235614</v>
      </c>
      <c r="S24" s="2">
        <f t="shared" si="85"/>
        <v>7840111.6942471229</v>
      </c>
      <c r="T24" s="2">
        <f t="shared" si="86"/>
        <v>3920055847123.5615</v>
      </c>
      <c r="U24" s="2">
        <f t="shared" si="87"/>
        <v>753291227221111.13</v>
      </c>
      <c r="V24" s="6">
        <v>55173.424700000003</v>
      </c>
      <c r="W24" s="7">
        <v>36250</v>
      </c>
      <c r="X24" s="6">
        <v>87.205637949999996</v>
      </c>
      <c r="Y24">
        <f t="shared" si="88"/>
        <v>1.5220255085296179</v>
      </c>
      <c r="Z24" s="2">
        <f t="shared" si="89"/>
        <v>192.16339169602833</v>
      </c>
      <c r="AA24" s="2">
        <f t="shared" si="90"/>
        <v>2442321.1525530592</v>
      </c>
      <c r="AB24" s="2">
        <f t="shared" si="91"/>
        <v>31024.789206582875</v>
      </c>
      <c r="AC24" s="2">
        <f t="shared" si="92"/>
        <v>30902.502222062114</v>
      </c>
      <c r="AD24" s="2">
        <f t="shared" si="93"/>
        <v>0.8558562539747</v>
      </c>
      <c r="AE24" s="8">
        <f t="shared" si="94"/>
        <v>0.85248281991895491</v>
      </c>
    </row>
    <row r="25" spans="1:34" x14ac:dyDescent="0.2">
      <c r="A25">
        <f t="shared" si="95"/>
        <v>0.32019948717948704</v>
      </c>
      <c r="B25">
        <f>PI()</f>
        <v>3.1415926535897931</v>
      </c>
      <c r="C25" s="1">
        <v>206000</v>
      </c>
      <c r="D25" s="1">
        <f t="shared" si="77"/>
        <v>79230.769230769234</v>
      </c>
      <c r="E25" s="6">
        <v>1000</v>
      </c>
      <c r="F25" s="6">
        <f t="shared" si="78"/>
        <v>500</v>
      </c>
      <c r="G25" s="6">
        <v>1000</v>
      </c>
      <c r="H25" s="6">
        <v>1000</v>
      </c>
      <c r="I25" s="6">
        <f>K25*0.7</f>
        <v>106.39999999999999</v>
      </c>
      <c r="J25" s="6">
        <v>8</v>
      </c>
      <c r="K25" s="6">
        <v>152</v>
      </c>
      <c r="L25" s="6">
        <v>8</v>
      </c>
      <c r="M25">
        <f t="shared" si="79"/>
        <v>3619.1147369354403</v>
      </c>
      <c r="N25">
        <f t="shared" si="80"/>
        <v>2473.0617369058855</v>
      </c>
      <c r="O25">
        <f t="shared" si="81"/>
        <v>9409698.316032147</v>
      </c>
      <c r="P25">
        <f t="shared" si="82"/>
        <v>3012980.5753071764</v>
      </c>
      <c r="Q25">
        <f t="shared" si="83"/>
        <v>6025961.1506143538</v>
      </c>
      <c r="R25" s="2">
        <f t="shared" si="84"/>
        <v>6025361.97034044</v>
      </c>
      <c r="S25" s="2">
        <f t="shared" si="85"/>
        <v>12050723.94068088</v>
      </c>
      <c r="T25" s="2">
        <f t="shared" si="86"/>
        <v>6025361970340.4404</v>
      </c>
      <c r="U25" s="2">
        <f t="shared" si="87"/>
        <v>753291227221111.13</v>
      </c>
      <c r="V25" s="6">
        <v>55173.424700000003</v>
      </c>
      <c r="W25" s="7">
        <v>36250</v>
      </c>
      <c r="X25" s="6">
        <v>87.205637949999996</v>
      </c>
      <c r="Y25">
        <f t="shared" si="88"/>
        <v>1.5220255085296179</v>
      </c>
      <c r="Z25" s="2">
        <f t="shared" si="89"/>
        <v>125.0200786158826</v>
      </c>
      <c r="AA25" s="2">
        <f t="shared" si="90"/>
        <v>2442321.1525530592</v>
      </c>
      <c r="AB25" s="2">
        <f t="shared" si="91"/>
        <v>47137.865880872581</v>
      </c>
      <c r="AC25" s="2">
        <f t="shared" si="92"/>
        <v>46954.198846537809</v>
      </c>
      <c r="AD25" s="2">
        <f t="shared" si="93"/>
        <v>1.3003549208516574</v>
      </c>
      <c r="AE25" s="8">
        <f t="shared" si="94"/>
        <v>1.2952882440424223</v>
      </c>
    </row>
    <row r="26" spans="1:34" x14ac:dyDescent="0.2">
      <c r="A26">
        <f t="shared" si="95"/>
        <v>0.49187829059829069</v>
      </c>
      <c r="B26">
        <f>PI()</f>
        <v>3.1415926535897931</v>
      </c>
      <c r="C26" s="1">
        <v>206000</v>
      </c>
      <c r="D26" s="1">
        <f t="shared" si="77"/>
        <v>79230.769230769234</v>
      </c>
      <c r="E26" s="6">
        <v>1000</v>
      </c>
      <c r="F26" s="6">
        <f t="shared" si="78"/>
        <v>500</v>
      </c>
      <c r="G26" s="6">
        <v>1000</v>
      </c>
      <c r="H26" s="6">
        <v>1000</v>
      </c>
      <c r="I26" s="6">
        <f>K26*0.8</f>
        <v>121.60000000000001</v>
      </c>
      <c r="J26" s="6">
        <v>8</v>
      </c>
      <c r="K26" s="6">
        <v>152</v>
      </c>
      <c r="L26" s="6">
        <v>8</v>
      </c>
      <c r="M26">
        <f t="shared" si="79"/>
        <v>3619.1147369354403</v>
      </c>
      <c r="N26">
        <f t="shared" si="80"/>
        <v>2855.0794035824038</v>
      </c>
      <c r="O26">
        <f t="shared" si="81"/>
        <v>9409698.316032147</v>
      </c>
      <c r="P26">
        <f t="shared" si="82"/>
        <v>4628426.322735507</v>
      </c>
      <c r="Q26">
        <f t="shared" si="83"/>
        <v>9256852.6454710141</v>
      </c>
      <c r="R26" s="2">
        <f t="shared" si="84"/>
        <v>8493426.6700752247</v>
      </c>
      <c r="S26" s="2">
        <f t="shared" si="85"/>
        <v>16986853.340150449</v>
      </c>
      <c r="T26" s="2">
        <f t="shared" si="86"/>
        <v>8493426670075.2246</v>
      </c>
      <c r="U26" s="2">
        <f t="shared" si="87"/>
        <v>753291227221111.13</v>
      </c>
      <c r="V26" s="6">
        <v>55173.424700000003</v>
      </c>
      <c r="W26" s="7">
        <v>36250</v>
      </c>
      <c r="X26" s="6">
        <v>87.205637949999996</v>
      </c>
      <c r="Y26">
        <f t="shared" si="88"/>
        <v>1.5220255085296179</v>
      </c>
      <c r="Z26" s="2">
        <f t="shared" si="89"/>
        <v>88.691085057009076</v>
      </c>
      <c r="AA26" s="2">
        <f t="shared" si="90"/>
        <v>2442321.1525530592</v>
      </c>
      <c r="AB26" s="2">
        <f t="shared" si="91"/>
        <v>65561.135068978649</v>
      </c>
      <c r="AC26" s="2">
        <f t="shared" si="92"/>
        <v>65309.073260501078</v>
      </c>
      <c r="AD26" s="2">
        <f t="shared" si="93"/>
        <v>1.8085830363856179</v>
      </c>
      <c r="AE26" s="8">
        <f t="shared" si="94"/>
        <v>1.8016296071862365</v>
      </c>
    </row>
    <row r="27" spans="1:34" x14ac:dyDescent="0.2">
      <c r="A27">
        <f t="shared" si="95"/>
        <v>0.71613350427350475</v>
      </c>
      <c r="B27">
        <f>PI()</f>
        <v>3.1415926535897931</v>
      </c>
      <c r="C27" s="1">
        <v>206000</v>
      </c>
      <c r="D27" s="1">
        <f t="shared" si="77"/>
        <v>79230.769230769234</v>
      </c>
      <c r="E27" s="6">
        <v>1000</v>
      </c>
      <c r="F27" s="6">
        <f t="shared" si="78"/>
        <v>500</v>
      </c>
      <c r="G27" s="6">
        <v>1000</v>
      </c>
      <c r="H27" s="6">
        <v>1000</v>
      </c>
      <c r="I27" s="6">
        <f>K27*0.9</f>
        <v>136.80000000000001</v>
      </c>
      <c r="J27" s="6">
        <v>8</v>
      </c>
      <c r="K27" s="6">
        <v>152</v>
      </c>
      <c r="L27" s="6">
        <v>8</v>
      </c>
      <c r="M27">
        <f t="shared" si="79"/>
        <v>3619.1147369354403</v>
      </c>
      <c r="N27">
        <f t="shared" si="80"/>
        <v>3237.097070258922</v>
      </c>
      <c r="O27">
        <f t="shared" si="81"/>
        <v>9409698.316032147</v>
      </c>
      <c r="P27">
        <f t="shared" si="82"/>
        <v>6738600.229216598</v>
      </c>
      <c r="Q27">
        <f t="shared" si="83"/>
        <v>13477200.458433192</v>
      </c>
      <c r="R27" s="2">
        <f t="shared" si="84"/>
        <v>11195045.325176775</v>
      </c>
      <c r="S27" s="2">
        <f t="shared" si="85"/>
        <v>22390090.650353551</v>
      </c>
      <c r="T27" s="2">
        <f t="shared" si="86"/>
        <v>11195045325176.775</v>
      </c>
      <c r="U27" s="2">
        <f t="shared" si="87"/>
        <v>753291227221111.13</v>
      </c>
      <c r="V27" s="6">
        <v>55173.424700000003</v>
      </c>
      <c r="W27" s="7">
        <v>36250</v>
      </c>
      <c r="X27" s="6">
        <v>87.205637949999996</v>
      </c>
      <c r="Y27">
        <f t="shared" si="88"/>
        <v>1.5220255085296179</v>
      </c>
      <c r="Z27" s="2">
        <f t="shared" si="89"/>
        <v>67.287912227297412</v>
      </c>
      <c r="AA27" s="2">
        <f t="shared" si="90"/>
        <v>2442321.1525530592</v>
      </c>
      <c r="AB27" s="2">
        <f t="shared" si="91"/>
        <v>85173.271282349626</v>
      </c>
      <c r="AC27" s="2">
        <f t="shared" si="92"/>
        <v>84850.494821693545</v>
      </c>
      <c r="AD27" s="2">
        <f t="shared" si="93"/>
        <v>2.3496074836510243</v>
      </c>
      <c r="AE27" s="8">
        <f t="shared" si="94"/>
        <v>2.3407033054260289</v>
      </c>
    </row>
    <row r="28" spans="1:34" x14ac:dyDescent="0.2">
      <c r="A28">
        <f t="shared" si="95"/>
        <v>1</v>
      </c>
      <c r="B28">
        <f>PI()</f>
        <v>3.1415926535897931</v>
      </c>
      <c r="C28" s="1">
        <v>206000</v>
      </c>
      <c r="D28" s="1">
        <f t="shared" si="77"/>
        <v>79230.769230769234</v>
      </c>
      <c r="E28" s="6">
        <v>1000</v>
      </c>
      <c r="F28" s="6">
        <f t="shared" si="78"/>
        <v>500</v>
      </c>
      <c r="G28" s="6">
        <v>1000</v>
      </c>
      <c r="H28" s="6">
        <v>1000</v>
      </c>
      <c r="I28" s="6">
        <f>K28*1</f>
        <v>152</v>
      </c>
      <c r="J28" s="6">
        <v>8</v>
      </c>
      <c r="K28" s="6">
        <v>152</v>
      </c>
      <c r="L28" s="6">
        <v>8</v>
      </c>
      <c r="M28">
        <f t="shared" si="79"/>
        <v>3619.1147369354403</v>
      </c>
      <c r="N28">
        <f t="shared" si="80"/>
        <v>3619.1147369354403</v>
      </c>
      <c r="O28">
        <f t="shared" si="81"/>
        <v>9409698.316032147</v>
      </c>
      <c r="P28">
        <f t="shared" si="82"/>
        <v>9409698.316032147</v>
      </c>
      <c r="Q28">
        <f t="shared" si="83"/>
        <v>18819396.632064298</v>
      </c>
      <c r="R28" s="2">
        <f t="shared" si="84"/>
        <v>13993631.627942696</v>
      </c>
      <c r="S28" s="2">
        <f t="shared" si="85"/>
        <v>27987263.255885392</v>
      </c>
      <c r="T28" s="2">
        <f t="shared" si="86"/>
        <v>13993631627942.695</v>
      </c>
      <c r="U28" s="2">
        <f t="shared" si="87"/>
        <v>753291227221111.13</v>
      </c>
      <c r="V28" s="6">
        <v>55173.424700000003</v>
      </c>
      <c r="W28" s="7">
        <v>36250</v>
      </c>
      <c r="X28" s="6">
        <v>87.205637949999996</v>
      </c>
      <c r="Y28">
        <f t="shared" si="88"/>
        <v>1.5220255085296179</v>
      </c>
      <c r="Z28" s="2">
        <f t="shared" si="89"/>
        <v>53.831003076923061</v>
      </c>
      <c r="AA28" s="2">
        <f t="shared" si="90"/>
        <v>2442321.1525530592</v>
      </c>
      <c r="AB28" s="2">
        <f t="shared" si="91"/>
        <v>104903.6934624392</v>
      </c>
      <c r="AC28" s="2">
        <f t="shared" si="92"/>
        <v>104511.95490692287</v>
      </c>
      <c r="AD28" s="2">
        <f t="shared" si="93"/>
        <v>2.8938949920672883</v>
      </c>
      <c r="AE28" s="8">
        <f t="shared" si="94"/>
        <v>2.8830884112254584</v>
      </c>
    </row>
    <row r="29" spans="1:34" x14ac:dyDescent="0.2">
      <c r="A29">
        <f t="shared" si="95"/>
        <v>1.3505126495726498</v>
      </c>
      <c r="B29">
        <f>PI()</f>
        <v>3.1415926535897931</v>
      </c>
      <c r="C29" s="1">
        <v>206000</v>
      </c>
      <c r="D29" s="1">
        <f t="shared" si="77"/>
        <v>79230.769230769234</v>
      </c>
      <c r="E29" s="6">
        <v>1000</v>
      </c>
      <c r="F29" s="6">
        <f t="shared" si="78"/>
        <v>500</v>
      </c>
      <c r="G29" s="6">
        <v>1000</v>
      </c>
      <c r="H29" s="6">
        <v>1000</v>
      </c>
      <c r="I29" s="6">
        <f>K29*1.1</f>
        <v>167.20000000000002</v>
      </c>
      <c r="J29" s="6">
        <v>8</v>
      </c>
      <c r="K29" s="6">
        <v>152</v>
      </c>
      <c r="L29" s="6">
        <v>8</v>
      </c>
      <c r="M29">
        <f t="shared" si="79"/>
        <v>3619.1147369354403</v>
      </c>
      <c r="N29">
        <f t="shared" si="80"/>
        <v>4001.1324036119622</v>
      </c>
      <c r="O29">
        <f t="shared" si="81"/>
        <v>9409698.316032147</v>
      </c>
      <c r="P29">
        <f t="shared" si="82"/>
        <v>12707916.604463877</v>
      </c>
      <c r="Q29">
        <f t="shared" ref="Q29" si="96">((B29/32)*((K29*K29*K29*K29)-(K29-2*L29)*(K29-2*L29)*(K29-2*L29)*(K29-2*L29)))</f>
        <v>18819396.632064298</v>
      </c>
      <c r="R29" s="2">
        <f t="shared" si="84"/>
        <v>16768035.017417934</v>
      </c>
      <c r="S29" s="2">
        <f t="shared" si="85"/>
        <v>33536070.034835868</v>
      </c>
      <c r="T29" s="2">
        <f t="shared" si="86"/>
        <v>16768035017417.934</v>
      </c>
      <c r="U29" s="2">
        <f t="shared" si="87"/>
        <v>753291227221111.13</v>
      </c>
      <c r="V29" s="6">
        <v>55173.424700000003</v>
      </c>
      <c r="W29" s="7">
        <v>36250</v>
      </c>
      <c r="X29" s="6">
        <v>87.205637949999996</v>
      </c>
      <c r="Y29">
        <f t="shared" si="88"/>
        <v>1.5220255085296179</v>
      </c>
      <c r="Z29" s="2">
        <f t="shared" si="89"/>
        <v>44.924239867022209</v>
      </c>
      <c r="AA29" s="2">
        <f t="shared" si="90"/>
        <v>2442321.1525530592</v>
      </c>
      <c r="AB29" s="2">
        <f t="shared" si="91"/>
        <v>123900.5049411542</v>
      </c>
      <c r="AC29" s="2">
        <f t="shared" si="92"/>
        <v>123444.43397975714</v>
      </c>
      <c r="AD29" s="2">
        <f t="shared" si="93"/>
        <v>3.417944963893909</v>
      </c>
      <c r="AE29" s="8">
        <f t="shared" si="94"/>
        <v>3.4053636959933007</v>
      </c>
    </row>
    <row r="30" spans="1:34" x14ac:dyDescent="0.2">
      <c r="A30">
        <f>P30/O30</f>
        <v>1.7747063247863257</v>
      </c>
      <c r="B30">
        <f>PI()</f>
        <v>3.1415926535897931</v>
      </c>
      <c r="C30" s="1">
        <v>206000</v>
      </c>
      <c r="D30" s="1">
        <f t="shared" ref="D30:D36" si="97">C30/2.6</f>
        <v>79230.769230769234</v>
      </c>
      <c r="E30" s="6">
        <v>1000</v>
      </c>
      <c r="F30" s="6">
        <f t="shared" ref="F30:F36" si="98">G30/2</f>
        <v>500</v>
      </c>
      <c r="G30" s="6">
        <v>1000</v>
      </c>
      <c r="H30" s="6">
        <v>1000</v>
      </c>
      <c r="I30" s="6">
        <f>K30*1.2</f>
        <v>182.4</v>
      </c>
      <c r="J30" s="6">
        <v>8</v>
      </c>
      <c r="K30" s="6">
        <v>152</v>
      </c>
      <c r="L30" s="6">
        <v>8</v>
      </c>
      <c r="M30">
        <f t="shared" ref="M30:M36" si="99">(B30*((K30/2)^2))-(B30*(((K30-(2*L30))/2)^2))</f>
        <v>3619.1147369354403</v>
      </c>
      <c r="N30">
        <f t="shared" ref="N30:N36" si="100">(B30*((I30/2)^2))-(B30*(((I30-(2*J30))/2)^2))</f>
        <v>4383.1500702884805</v>
      </c>
      <c r="O30">
        <f t="shared" ref="O30:O36" si="101">((B30*K30*K30*K30*K30)/64)*(1-(((K30-2*L30)/K30)^4))</f>
        <v>9409698.316032147</v>
      </c>
      <c r="P30">
        <f t="shared" ref="P30:P36" si="102">((B30*I30*I30*I30*I30)/64)*(1-(((I30-2*J30)/I30)^4))</f>
        <v>16699451.115793489</v>
      </c>
      <c r="Q30">
        <f t="shared" ref="Q30:Q35" si="103">((B30/32)*((I30*I30*I30*I30)-(I30-2*J30)*(I30-2*J30)*(I30-2*J30)*(I30-2*J30)))</f>
        <v>33398902.231586952</v>
      </c>
      <c r="R30" s="2">
        <f t="shared" ref="R30:R36" si="104">1/(((E30*E30)/(24*C30*O30))+((E30*G30)/(12*C30*P30))+((2*E30)/(G30*N30*D30)))</f>
        <v>19425530.682089947</v>
      </c>
      <c r="S30" s="2">
        <f t="shared" ref="S30:S36" si="105">2*R30</f>
        <v>38851061.364179894</v>
      </c>
      <c r="T30" s="2">
        <f t="shared" ref="T30:T36" si="106">4*(F30*F30*R30)</f>
        <v>19425530682089.945</v>
      </c>
      <c r="U30" s="2">
        <f t="shared" ref="U30:U36" si="107">C30*M30*G30*G30+4*C30*O30</f>
        <v>753291227221111.13</v>
      </c>
      <c r="V30" s="6">
        <v>55173.424700000003</v>
      </c>
      <c r="W30" s="7">
        <v>36250</v>
      </c>
      <c r="X30" s="6">
        <v>87.205637949999996</v>
      </c>
      <c r="Y30">
        <f t="shared" ref="Y30:Y36" si="108">(X30*B30)/180</f>
        <v>1.5220255085296179</v>
      </c>
      <c r="Z30" s="2">
        <f t="shared" ref="Z30:Z36" si="109">U30/T30</f>
        <v>38.778411748392266</v>
      </c>
      <c r="AA30" s="2">
        <f t="shared" ref="AA30:AA36" si="110">(B30*B30*U30)/(V30*V30)</f>
        <v>2442321.1525530592</v>
      </c>
      <c r="AB30" s="2">
        <f t="shared" ref="AB30:AB36" si="111">(AA30*(1-(Y30/B30)*(Y30/B30))*(1-(Y30/B30)*(Y30/B30)))/(1+Z30*(Y30/B30)*(Y30/B30))</f>
        <v>141593.14608046247</v>
      </c>
      <c r="AC30" s="2">
        <f t="shared" ref="AC30:AC36" si="112">AB30/(1+(AB30/S30))</f>
        <v>141078.98208550573</v>
      </c>
      <c r="AD30" s="2">
        <f t="shared" ref="AD30:AD36" si="113">AB30/W30</f>
        <v>3.9060178229093094</v>
      </c>
      <c r="AE30" s="8">
        <f t="shared" ref="AE30:AE36" si="114">AC30/W30</f>
        <v>3.8918339885656752</v>
      </c>
    </row>
    <row r="31" spans="1:34" x14ac:dyDescent="0.2">
      <c r="A31">
        <f t="shared" ref="A31:A36" si="115">P31/O31</f>
        <v>2.2796158974358964</v>
      </c>
      <c r="B31">
        <f>PI()</f>
        <v>3.1415926535897931</v>
      </c>
      <c r="C31" s="1">
        <v>206000</v>
      </c>
      <c r="D31" s="1">
        <f t="shared" si="97"/>
        <v>79230.769230769234</v>
      </c>
      <c r="E31" s="6">
        <v>1000</v>
      </c>
      <c r="F31" s="6">
        <f t="shared" si="98"/>
        <v>500</v>
      </c>
      <c r="G31" s="6">
        <v>1000</v>
      </c>
      <c r="H31" s="6">
        <v>1000</v>
      </c>
      <c r="I31" s="6">
        <f>K31*1.3</f>
        <v>197.6</v>
      </c>
      <c r="J31" s="6">
        <v>8</v>
      </c>
      <c r="K31" s="6">
        <v>152</v>
      </c>
      <c r="L31" s="6">
        <v>8</v>
      </c>
      <c r="M31">
        <f t="shared" si="99"/>
        <v>3619.1147369354403</v>
      </c>
      <c r="N31">
        <f t="shared" si="100"/>
        <v>4765.1677369649951</v>
      </c>
      <c r="O31">
        <f t="shared" si="101"/>
        <v>9409698.316032147</v>
      </c>
      <c r="P31">
        <f t="shared" si="102"/>
        <v>21450497.871302668</v>
      </c>
      <c r="Q31">
        <f t="shared" si="103"/>
        <v>42900995.742605351</v>
      </c>
      <c r="R31" s="2">
        <f t="shared" si="104"/>
        <v>21905056.172014888</v>
      </c>
      <c r="S31" s="2">
        <f t="shared" si="105"/>
        <v>43810112.344029777</v>
      </c>
      <c r="T31" s="2">
        <f t="shared" si="106"/>
        <v>21905056172014.887</v>
      </c>
      <c r="U31" s="2">
        <f t="shared" si="107"/>
        <v>753291227221111.13</v>
      </c>
      <c r="V31" s="6">
        <v>55173.424700000003</v>
      </c>
      <c r="W31" s="7">
        <v>36250</v>
      </c>
      <c r="X31" s="6">
        <v>87.205637949999996</v>
      </c>
      <c r="Y31">
        <f t="shared" si="108"/>
        <v>1.5220255085296179</v>
      </c>
      <c r="Z31" s="2">
        <f t="shared" si="109"/>
        <v>34.388920133584911</v>
      </c>
      <c r="AA31" s="2">
        <f t="shared" si="110"/>
        <v>2442321.1525530592</v>
      </c>
      <c r="AB31" s="2">
        <f t="shared" si="111"/>
        <v>157674.18079208868</v>
      </c>
      <c r="AC31" s="2">
        <f t="shared" si="112"/>
        <v>157108.74074487548</v>
      </c>
      <c r="AD31" s="2">
        <f t="shared" si="113"/>
        <v>4.3496325735748602</v>
      </c>
      <c r="AE31" s="8">
        <f t="shared" si="114"/>
        <v>4.3340342274448407</v>
      </c>
    </row>
    <row r="32" spans="1:34" x14ac:dyDescent="0.2">
      <c r="A32">
        <f t="shared" si="115"/>
        <v>2.8722762393162387</v>
      </c>
      <c r="B32">
        <f>PI()</f>
        <v>3.1415926535897931</v>
      </c>
      <c r="C32" s="1">
        <v>206000</v>
      </c>
      <c r="D32" s="1">
        <f t="shared" si="97"/>
        <v>79230.769230769234</v>
      </c>
      <c r="E32" s="6">
        <v>1000</v>
      </c>
      <c r="F32" s="6">
        <f t="shared" si="98"/>
        <v>500</v>
      </c>
      <c r="G32" s="6">
        <v>1000</v>
      </c>
      <c r="H32" s="6">
        <v>1000</v>
      </c>
      <c r="I32" s="6">
        <f>K32*1.4</f>
        <v>212.79999999999998</v>
      </c>
      <c r="J32" s="6">
        <v>8</v>
      </c>
      <c r="K32" s="6">
        <v>152</v>
      </c>
      <c r="L32" s="6">
        <v>8</v>
      </c>
      <c r="M32">
        <f t="shared" si="99"/>
        <v>3619.1147369354403</v>
      </c>
      <c r="N32">
        <f t="shared" si="100"/>
        <v>5147.185403641517</v>
      </c>
      <c r="O32">
        <f t="shared" si="101"/>
        <v>9409698.316032147</v>
      </c>
      <c r="P32">
        <f t="shared" si="102"/>
        <v>27027252.892273158</v>
      </c>
      <c r="Q32">
        <f t="shared" si="103"/>
        <v>54054505.784546308</v>
      </c>
      <c r="R32" s="2">
        <f t="shared" si="104"/>
        <v>24173796.078216542</v>
      </c>
      <c r="S32" s="2">
        <f t="shared" si="105"/>
        <v>48347592.156433083</v>
      </c>
      <c r="T32" s="2">
        <f t="shared" si="106"/>
        <v>24173796078216.543</v>
      </c>
      <c r="U32" s="2">
        <f t="shared" si="107"/>
        <v>753291227221111.13</v>
      </c>
      <c r="V32" s="6">
        <v>55173.424700000003</v>
      </c>
      <c r="W32" s="7">
        <v>36250</v>
      </c>
      <c r="X32" s="6">
        <v>87.205637949999996</v>
      </c>
      <c r="Y32">
        <f t="shared" si="108"/>
        <v>1.5220255085296179</v>
      </c>
      <c r="Z32" s="2">
        <f t="shared" si="109"/>
        <v>31.161478519292874</v>
      </c>
      <c r="AA32" s="2">
        <f t="shared" si="110"/>
        <v>2442321.1525530592</v>
      </c>
      <c r="AB32" s="2">
        <f t="shared" si="111"/>
        <v>172040.54016406031</v>
      </c>
      <c r="AC32" s="2">
        <f t="shared" si="112"/>
        <v>171430.52014092819</v>
      </c>
      <c r="AD32" s="2">
        <f t="shared" si="113"/>
        <v>4.7459459355602842</v>
      </c>
      <c r="AE32" s="8">
        <f t="shared" si="114"/>
        <v>4.7291177969911224</v>
      </c>
    </row>
    <row r="33" spans="1:36" x14ac:dyDescent="0.2">
      <c r="A33">
        <f t="shared" si="115"/>
        <v>3.559722222222224</v>
      </c>
      <c r="B33">
        <f>PI()</f>
        <v>3.1415926535897931</v>
      </c>
      <c r="C33" s="1">
        <v>206000</v>
      </c>
      <c r="D33" s="1">
        <f t="shared" si="97"/>
        <v>79230.769230769234</v>
      </c>
      <c r="E33" s="6">
        <v>1000</v>
      </c>
      <c r="F33" s="6">
        <f t="shared" si="98"/>
        <v>500</v>
      </c>
      <c r="G33" s="6">
        <v>1000</v>
      </c>
      <c r="H33" s="6">
        <v>1000</v>
      </c>
      <c r="I33" s="6">
        <f>K33*1.5</f>
        <v>228</v>
      </c>
      <c r="J33" s="6">
        <v>8</v>
      </c>
      <c r="K33" s="6">
        <v>152</v>
      </c>
      <c r="L33" s="6">
        <v>8</v>
      </c>
      <c r="M33">
        <f t="shared" si="99"/>
        <v>3619.1147369354403</v>
      </c>
      <c r="N33">
        <f t="shared" si="100"/>
        <v>5529.2030703180353</v>
      </c>
      <c r="O33">
        <f t="shared" si="101"/>
        <v>9409698.316032147</v>
      </c>
      <c r="P33">
        <f t="shared" si="102"/>
        <v>33495912.199986674</v>
      </c>
      <c r="Q33">
        <f t="shared" si="103"/>
        <v>66991824.399973325</v>
      </c>
      <c r="R33" s="2">
        <f t="shared" si="104"/>
        <v>26220719.85028239</v>
      </c>
      <c r="S33" s="2">
        <f t="shared" si="105"/>
        <v>52441439.700564779</v>
      </c>
      <c r="T33" s="2">
        <f t="shared" si="106"/>
        <v>26220719850282.391</v>
      </c>
      <c r="U33" s="2">
        <f t="shared" si="107"/>
        <v>753291227221111.13</v>
      </c>
      <c r="V33" s="6">
        <v>55173.424700000003</v>
      </c>
      <c r="W33" s="7">
        <v>36250</v>
      </c>
      <c r="X33" s="6">
        <v>87.205637949999996</v>
      </c>
      <c r="Y33">
        <f t="shared" si="108"/>
        <v>1.5220255085296179</v>
      </c>
      <c r="Z33" s="2">
        <f t="shared" si="109"/>
        <v>28.728853804255813</v>
      </c>
      <c r="AA33" s="2">
        <f t="shared" si="110"/>
        <v>2442321.1525530592</v>
      </c>
      <c r="AB33" s="2">
        <f t="shared" si="111"/>
        <v>184726.77390232374</v>
      </c>
      <c r="AC33" s="2">
        <f t="shared" si="112"/>
        <v>184078.35158159636</v>
      </c>
      <c r="AD33" s="2">
        <f t="shared" si="113"/>
        <v>5.0959110042020344</v>
      </c>
      <c r="AE33" s="8">
        <f t="shared" si="114"/>
        <v>5.0780234919061069</v>
      </c>
    </row>
    <row r="34" spans="1:36" x14ac:dyDescent="0.2">
      <c r="A34">
        <f t="shared" si="115"/>
        <v>4.3489887179487177</v>
      </c>
      <c r="B34">
        <f>PI()</f>
        <v>3.1415926535897931</v>
      </c>
      <c r="C34" s="1">
        <v>206000</v>
      </c>
      <c r="D34" s="1">
        <f t="shared" si="97"/>
        <v>79230.769230769234</v>
      </c>
      <c r="E34" s="6">
        <v>1000</v>
      </c>
      <c r="F34" s="6">
        <f t="shared" si="98"/>
        <v>500</v>
      </c>
      <c r="G34" s="6">
        <v>1000</v>
      </c>
      <c r="H34" s="6">
        <v>1000</v>
      </c>
      <c r="I34" s="6">
        <f>K34*1.6</f>
        <v>243.20000000000002</v>
      </c>
      <c r="J34" s="6">
        <v>8</v>
      </c>
      <c r="K34" s="6">
        <v>152</v>
      </c>
      <c r="L34" s="6">
        <v>8</v>
      </c>
      <c r="M34">
        <f t="shared" si="99"/>
        <v>3619.1147369354403</v>
      </c>
      <c r="N34">
        <f t="shared" si="100"/>
        <v>5911.2207369945536</v>
      </c>
      <c r="O34">
        <f t="shared" si="101"/>
        <v>9409698.316032147</v>
      </c>
      <c r="P34">
        <f t="shared" si="102"/>
        <v>40922671.815724857</v>
      </c>
      <c r="Q34">
        <f t="shared" si="103"/>
        <v>81845343.631449685</v>
      </c>
      <c r="R34" s="2">
        <f t="shared" si="104"/>
        <v>28049728.99841461</v>
      </c>
      <c r="S34" s="2">
        <f t="shared" si="105"/>
        <v>56099457.996829219</v>
      </c>
      <c r="T34" s="2">
        <f t="shared" si="106"/>
        <v>28049728998414.609</v>
      </c>
      <c r="U34" s="2">
        <f t="shared" si="107"/>
        <v>753291227221111.13</v>
      </c>
      <c r="V34" s="6">
        <v>55173.424700000003</v>
      </c>
      <c r="W34" s="7">
        <v>36250</v>
      </c>
      <c r="X34" s="6">
        <v>87.205637949999996</v>
      </c>
      <c r="Y34">
        <f t="shared" si="108"/>
        <v>1.5220255085296179</v>
      </c>
      <c r="Z34" s="2">
        <f t="shared" si="109"/>
        <v>26.855561679889586</v>
      </c>
      <c r="AA34" s="2">
        <f t="shared" si="110"/>
        <v>2442321.1525530592</v>
      </c>
      <c r="AB34" s="2">
        <f t="shared" si="111"/>
        <v>195847.96673072316</v>
      </c>
      <c r="AC34" s="2">
        <f t="shared" si="112"/>
        <v>195166.62349231198</v>
      </c>
      <c r="AD34" s="2">
        <f t="shared" si="113"/>
        <v>5.4027025305027081</v>
      </c>
      <c r="AE34" s="8">
        <f t="shared" si="114"/>
        <v>5.3839068549603306</v>
      </c>
    </row>
    <row r="35" spans="1:36" x14ac:dyDescent="0.2">
      <c r="A35">
        <f t="shared" si="115"/>
        <v>5.2471105982905986</v>
      </c>
      <c r="B35">
        <f>PI()</f>
        <v>3.1415926535897931</v>
      </c>
      <c r="C35" s="1">
        <v>206000</v>
      </c>
      <c r="D35" s="1">
        <f t="shared" si="97"/>
        <v>79230.769230769234</v>
      </c>
      <c r="E35" s="6">
        <v>1000</v>
      </c>
      <c r="F35" s="6">
        <f t="shared" si="98"/>
        <v>500</v>
      </c>
      <c r="G35" s="6">
        <v>1000</v>
      </c>
      <c r="H35" s="6">
        <v>1000</v>
      </c>
      <c r="I35" s="6">
        <f>K35*1.7</f>
        <v>258.39999999999998</v>
      </c>
      <c r="J35" s="6">
        <v>8</v>
      </c>
      <c r="K35" s="6">
        <v>152</v>
      </c>
      <c r="L35" s="6">
        <v>8</v>
      </c>
      <c r="M35">
        <f t="shared" si="99"/>
        <v>3619.1147369354403</v>
      </c>
      <c r="N35">
        <f t="shared" si="100"/>
        <v>6293.2384036710719</v>
      </c>
      <c r="O35">
        <f t="shared" si="101"/>
        <v>9409698.316032147</v>
      </c>
      <c r="P35">
        <f t="shared" si="102"/>
        <v>49373727.760769479</v>
      </c>
      <c r="Q35">
        <f t="shared" si="103"/>
        <v>98747455.521538809</v>
      </c>
      <c r="R35" s="2">
        <f t="shared" si="104"/>
        <v>29673819.685072564</v>
      </c>
      <c r="S35" s="2">
        <f t="shared" si="105"/>
        <v>59347639.370145127</v>
      </c>
      <c r="T35" s="2">
        <f t="shared" si="106"/>
        <v>29673819685072.563</v>
      </c>
      <c r="U35" s="2">
        <f t="shared" si="107"/>
        <v>753291227221111.13</v>
      </c>
      <c r="V35" s="6">
        <v>55173.424700000003</v>
      </c>
      <c r="W35" s="7">
        <v>36250</v>
      </c>
      <c r="X35" s="6">
        <v>87.205637949999996</v>
      </c>
      <c r="Y35">
        <f t="shared" si="108"/>
        <v>1.5220255085296179</v>
      </c>
      <c r="Z35" s="2">
        <f t="shared" si="109"/>
        <v>25.385718293626176</v>
      </c>
      <c r="AA35" s="2">
        <f t="shared" si="110"/>
        <v>2442321.1525530592</v>
      </c>
      <c r="AB35" s="2">
        <f t="shared" si="111"/>
        <v>205558.01750941577</v>
      </c>
      <c r="AC35" s="2">
        <f t="shared" si="112"/>
        <v>204848.49895431029</v>
      </c>
      <c r="AD35" s="2">
        <f t="shared" si="113"/>
        <v>5.6705660002597451</v>
      </c>
      <c r="AE35" s="8">
        <f t="shared" si="114"/>
        <v>5.6509930746016632</v>
      </c>
    </row>
    <row r="36" spans="1:36" x14ac:dyDescent="0.2">
      <c r="A36">
        <f t="shared" si="115"/>
        <v>6.2611227350427354</v>
      </c>
      <c r="B36">
        <f>PI()</f>
        <v>3.1415926535897931</v>
      </c>
      <c r="C36" s="1">
        <v>206000</v>
      </c>
      <c r="D36" s="1">
        <f t="shared" si="97"/>
        <v>79230.769230769234</v>
      </c>
      <c r="E36" s="6">
        <v>1000</v>
      </c>
      <c r="F36" s="6">
        <f t="shared" si="98"/>
        <v>500</v>
      </c>
      <c r="G36" s="6">
        <v>1000</v>
      </c>
      <c r="H36" s="6">
        <v>1000</v>
      </c>
      <c r="I36" s="6">
        <f>K36*1.8</f>
        <v>273.60000000000002</v>
      </c>
      <c r="J36" s="6">
        <v>8</v>
      </c>
      <c r="K36" s="6">
        <v>152</v>
      </c>
      <c r="L36" s="6">
        <v>8</v>
      </c>
      <c r="M36">
        <f t="shared" si="99"/>
        <v>3619.1147369354403</v>
      </c>
      <c r="N36">
        <f t="shared" si="100"/>
        <v>6675.2560703475901</v>
      </c>
      <c r="O36">
        <f t="shared" si="101"/>
        <v>9409698.316032147</v>
      </c>
      <c r="P36">
        <f t="shared" si="102"/>
        <v>58915276.056402221</v>
      </c>
      <c r="Q36">
        <f t="shared" ref="Q36" si="116">((B36/32)*((K36*K36*K36*K36)-(K36-2*L36)*(K36-2*L36)*(K36-2*L36)*(K36-2*L36)))</f>
        <v>18819396.632064298</v>
      </c>
      <c r="R36" s="2">
        <f t="shared" si="104"/>
        <v>31110717.216549836</v>
      </c>
      <c r="S36" s="2">
        <f t="shared" si="105"/>
        <v>62221434.433099672</v>
      </c>
      <c r="T36" s="2">
        <f t="shared" si="106"/>
        <v>31110717216549.836</v>
      </c>
      <c r="U36" s="2">
        <f t="shared" si="107"/>
        <v>753291227221111.13</v>
      </c>
      <c r="V36" s="6">
        <v>55173.424700000003</v>
      </c>
      <c r="W36" s="7">
        <v>36250</v>
      </c>
      <c r="X36" s="6">
        <v>87.205637949999996</v>
      </c>
      <c r="Y36">
        <f t="shared" si="108"/>
        <v>1.5220255085296179</v>
      </c>
      <c r="Z36" s="2">
        <f t="shared" si="109"/>
        <v>24.213238864849636</v>
      </c>
      <c r="AA36" s="2">
        <f t="shared" si="110"/>
        <v>2442321.1525530592</v>
      </c>
      <c r="AB36" s="2">
        <f t="shared" si="111"/>
        <v>214022.41121761021</v>
      </c>
      <c r="AC36" s="2">
        <f t="shared" si="112"/>
        <v>213288.76410716117</v>
      </c>
      <c r="AD36" s="2">
        <f t="shared" si="113"/>
        <v>5.9040665163478678</v>
      </c>
      <c r="AE36" s="8">
        <f t="shared" si="114"/>
        <v>5.8838279753699636</v>
      </c>
    </row>
    <row r="37" spans="1:36" x14ac:dyDescent="0.2">
      <c r="A37">
        <f t="shared" ref="A37:A38" si="117">P37/O37</f>
        <v>7.3980600000000054</v>
      </c>
      <c r="B37">
        <f>PI()</f>
        <v>3.1415926535897931</v>
      </c>
      <c r="C37" s="1">
        <v>206000</v>
      </c>
      <c r="D37" s="1">
        <f t="shared" ref="D37:D38" si="118">C37/2.6</f>
        <v>79230.769230769234</v>
      </c>
      <c r="E37" s="6">
        <v>1000</v>
      </c>
      <c r="F37" s="6">
        <f t="shared" ref="F37:F38" si="119">G37/2</f>
        <v>500</v>
      </c>
      <c r="G37" s="6">
        <v>1000</v>
      </c>
      <c r="H37" s="6">
        <v>1000</v>
      </c>
      <c r="I37" s="6">
        <f>K37*1.9</f>
        <v>288.8</v>
      </c>
      <c r="J37" s="6">
        <v>8</v>
      </c>
      <c r="K37" s="6">
        <v>152</v>
      </c>
      <c r="L37" s="6">
        <v>8</v>
      </c>
      <c r="M37">
        <f t="shared" ref="M37:M38" si="120">(B37*((K37/2)^2))-(B37*(((K37-(2*L37))/2)^2))</f>
        <v>3619.1147369354403</v>
      </c>
      <c r="N37">
        <f t="shared" ref="N37:N38" si="121">(B37*((I37/2)^2))-(B37*(((I37-(2*J37))/2)^2))</f>
        <v>7057.2737370241084</v>
      </c>
      <c r="O37">
        <f t="shared" ref="O37:O38" si="122">((B37*K37*K37*K37*K37)/64)*(1-(((K37-2*L37)/K37)^4))</f>
        <v>9409698.316032147</v>
      </c>
      <c r="P37">
        <f t="shared" ref="P37:P38" si="123">((B37*I37*I37*I37*I37)/64)*(1-(((I37-2*J37)/I37)^4))</f>
        <v>69613512.723904833</v>
      </c>
      <c r="Q37">
        <f t="shared" ref="Q37" si="124">((B37/32)*((I37*I37*I37*I37)-(I37-2*J37)*(I37-2*J37)*(I37-2*J37)*(I37-2*J37)))</f>
        <v>139227025.44780946</v>
      </c>
      <c r="R37" s="2">
        <f t="shared" ref="R37:R38" si="125">1/(((E37*E37)/(24*C37*O37))+((E37*G37)/(12*C37*P37))+((2*E37)/(G37*N37*D37)))</f>
        <v>32379909.690266438</v>
      </c>
      <c r="S37" s="2">
        <f t="shared" ref="S37:S38" si="126">2*R37</f>
        <v>64759819.380532876</v>
      </c>
      <c r="T37" s="2">
        <f t="shared" ref="T37:T38" si="127">4*(F37*F37*R37)</f>
        <v>32379909690266.438</v>
      </c>
      <c r="U37" s="2">
        <f t="shared" ref="U37:U38" si="128">C37*M37*G37*G37+4*C37*O37</f>
        <v>753291227221111.13</v>
      </c>
      <c r="V37" s="6">
        <v>55173.424700000003</v>
      </c>
      <c r="W37" s="7">
        <v>36250</v>
      </c>
      <c r="X37" s="6">
        <v>87.205637949999996</v>
      </c>
      <c r="Y37">
        <f t="shared" ref="Y37:Y38" si="129">(X37*B37)/180</f>
        <v>1.5220255085296179</v>
      </c>
      <c r="Z37" s="2">
        <f t="shared" ref="Z37:Z38" si="130">U37/T37</f>
        <v>23.264154669571369</v>
      </c>
      <c r="AA37" s="2">
        <f t="shared" ref="AA37:AA38" si="131">(B37*B37*U37)/(V37*V37)</f>
        <v>2442321.1525530592</v>
      </c>
      <c r="AB37" s="2">
        <f t="shared" ref="AB37:AB38" si="132">(AA37*(1-(Y37/B37)*(Y37/B37))*(1-(Y37/B37)*(Y37/B37)))/(1+Z37*(Y37/B37)*(Y37/B37))</f>
        <v>221402.18145058639</v>
      </c>
      <c r="AC37" s="2">
        <f t="shared" ref="AC37:AC38" si="133">AB37/(1+(AB37/S37))</f>
        <v>220647.82619574835</v>
      </c>
      <c r="AD37" s="2">
        <f t="shared" ref="AD37:AD38" si="134">AB37/W37</f>
        <v>6.1076463848437621</v>
      </c>
      <c r="AE37" s="8">
        <f t="shared" ref="AE37:AE38" si="135">AC37/W37</f>
        <v>6.0868365847102996</v>
      </c>
    </row>
    <row r="38" spans="1:36" x14ac:dyDescent="0.2">
      <c r="A38">
        <f t="shared" si="117"/>
        <v>8.664957264957275</v>
      </c>
      <c r="B38">
        <f>PI()</f>
        <v>3.1415926535897931</v>
      </c>
      <c r="C38" s="1">
        <v>206000</v>
      </c>
      <c r="D38" s="1">
        <f t="shared" si="118"/>
        <v>79230.769230769234</v>
      </c>
      <c r="E38" s="6">
        <v>1000</v>
      </c>
      <c r="F38" s="6">
        <f t="shared" si="119"/>
        <v>500</v>
      </c>
      <c r="G38" s="6">
        <v>1000</v>
      </c>
      <c r="H38" s="6">
        <v>1000</v>
      </c>
      <c r="I38" s="6">
        <f>K38*2</f>
        <v>304</v>
      </c>
      <c r="J38" s="6">
        <v>8</v>
      </c>
      <c r="K38" s="6">
        <v>152</v>
      </c>
      <c r="L38" s="6">
        <v>8</v>
      </c>
      <c r="M38">
        <f t="shared" si="120"/>
        <v>3619.1147369354403</v>
      </c>
      <c r="N38">
        <f t="shared" si="121"/>
        <v>7439.2914037006267</v>
      </c>
      <c r="O38">
        <f t="shared" si="122"/>
        <v>9409698.316032147</v>
      </c>
      <c r="P38">
        <f t="shared" si="123"/>
        <v>81534633.784558982</v>
      </c>
      <c r="Q38">
        <f t="shared" ref="Q38" si="136">((B38/32)*((K38*K38*K38*K38)-(K38-2*L38)*(K38-2*L38)*(K38-2*L38)*(K38-2*L38)))</f>
        <v>18819396.632064298</v>
      </c>
      <c r="R38" s="2">
        <f t="shared" si="125"/>
        <v>33500797.244405553</v>
      </c>
      <c r="S38" s="2">
        <f t="shared" si="126"/>
        <v>67001594.488811105</v>
      </c>
      <c r="T38" s="2">
        <f t="shared" si="127"/>
        <v>33500797244405.555</v>
      </c>
      <c r="U38" s="2">
        <f t="shared" si="128"/>
        <v>753291227221111.13</v>
      </c>
      <c r="V38" s="6">
        <v>55173.424700000003</v>
      </c>
      <c r="W38" s="7">
        <v>36250</v>
      </c>
      <c r="X38" s="6">
        <v>87.205637949999996</v>
      </c>
      <c r="Y38">
        <f t="shared" si="129"/>
        <v>1.5220255085296179</v>
      </c>
      <c r="Z38" s="2">
        <f t="shared" si="130"/>
        <v>22.485770166168404</v>
      </c>
      <c r="AA38" s="2">
        <f t="shared" si="131"/>
        <v>2442321.1525530592</v>
      </c>
      <c r="AB38" s="2">
        <f t="shared" si="132"/>
        <v>227845.55924574554</v>
      </c>
      <c r="AC38" s="2">
        <f t="shared" si="133"/>
        <v>227073.37374441014</v>
      </c>
      <c r="AD38" s="2">
        <f t="shared" si="134"/>
        <v>6.2853947378136699</v>
      </c>
      <c r="AE38" s="8">
        <f t="shared" si="135"/>
        <v>6.2640930688113139</v>
      </c>
    </row>
    <row r="39" spans="1:36" x14ac:dyDescent="0.2">
      <c r="C39" s="1"/>
      <c r="D39" s="1"/>
      <c r="E39" s="6"/>
      <c r="F39" s="6"/>
      <c r="G39" s="6"/>
      <c r="H39" s="6"/>
      <c r="I39" s="6"/>
      <c r="J39" s="6"/>
      <c r="K39" s="6"/>
      <c r="L39" s="6"/>
      <c r="R39" s="2"/>
      <c r="S39" s="2"/>
      <c r="T39" s="2"/>
      <c r="U39" s="2"/>
      <c r="V39" s="6"/>
      <c r="W39" s="7"/>
      <c r="X39" s="6"/>
      <c r="Z39" s="2"/>
      <c r="AA39" s="2"/>
      <c r="AB39" s="2"/>
      <c r="AC39" s="2"/>
      <c r="AD39" s="2"/>
      <c r="AE39" s="8"/>
    </row>
    <row r="40" spans="1:36" x14ac:dyDescent="0.2">
      <c r="D40" s="1"/>
      <c r="G40" s="1"/>
      <c r="R40" s="1"/>
      <c r="S40" s="1"/>
      <c r="T40" s="1"/>
      <c r="U40" s="1"/>
      <c r="V40" s="1"/>
      <c r="W40" s="1"/>
      <c r="X40" s="1"/>
      <c r="Y40" s="1"/>
      <c r="Z40" s="2"/>
      <c r="AA40" s="2"/>
      <c r="AB40" s="2"/>
      <c r="AC40" s="2"/>
      <c r="AE40" s="2"/>
      <c r="AF40" s="2"/>
      <c r="AH40" s="2"/>
    </row>
    <row r="41" spans="1:36" x14ac:dyDescent="0.2">
      <c r="I41" t="s">
        <v>46</v>
      </c>
      <c r="J41" t="s">
        <v>53</v>
      </c>
      <c r="K41" s="3" t="s">
        <v>35</v>
      </c>
      <c r="L41" t="s">
        <v>19</v>
      </c>
      <c r="M41" t="s">
        <v>22</v>
      </c>
      <c r="N41" t="s">
        <v>23</v>
      </c>
      <c r="O41" t="s">
        <v>31</v>
      </c>
      <c r="P41" t="s">
        <v>28</v>
      </c>
      <c r="Q41" t="s">
        <v>29</v>
      </c>
      <c r="R41" t="s">
        <v>30</v>
      </c>
      <c r="S41" t="s">
        <v>67</v>
      </c>
      <c r="T41" t="s">
        <v>68</v>
      </c>
      <c r="U41" s="1" t="s">
        <v>43</v>
      </c>
      <c r="W41" s="1"/>
      <c r="Z41" t="s">
        <v>41</v>
      </c>
      <c r="AA41" s="1" t="s">
        <v>42</v>
      </c>
      <c r="AB41" t="s">
        <v>41</v>
      </c>
      <c r="AC41" s="1" t="s">
        <v>42</v>
      </c>
    </row>
    <row r="42" spans="1:36" x14ac:dyDescent="0.2">
      <c r="D42" s="9"/>
      <c r="E42" s="9"/>
      <c r="F42" s="1"/>
      <c r="G42" s="9"/>
      <c r="H42" s="9"/>
      <c r="I42" s="9">
        <f>J42/2</f>
        <v>38</v>
      </c>
      <c r="J42">
        <v>76</v>
      </c>
      <c r="K42" t="s">
        <v>47</v>
      </c>
      <c r="L42" s="6">
        <v>55173.424700000003</v>
      </c>
      <c r="M42" s="7">
        <v>36250</v>
      </c>
      <c r="N42" s="6">
        <v>87.205637949999996</v>
      </c>
      <c r="O42">
        <f>(N42*B4)/180</f>
        <v>1.5220255085296179</v>
      </c>
      <c r="P42" s="8">
        <v>1887.8</v>
      </c>
      <c r="Q42">
        <f t="shared" ref="Q42:Q55" si="137">(P42*55.5)/L42</f>
        <v>1.8989740181924939</v>
      </c>
      <c r="R42" s="2">
        <f t="shared" ref="R42:R47" si="138">Q42*M42</f>
        <v>68837.808159477907</v>
      </c>
      <c r="S42">
        <v>1.7562112285715579</v>
      </c>
      <c r="T42">
        <v>1.7319432676600495</v>
      </c>
      <c r="U42" s="13">
        <f>(Q42-S42)/Q42</f>
        <v>7.517890621632746E-2</v>
      </c>
      <c r="V42" s="11"/>
      <c r="W42" s="11"/>
      <c r="X42" s="11"/>
      <c r="Z42">
        <v>-10000</v>
      </c>
      <c r="AA42">
        <v>-9523.8094999999994</v>
      </c>
      <c r="AB42">
        <v>50000</v>
      </c>
      <c r="AC42">
        <v>-9523.8094999999994</v>
      </c>
    </row>
    <row r="43" spans="1:36" x14ac:dyDescent="0.2">
      <c r="D43" s="9"/>
      <c r="E43" s="9"/>
      <c r="F43" s="1"/>
      <c r="G43" s="9"/>
      <c r="H43" s="9"/>
      <c r="I43" s="9">
        <f t="shared" ref="I43:I47" si="139">J43/2</f>
        <v>45.6</v>
      </c>
      <c r="J43">
        <v>91.2</v>
      </c>
      <c r="K43" t="s">
        <v>48</v>
      </c>
      <c r="L43" s="6">
        <v>55173.424700000003</v>
      </c>
      <c r="M43" s="7">
        <v>36250</v>
      </c>
      <c r="N43" s="6">
        <v>87.205637949999996</v>
      </c>
      <c r="O43">
        <f>(N43*B5)/180</f>
        <v>1.5220255085296179</v>
      </c>
      <c r="P43" s="8">
        <v>2300.1999999999998</v>
      </c>
      <c r="Q43">
        <f t="shared" si="137"/>
        <v>2.3138150421900487</v>
      </c>
      <c r="R43" s="2">
        <f t="shared" si="138"/>
        <v>83875.795279389262</v>
      </c>
      <c r="S43">
        <v>2.0890853913888785</v>
      </c>
      <c r="T43">
        <v>2.0690995088451904</v>
      </c>
      <c r="U43" s="13">
        <f t="shared" ref="U43:U47" si="140">(Q43-S43)/Q43</f>
        <v>9.7125157673995155E-2</v>
      </c>
      <c r="V43" s="11"/>
      <c r="W43" s="11"/>
      <c r="X43" s="11"/>
    </row>
    <row r="44" spans="1:36" x14ac:dyDescent="0.2">
      <c r="D44" s="9"/>
      <c r="E44" s="9"/>
      <c r="F44" s="1"/>
      <c r="G44" s="9"/>
      <c r="H44" s="9"/>
      <c r="I44" s="9">
        <f t="shared" si="139"/>
        <v>53.199999999999996</v>
      </c>
      <c r="J44">
        <v>106.39999999999999</v>
      </c>
      <c r="K44" t="s">
        <v>49</v>
      </c>
      <c r="L44" s="6">
        <v>55173.424700000003</v>
      </c>
      <c r="M44" s="7">
        <v>36250</v>
      </c>
      <c r="N44" s="6">
        <v>87.205637949999996</v>
      </c>
      <c r="O44">
        <f>(N44*B6)/180</f>
        <v>1.5220255085296179</v>
      </c>
      <c r="P44" s="8">
        <v>2789.4</v>
      </c>
      <c r="Q44">
        <f t="shared" si="137"/>
        <v>2.8059106506759948</v>
      </c>
      <c r="R44" s="2">
        <f t="shared" si="138"/>
        <v>101714.26108700481</v>
      </c>
      <c r="S44">
        <v>2.5057903304514011</v>
      </c>
      <c r="T44">
        <v>2.487043708557283</v>
      </c>
      <c r="U44" s="13">
        <f t="shared" si="140"/>
        <v>0.10696004170777471</v>
      </c>
      <c r="V44" s="11"/>
      <c r="W44" s="11"/>
      <c r="X44" s="11"/>
      <c r="AI44" s="5"/>
    </row>
    <row r="45" spans="1:36" x14ac:dyDescent="0.2">
      <c r="D45" s="9"/>
      <c r="E45" s="9"/>
      <c r="G45" s="9"/>
      <c r="H45" s="9"/>
      <c r="I45" s="9">
        <f t="shared" si="139"/>
        <v>60.800000000000004</v>
      </c>
      <c r="J45">
        <v>121.60000000000001</v>
      </c>
      <c r="K45" t="s">
        <v>50</v>
      </c>
      <c r="L45" s="6">
        <v>55173.424700000003</v>
      </c>
      <c r="M45" s="7">
        <v>36250</v>
      </c>
      <c r="N45" s="6">
        <v>87.205637949999996</v>
      </c>
      <c r="O45">
        <f t="shared" ref="O45:O57" si="141">(N45*B7)/180</f>
        <v>1.5220255085296179</v>
      </c>
      <c r="P45" s="8">
        <v>3321.6</v>
      </c>
      <c r="Q45">
        <f t="shared" si="137"/>
        <v>3.3412607791228877</v>
      </c>
      <c r="R45" s="2">
        <f t="shared" si="138"/>
        <v>121120.70324320468</v>
      </c>
      <c r="S45">
        <v>2.9826157856025346</v>
      </c>
      <c r="T45">
        <v>2.9637517671889961</v>
      </c>
      <c r="U45" s="13">
        <f t="shared" si="140"/>
        <v>0.10733822267368809</v>
      </c>
      <c r="V45" s="11"/>
      <c r="W45" s="11"/>
      <c r="X45" s="11"/>
      <c r="AC45" s="2"/>
      <c r="AG45" s="2"/>
      <c r="AI45" s="2"/>
      <c r="AJ45" s="2"/>
    </row>
    <row r="46" spans="1:36" x14ac:dyDescent="0.2">
      <c r="D46" s="9"/>
      <c r="E46" s="9"/>
      <c r="F46" s="1"/>
      <c r="G46" s="9"/>
      <c r="H46" s="9"/>
      <c r="I46" s="9">
        <f t="shared" si="139"/>
        <v>68.400000000000006</v>
      </c>
      <c r="J46">
        <v>136.80000000000001</v>
      </c>
      <c r="K46" t="s">
        <v>51</v>
      </c>
      <c r="L46" s="6">
        <v>55173.424700000003</v>
      </c>
      <c r="M46" s="7">
        <v>36250</v>
      </c>
      <c r="N46" s="6">
        <v>87.205637949999996</v>
      </c>
      <c r="O46">
        <f t="shared" si="141"/>
        <v>1.5220255085296179</v>
      </c>
      <c r="P46" s="8">
        <v>3860.3</v>
      </c>
      <c r="Q46">
        <f t="shared" si="137"/>
        <v>3.883149381517367</v>
      </c>
      <c r="R46" s="2">
        <f t="shared" si="138"/>
        <v>140764.16508000455</v>
      </c>
      <c r="S46">
        <v>3.4906524496102165</v>
      </c>
      <c r="T46">
        <v>3.4710361131853706</v>
      </c>
      <c r="U46" s="13">
        <f t="shared" si="140"/>
        <v>0.10107695927829068</v>
      </c>
      <c r="V46" s="11"/>
      <c r="W46" s="11"/>
      <c r="X46" s="11"/>
      <c r="AC46" s="2"/>
      <c r="AG46" s="2"/>
      <c r="AI46" s="2"/>
      <c r="AJ46" s="2"/>
    </row>
    <row r="47" spans="1:36" x14ac:dyDescent="0.2">
      <c r="D47" s="9"/>
      <c r="E47" s="9"/>
      <c r="G47" s="9"/>
      <c r="H47" s="9"/>
      <c r="I47" s="9">
        <f t="shared" si="139"/>
        <v>76</v>
      </c>
      <c r="J47">
        <v>152</v>
      </c>
      <c r="K47" t="s">
        <v>52</v>
      </c>
      <c r="L47" s="6">
        <v>55173.424700000003</v>
      </c>
      <c r="M47" s="7">
        <v>36250</v>
      </c>
      <c r="N47" s="6">
        <v>87.205637949999996</v>
      </c>
      <c r="O47">
        <f t="shared" si="141"/>
        <v>1.5220255085296179</v>
      </c>
      <c r="P47" s="8">
        <v>4375</v>
      </c>
      <c r="Q47">
        <f t="shared" si="137"/>
        <v>4.4008959262592224</v>
      </c>
      <c r="R47" s="2">
        <f t="shared" si="138"/>
        <v>159532.47732689683</v>
      </c>
      <c r="S47">
        <v>4.0022130568211702</v>
      </c>
      <c r="T47">
        <v>3.9815733982571313</v>
      </c>
      <c r="U47" s="13">
        <f t="shared" si="140"/>
        <v>9.0591296890070769E-2</v>
      </c>
      <c r="V47" s="11"/>
      <c r="W47" s="11"/>
      <c r="X47" s="11"/>
      <c r="AC47" s="2"/>
      <c r="AG47" s="2"/>
      <c r="AI47" s="2"/>
      <c r="AJ47" s="2"/>
    </row>
    <row r="48" spans="1:36" x14ac:dyDescent="0.2">
      <c r="F48" s="1"/>
      <c r="G48" s="3"/>
      <c r="H48" s="2"/>
      <c r="I48" s="9">
        <f t="shared" ref="I48" si="142">J48/2</f>
        <v>83.6</v>
      </c>
      <c r="J48">
        <v>167.2</v>
      </c>
      <c r="K48" t="s">
        <v>76</v>
      </c>
      <c r="L48" s="6">
        <v>55173.424700000003</v>
      </c>
      <c r="M48" s="7">
        <v>36250</v>
      </c>
      <c r="N48" s="6">
        <v>87.205637949999996</v>
      </c>
      <c r="O48">
        <f t="shared" si="141"/>
        <v>1.5220255085296179</v>
      </c>
      <c r="P48" s="8">
        <v>4847.6000000000004</v>
      </c>
      <c r="Q48">
        <f t="shared" si="137"/>
        <v>4.8762932782021053</v>
      </c>
      <c r="R48" s="2">
        <f t="shared" ref="R48:R54" si="143">Q48*M48</f>
        <v>176765.63133482632</v>
      </c>
      <c r="S48">
        <v>4.4951893689272229</v>
      </c>
      <c r="T48">
        <v>4.4734530140896238</v>
      </c>
      <c r="U48" s="13">
        <f t="shared" ref="U48:U54" si="144">(Q48-S48)/Q48</f>
        <v>7.8154427457939102E-2</v>
      </c>
      <c r="V48" s="11"/>
      <c r="W48" s="11"/>
      <c r="X48" s="11"/>
      <c r="AC48" s="2"/>
      <c r="AG48" s="2"/>
      <c r="AI48" s="2"/>
      <c r="AJ48" s="2"/>
    </row>
    <row r="49" spans="7:36" x14ac:dyDescent="0.2">
      <c r="G49" s="3"/>
      <c r="I49" s="9">
        <f>J49/2</f>
        <v>91.2</v>
      </c>
      <c r="J49">
        <v>182.4</v>
      </c>
      <c r="K49" t="s">
        <v>77</v>
      </c>
      <c r="L49" s="6">
        <v>55173.424700000003</v>
      </c>
      <c r="M49" s="7">
        <v>36250</v>
      </c>
      <c r="N49" s="6">
        <v>87.205637949999996</v>
      </c>
      <c r="O49">
        <f t="shared" si="141"/>
        <v>1.5220255085296179</v>
      </c>
      <c r="P49" s="8">
        <v>5267.6</v>
      </c>
      <c r="Q49">
        <f t="shared" si="137"/>
        <v>5.2987792871229908</v>
      </c>
      <c r="R49" s="2">
        <f t="shared" si="143"/>
        <v>192080.7491582084</v>
      </c>
      <c r="S49">
        <v>4.9547073898074458</v>
      </c>
      <c r="T49">
        <v>4.9319072225533658</v>
      </c>
      <c r="U49" s="13">
        <f t="shared" si="144"/>
        <v>6.4934181756108059E-2</v>
      </c>
      <c r="V49" s="11"/>
      <c r="W49" s="11"/>
      <c r="X49" s="11"/>
      <c r="AC49" s="2"/>
      <c r="AG49" s="2"/>
      <c r="AI49" s="2"/>
      <c r="AJ49" s="2"/>
    </row>
    <row r="50" spans="7:36" x14ac:dyDescent="0.2">
      <c r="I50" s="9">
        <f t="shared" ref="I50:I57" si="145">J50/2</f>
        <v>98.8</v>
      </c>
      <c r="J50">
        <v>197.6</v>
      </c>
      <c r="K50" t="s">
        <v>78</v>
      </c>
      <c r="L50" s="6">
        <v>55173.424700000003</v>
      </c>
      <c r="M50" s="7">
        <v>36250</v>
      </c>
      <c r="N50" s="6">
        <v>87.205637949999996</v>
      </c>
      <c r="O50">
        <f t="shared" si="141"/>
        <v>1.5220255085296179</v>
      </c>
      <c r="P50" s="8">
        <v>5633.5</v>
      </c>
      <c r="Q50">
        <f t="shared" si="137"/>
        <v>5.6668450744185899</v>
      </c>
      <c r="R50" s="2">
        <f t="shared" si="143"/>
        <v>205423.13394767389</v>
      </c>
      <c r="S50">
        <v>5.3726913078853809</v>
      </c>
      <c r="T50">
        <v>5.3489124483218085</v>
      </c>
      <c r="U50" s="13">
        <f t="shared" si="144"/>
        <v>5.1907853959354759E-2</v>
      </c>
      <c r="V50" s="11"/>
      <c r="W50" s="11"/>
      <c r="X50" s="11"/>
    </row>
    <row r="51" spans="7:36" x14ac:dyDescent="0.2">
      <c r="I51" s="9">
        <f t="shared" si="145"/>
        <v>106.4</v>
      </c>
      <c r="J51">
        <v>212.8</v>
      </c>
      <c r="K51" t="s">
        <v>79</v>
      </c>
      <c r="L51" s="6">
        <v>55173.424700000003</v>
      </c>
      <c r="M51" s="7">
        <v>36250</v>
      </c>
      <c r="N51" s="6">
        <v>87.205637949999996</v>
      </c>
      <c r="O51">
        <f t="shared" si="141"/>
        <v>1.5220255085296179</v>
      </c>
      <c r="P51" s="8">
        <v>5948.2</v>
      </c>
      <c r="Q51">
        <f t="shared" si="137"/>
        <v>5.9834078053885964</v>
      </c>
      <c r="R51" s="2">
        <f t="shared" si="143"/>
        <v>216898.53294533663</v>
      </c>
      <c r="S51">
        <v>5.7463671844737885</v>
      </c>
      <c r="T51">
        <v>5.7217151499413808</v>
      </c>
      <c r="U51" s="13">
        <f t="shared" si="144"/>
        <v>3.961632377812048E-2</v>
      </c>
      <c r="V51" s="11"/>
      <c r="W51" s="11"/>
      <c r="X51" s="11"/>
    </row>
    <row r="52" spans="7:36" x14ac:dyDescent="0.2">
      <c r="I52" s="9">
        <f t="shared" si="145"/>
        <v>114</v>
      </c>
      <c r="J52">
        <v>228</v>
      </c>
      <c r="K52" t="s">
        <v>80</v>
      </c>
      <c r="L52" s="6">
        <v>55173.424700000003</v>
      </c>
      <c r="M52" s="7">
        <v>36250</v>
      </c>
      <c r="N52" s="6">
        <v>87.205637949999996</v>
      </c>
      <c r="O52">
        <f t="shared" si="141"/>
        <v>1.5220255085296179</v>
      </c>
      <c r="P52" s="8">
        <v>6216.8</v>
      </c>
      <c r="Q52">
        <f t="shared" si="137"/>
        <v>6.2535976672841915</v>
      </c>
      <c r="R52" s="2">
        <f t="shared" si="143"/>
        <v>226692.91543905195</v>
      </c>
      <c r="S52">
        <v>6.0765467030716582</v>
      </c>
      <c r="T52">
        <v>6.0511295621516989</v>
      </c>
      <c r="U52" s="13">
        <f t="shared" si="144"/>
        <v>2.8311857211214372E-2</v>
      </c>
      <c r="V52" s="11"/>
      <c r="W52" s="11"/>
      <c r="X52" s="11"/>
    </row>
    <row r="53" spans="7:36" x14ac:dyDescent="0.2">
      <c r="I53" s="9">
        <f t="shared" si="145"/>
        <v>121.6</v>
      </c>
      <c r="J53">
        <v>243.2</v>
      </c>
      <c r="K53" t="s">
        <v>81</v>
      </c>
      <c r="L53" s="6">
        <v>55173.424700000003</v>
      </c>
      <c r="M53" s="7">
        <v>36250</v>
      </c>
      <c r="N53" s="6">
        <v>87.205637949999996</v>
      </c>
      <c r="O53">
        <f t="shared" si="141"/>
        <v>1.5220255085296179</v>
      </c>
      <c r="P53" s="8">
        <v>6445.4</v>
      </c>
      <c r="Q53">
        <f t="shared" si="137"/>
        <v>6.4835507664254148</v>
      </c>
      <c r="R53" s="2">
        <f t="shared" si="143"/>
        <v>235028.7152829213</v>
      </c>
      <c r="S53">
        <v>6.3661514443529041</v>
      </c>
      <c r="T53">
        <v>6.3400706742767419</v>
      </c>
      <c r="U53" s="13">
        <f t="shared" si="144"/>
        <v>1.8107257319624048E-2</v>
      </c>
      <c r="V53" s="11"/>
      <c r="W53" s="11"/>
      <c r="X53" s="11"/>
    </row>
    <row r="54" spans="7:36" x14ac:dyDescent="0.2">
      <c r="I54" s="9">
        <f t="shared" si="145"/>
        <v>129.19999999999999</v>
      </c>
      <c r="J54">
        <v>258.39999999999998</v>
      </c>
      <c r="K54" t="s">
        <v>82</v>
      </c>
      <c r="L54" s="6">
        <v>55173.424700000003</v>
      </c>
      <c r="M54" s="7">
        <v>36250</v>
      </c>
      <c r="N54" s="6">
        <v>87.205637949999996</v>
      </c>
      <c r="O54">
        <f t="shared" si="141"/>
        <v>1.5220255085296179</v>
      </c>
      <c r="P54" s="8">
        <v>6639.8</v>
      </c>
      <c r="Q54">
        <f t="shared" si="137"/>
        <v>6.6791014334116552</v>
      </c>
      <c r="R54" s="2">
        <f t="shared" si="143"/>
        <v>242117.42696117249</v>
      </c>
      <c r="S54">
        <v>6.6191296538684563</v>
      </c>
      <c r="T54">
        <v>6.5924761678623431</v>
      </c>
      <c r="U54" s="13">
        <f t="shared" si="144"/>
        <v>8.979019130207393E-3</v>
      </c>
      <c r="V54" s="11"/>
      <c r="W54" s="11"/>
      <c r="X54" s="11"/>
    </row>
    <row r="55" spans="7:36" x14ac:dyDescent="0.2">
      <c r="I55" s="9">
        <f t="shared" si="145"/>
        <v>136.80000000000001</v>
      </c>
      <c r="J55">
        <v>273.60000000000002</v>
      </c>
      <c r="K55" t="s">
        <v>83</v>
      </c>
      <c r="L55" s="6">
        <v>55173.424700000003</v>
      </c>
      <c r="M55" s="7">
        <v>36250</v>
      </c>
      <c r="N55" s="6">
        <v>87.205637949999996</v>
      </c>
      <c r="O55">
        <f t="shared" si="141"/>
        <v>1.5220255085296179</v>
      </c>
      <c r="P55" s="8">
        <v>6805.4</v>
      </c>
      <c r="Q55">
        <f t="shared" si="137"/>
        <v>6.8456816312147453</v>
      </c>
      <c r="R55" s="2">
        <f t="shared" ref="R55:R57" si="146">Q55*M55</f>
        <v>248155.9591315345</v>
      </c>
      <c r="S55">
        <v>6.8397463545561132</v>
      </c>
      <c r="T55">
        <v>6.8125994171474495</v>
      </c>
      <c r="U55" s="13">
        <f t="shared" ref="U55:U57" si="147">(Q55-S55)/Q55</f>
        <v>8.6701032539528578E-4</v>
      </c>
      <c r="V55" s="11"/>
      <c r="W55" s="11"/>
      <c r="X55" s="11"/>
    </row>
    <row r="56" spans="7:36" x14ac:dyDescent="0.2">
      <c r="I56" s="9">
        <f t="shared" si="145"/>
        <v>144.4</v>
      </c>
      <c r="J56">
        <v>288.8</v>
      </c>
      <c r="K56" t="s">
        <v>84</v>
      </c>
      <c r="L56" s="6">
        <v>55173.424700000003</v>
      </c>
      <c r="M56" s="7">
        <v>36250</v>
      </c>
      <c r="N56" s="6">
        <v>87.205637949999996</v>
      </c>
      <c r="O56">
        <f t="shared" si="141"/>
        <v>1.5220255085296179</v>
      </c>
      <c r="P56" s="8">
        <v>6946.8</v>
      </c>
      <c r="Q56">
        <f>(P56*55.5)/L56</f>
        <v>6.9879185875514445</v>
      </c>
      <c r="R56" s="2">
        <f t="shared" si="146"/>
        <v>253312.04879873985</v>
      </c>
      <c r="S56">
        <v>7.0321632134551617</v>
      </c>
      <c r="T56">
        <v>7.0045908435568629</v>
      </c>
      <c r="U56" s="13">
        <f t="shared" si="147"/>
        <v>-6.331588633922608E-3</v>
      </c>
      <c r="V56" s="11"/>
      <c r="W56" s="11"/>
      <c r="X56" s="11"/>
    </row>
    <row r="57" spans="7:36" x14ac:dyDescent="0.2">
      <c r="I57" s="9">
        <f t="shared" si="145"/>
        <v>152</v>
      </c>
      <c r="J57">
        <v>304</v>
      </c>
      <c r="K57" t="s">
        <v>75</v>
      </c>
      <c r="L57" s="6">
        <v>55173.424700000003</v>
      </c>
      <c r="M57" s="7">
        <v>36250</v>
      </c>
      <c r="N57" s="6">
        <v>87.205637949999996</v>
      </c>
      <c r="O57">
        <f t="shared" si="141"/>
        <v>1.5220255085296179</v>
      </c>
      <c r="P57" s="8">
        <v>7068.1</v>
      </c>
      <c r="Q57">
        <f>(P57*55.5)/L57</f>
        <v>7.1099365706040727</v>
      </c>
      <c r="R57" s="2">
        <f t="shared" si="146"/>
        <v>257735.20068439763</v>
      </c>
      <c r="S57">
        <v>7.2002182484279471</v>
      </c>
      <c r="T57">
        <v>7.1722782957597273</v>
      </c>
      <c r="U57" s="13">
        <f t="shared" si="147"/>
        <v>-1.2697958262685868E-2</v>
      </c>
      <c r="V57" s="11"/>
      <c r="W57" s="11"/>
      <c r="X5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2AA2-C732-495D-8EAE-AE0B9777518D}">
  <dimension ref="A1:AN32"/>
  <sheetViews>
    <sheetView tabSelected="1" topLeftCell="P1" zoomScale="85" zoomScaleNormal="85" workbookViewId="0">
      <selection activeCell="AM4" sqref="AM4"/>
    </sheetView>
  </sheetViews>
  <sheetFormatPr defaultRowHeight="14.25" x14ac:dyDescent="0.2"/>
  <cols>
    <col min="7" max="7" width="11.25" customWidth="1"/>
    <col min="8" max="8" width="11" bestFit="1" customWidth="1"/>
    <col min="11" max="11" width="11.25" customWidth="1"/>
    <col min="12" max="12" width="12.25" customWidth="1"/>
    <col min="13" max="13" width="10" customWidth="1"/>
    <col min="14" max="14" width="11.625" customWidth="1"/>
    <col min="15" max="15" width="12.375" customWidth="1"/>
    <col min="16" max="16" width="12.125" customWidth="1"/>
    <col min="17" max="17" width="10.125" bestFit="1" customWidth="1"/>
    <col min="18" max="18" width="10.625" customWidth="1"/>
    <col min="19" max="19" width="11.25" customWidth="1"/>
    <col min="20" max="20" width="12" customWidth="1"/>
    <col min="21" max="21" width="14.75" customWidth="1"/>
    <col min="22" max="22" width="11.125" customWidth="1"/>
    <col min="23" max="23" width="11.375" customWidth="1"/>
    <col min="24" max="24" width="11.875" customWidth="1"/>
    <col min="25" max="25" width="10.625" customWidth="1"/>
    <col min="26" max="26" width="10" customWidth="1"/>
    <col min="27" max="27" width="11.125" customWidth="1"/>
    <col min="28" max="28" width="10.375" customWidth="1"/>
    <col min="29" max="29" width="10.5" customWidth="1"/>
    <col min="30" max="30" width="9.625" customWidth="1"/>
    <col min="31" max="31" width="10" customWidth="1"/>
    <col min="32" max="32" width="11.75" customWidth="1"/>
    <col min="33" max="33" width="12.625" customWidth="1"/>
    <col min="34" max="34" width="9.875" customWidth="1"/>
    <col min="35" max="37" width="10.125" bestFit="1" customWidth="1"/>
    <col min="38" max="38" width="6.5" customWidth="1"/>
    <col min="39" max="39" width="7.125" customWidth="1"/>
  </cols>
  <sheetData>
    <row r="1" spans="1:40" ht="30" x14ac:dyDescent="0.4">
      <c r="B1" s="4" t="s">
        <v>71</v>
      </c>
      <c r="D1" s="1"/>
    </row>
    <row r="3" spans="1:40" x14ac:dyDescent="0.2">
      <c r="B3" t="s">
        <v>3</v>
      </c>
      <c r="C3" t="s">
        <v>11</v>
      </c>
      <c r="D3" t="s">
        <v>18</v>
      </c>
      <c r="E3" t="s">
        <v>7</v>
      </c>
      <c r="F3" t="s">
        <v>65</v>
      </c>
      <c r="G3" t="s">
        <v>4</v>
      </c>
      <c r="H3" t="s">
        <v>66</v>
      </c>
      <c r="I3" t="s">
        <v>5</v>
      </c>
      <c r="J3" t="s">
        <v>8</v>
      </c>
      <c r="K3" t="s">
        <v>9</v>
      </c>
      <c r="L3" t="s">
        <v>0</v>
      </c>
      <c r="M3" t="s">
        <v>1</v>
      </c>
      <c r="N3" t="s">
        <v>2</v>
      </c>
      <c r="O3" t="s">
        <v>15</v>
      </c>
      <c r="P3" t="s">
        <v>6</v>
      </c>
      <c r="Q3" t="s">
        <v>10</v>
      </c>
      <c r="R3" t="s">
        <v>16</v>
      </c>
      <c r="S3" t="s">
        <v>63</v>
      </c>
      <c r="T3" t="s">
        <v>64</v>
      </c>
      <c r="U3" t="s">
        <v>61</v>
      </c>
      <c r="V3" t="s">
        <v>62</v>
      </c>
      <c r="W3" t="s">
        <v>14</v>
      </c>
      <c r="X3" t="s">
        <v>21</v>
      </c>
      <c r="Y3" t="s">
        <v>19</v>
      </c>
      <c r="Z3" t="s">
        <v>22</v>
      </c>
      <c r="AA3" t="s">
        <v>23</v>
      </c>
      <c r="AB3" t="s">
        <v>31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34</v>
      </c>
      <c r="AH3" s="5" t="s">
        <v>33</v>
      </c>
    </row>
    <row r="4" spans="1:40" x14ac:dyDescent="0.2">
      <c r="A4" t="s">
        <v>54</v>
      </c>
      <c r="B4">
        <f>PI()</f>
        <v>3.1415926535897931</v>
      </c>
      <c r="C4" s="1">
        <v>206000</v>
      </c>
      <c r="D4" s="1">
        <f t="shared" ref="D4:D10" si="0">C4/2.6</f>
        <v>79230.769230769234</v>
      </c>
      <c r="E4" s="6">
        <v>1000</v>
      </c>
      <c r="F4" s="6">
        <f t="shared" ref="F4:H10" si="1">G4/2</f>
        <v>250</v>
      </c>
      <c r="G4" s="6">
        <v>500</v>
      </c>
      <c r="H4" s="6">
        <f t="shared" si="1"/>
        <v>250</v>
      </c>
      <c r="I4" s="6">
        <v>500</v>
      </c>
      <c r="J4" s="6">
        <v>152</v>
      </c>
      <c r="K4" s="6">
        <v>8</v>
      </c>
      <c r="L4" s="6">
        <v>152</v>
      </c>
      <c r="M4" s="6">
        <v>8</v>
      </c>
      <c r="N4">
        <f t="shared" ref="N4:N10" si="2">(B4*((L4/2)^2))-(B4*(((L4-(2*M4))/2)^2))</f>
        <v>3619.1147369354403</v>
      </c>
      <c r="O4">
        <f t="shared" ref="O4:O10" si="3">(B4*((J4/2)^2))-(B4*(((J4-(2*K4))/2)^2))</f>
        <v>3619.1147369354403</v>
      </c>
      <c r="P4">
        <f t="shared" ref="P4:P10" si="4">((B4*L4*L4*L4*L4)/64)*(1-(((L4-2*M4)/L4)^4))</f>
        <v>9409698.316032147</v>
      </c>
      <c r="Q4">
        <f t="shared" ref="Q4:Q10" si="5">((B4*J4*J4*J4*J4)/64)*(1-(((J4-2*K4)/J4)^4))</f>
        <v>9409698.316032147</v>
      </c>
      <c r="R4">
        <f>((B4/32)*((J4*J4*J4*J4)-(J4-2*K4)*(J4-2*K4)*(J4-2*K4)*(J4-2*K4)))</f>
        <v>18819396.632064298</v>
      </c>
      <c r="S4" s="1">
        <f>1/(((E4*E4)/(24*C4*P4))+((E4*I4)/(12*C4*Q4))+((2*E4)/(I4*O4*D4)))</f>
        <v>17562193.643717885</v>
      </c>
      <c r="T4" s="2">
        <f>2*S4</f>
        <v>35124387.28743577</v>
      </c>
      <c r="U4" s="2">
        <f>1/(((E4*E4)/(24*C4*P4))+((E4*G4)/(12*C4*Q4))+((2*E4)/(G4*O4*D4)))</f>
        <v>17562193.643717885</v>
      </c>
      <c r="V4" s="2">
        <f>2*U4</f>
        <v>35124387.28743577</v>
      </c>
      <c r="W4" s="2">
        <f>2*(F15*F15*U15)+2*(H15*H15*S15)+4*D4*R4</f>
        <v>10354849497399.08</v>
      </c>
      <c r="X4" s="2">
        <f t="shared" ref="X4:X10" si="6">C4*N4*G4*G4+4*C4*P4</f>
        <v>194138000364585.66</v>
      </c>
      <c r="Y4" s="6">
        <v>55173.424700000003</v>
      </c>
      <c r="Z4" s="7">
        <v>36250</v>
      </c>
      <c r="AA4" s="6">
        <v>87.205637949999996</v>
      </c>
      <c r="AB4">
        <f t="shared" ref="AB4:AB10" si="7">(AA4*B4)/180</f>
        <v>1.5220255085296179</v>
      </c>
      <c r="AC4" s="2">
        <f t="shared" ref="AC4:AC10" si="8">X4/W4</f>
        <v>18.748510097935178</v>
      </c>
      <c r="AD4" s="2">
        <f t="shared" ref="AD4:AD10" si="9">(B4*B4*X4)/(Y4*Y4)</f>
        <v>629434.31128742744</v>
      </c>
      <c r="AE4" s="2">
        <f t="shared" ref="AE4:AE10" si="10">(AD4*(1-(AB4/B4)*(AB4/B4))*(1-(AB4/B4)*(AB4/B4)))/(1+AC4*(AB4/B4)*(AB4/B4))</f>
        <v>68258.010297460554</v>
      </c>
      <c r="AF4" s="2">
        <f t="shared" ref="AF4:AF10" si="11">AE4/(1+(AE4/V4))</f>
        <v>68125.620250325665</v>
      </c>
      <c r="AG4" s="2">
        <f t="shared" ref="AG4:AG10" si="12">AE4/Z4</f>
        <v>1.882979594412705</v>
      </c>
      <c r="AH4" s="10">
        <f>AF4/Z4</f>
        <v>1.8793274551813977</v>
      </c>
      <c r="AJ4" s="11">
        <f>(AG4-AG15)/AG15</f>
        <v>1.1069053413305752</v>
      </c>
      <c r="AK4" s="11">
        <f>(AH4-AH15)/AH15</f>
        <v>1.1047584394552639</v>
      </c>
      <c r="AM4" s="11">
        <f>SUM(AJ4:AJ10)/7</f>
        <v>0.41672999999290772</v>
      </c>
      <c r="AN4" s="11">
        <f>SUM(AK4:AK10)/7</f>
        <v>0.41448476636453568</v>
      </c>
    </row>
    <row r="5" spans="1:40" x14ac:dyDescent="0.2">
      <c r="A5" t="s">
        <v>55</v>
      </c>
      <c r="B5">
        <f>PI()</f>
        <v>3.1415926535897931</v>
      </c>
      <c r="C5" s="1">
        <v>206000</v>
      </c>
      <c r="D5" s="1">
        <f t="shared" si="0"/>
        <v>79230.769230769234</v>
      </c>
      <c r="E5" s="6">
        <v>1000</v>
      </c>
      <c r="F5" s="6">
        <f t="shared" si="1"/>
        <v>375</v>
      </c>
      <c r="G5" s="6">
        <v>750</v>
      </c>
      <c r="H5" s="6">
        <f t="shared" si="1"/>
        <v>375</v>
      </c>
      <c r="I5" s="6">
        <v>750</v>
      </c>
      <c r="J5" s="6">
        <v>152</v>
      </c>
      <c r="K5" s="6">
        <v>8</v>
      </c>
      <c r="L5" s="6">
        <v>152</v>
      </c>
      <c r="M5" s="6">
        <v>8</v>
      </c>
      <c r="N5">
        <f t="shared" si="2"/>
        <v>3619.1147369354403</v>
      </c>
      <c r="O5">
        <f t="shared" si="3"/>
        <v>3619.1147369354403</v>
      </c>
      <c r="P5">
        <f t="shared" si="4"/>
        <v>9409698.316032147</v>
      </c>
      <c r="Q5">
        <f t="shared" si="5"/>
        <v>9409698.316032147</v>
      </c>
      <c r="R5">
        <f t="shared" ref="R5:R10" si="13">((B5/32)*((J5*J5*J5*J5)-(J5-2*K5)*(J5-2*K5)*(J5-2*K5)*(J5-2*K5)))</f>
        <v>18819396.632064298</v>
      </c>
      <c r="S5" s="1">
        <f t="shared" ref="S5:S10" si="14">1/(((E5*E5)/(24*C5*P5))+((E5*I5)/(12*C5*Q5))+((2*E5)/(I5*O5*D5)))</f>
        <v>15863368.321533816</v>
      </c>
      <c r="T5" s="2">
        <f t="shared" ref="T5:T10" si="15">2*S5</f>
        <v>31726736.643067632</v>
      </c>
      <c r="U5" s="2">
        <f t="shared" ref="U5:U10" si="16">1/(((E5*E5)/(24*C5*P5))+((E5*G5)/(12*C5*Q5))+((2*E5)/(G5*O5*D5)))</f>
        <v>15863368.321533816</v>
      </c>
      <c r="V5" s="2">
        <f t="shared" ref="V5:V10" si="17">2*U5</f>
        <v>31726736.643067632</v>
      </c>
      <c r="W5" s="2">
        <f t="shared" ref="W5:W10" si="18">2*(F16*F16*U16)+2*(H16*H16*S16)+4*D5*R5</f>
        <v>14887445767332.379</v>
      </c>
      <c r="X5" s="2">
        <f t="shared" si="6"/>
        <v>427118511554804.63</v>
      </c>
      <c r="Y5" s="6">
        <v>55173.424700000003</v>
      </c>
      <c r="Z5" s="7">
        <v>36250</v>
      </c>
      <c r="AA5" s="6">
        <v>87.205637949999996</v>
      </c>
      <c r="AB5">
        <f t="shared" si="7"/>
        <v>1.5220255085296179</v>
      </c>
      <c r="AC5" s="2">
        <f t="shared" si="8"/>
        <v>28.689845002964418</v>
      </c>
      <c r="AD5" s="2">
        <f t="shared" si="9"/>
        <v>1384803.8284814407</v>
      </c>
      <c r="AE5" s="2">
        <f t="shared" si="10"/>
        <v>104864.66495590669</v>
      </c>
      <c r="AF5" s="2">
        <f t="shared" si="11"/>
        <v>104519.20329188595</v>
      </c>
      <c r="AG5" s="2">
        <f t="shared" si="12"/>
        <v>2.8928183436112191</v>
      </c>
      <c r="AH5" s="8">
        <f t="shared" ref="AH5:AH10" si="19">AF5/Z5</f>
        <v>2.8832883666727156</v>
      </c>
      <c r="AJ5" s="11">
        <f t="shared" ref="AJ5:AK10" si="20">(AG5-AG16)/AG16</f>
        <v>0.58198322413686709</v>
      </c>
      <c r="AK5" s="11">
        <f t="shared" si="20"/>
        <v>0.58006596351216544</v>
      </c>
    </row>
    <row r="6" spans="1:40" x14ac:dyDescent="0.2">
      <c r="A6" t="s">
        <v>56</v>
      </c>
      <c r="B6">
        <f>PI()</f>
        <v>3.1415926535897931</v>
      </c>
      <c r="C6" s="1">
        <v>206000</v>
      </c>
      <c r="D6" s="1">
        <f t="shared" si="0"/>
        <v>79230.769230769234</v>
      </c>
      <c r="E6" s="6">
        <v>1000</v>
      </c>
      <c r="F6" s="6">
        <f t="shared" si="1"/>
        <v>500</v>
      </c>
      <c r="G6" s="6">
        <v>1000</v>
      </c>
      <c r="H6" s="6">
        <f t="shared" si="1"/>
        <v>500</v>
      </c>
      <c r="I6" s="6">
        <v>1000</v>
      </c>
      <c r="J6" s="6">
        <v>152</v>
      </c>
      <c r="K6" s="6">
        <v>8</v>
      </c>
      <c r="L6" s="6">
        <v>152</v>
      </c>
      <c r="M6" s="6">
        <v>8</v>
      </c>
      <c r="N6">
        <f t="shared" si="2"/>
        <v>3619.1147369354403</v>
      </c>
      <c r="O6">
        <f t="shared" si="3"/>
        <v>3619.1147369354403</v>
      </c>
      <c r="P6">
        <f t="shared" si="4"/>
        <v>9409698.316032147</v>
      </c>
      <c r="Q6">
        <f t="shared" si="5"/>
        <v>9409698.316032147</v>
      </c>
      <c r="R6">
        <f t="shared" si="13"/>
        <v>18819396.632064298</v>
      </c>
      <c r="S6" s="1">
        <v>13993631.627942696</v>
      </c>
      <c r="T6" s="2">
        <f t="shared" si="15"/>
        <v>27987263.255885392</v>
      </c>
      <c r="U6" s="2">
        <f t="shared" si="16"/>
        <v>13993631.627942696</v>
      </c>
      <c r="V6" s="2">
        <f t="shared" si="17"/>
        <v>27987263.255885392</v>
      </c>
      <c r="W6" s="2">
        <f t="shared" si="18"/>
        <v>19957932714412.305</v>
      </c>
      <c r="X6" s="2">
        <f t="shared" si="6"/>
        <v>753291227221111.13</v>
      </c>
      <c r="Y6" s="6">
        <v>55173.424700000003</v>
      </c>
      <c r="Z6" s="7">
        <v>36250</v>
      </c>
      <c r="AA6" s="6">
        <v>87.205637949999996</v>
      </c>
      <c r="AB6">
        <f t="shared" si="7"/>
        <v>1.5220255085296179</v>
      </c>
      <c r="AC6" s="2">
        <f t="shared" si="8"/>
        <v>37.743950638591635</v>
      </c>
      <c r="AD6" s="2">
        <f t="shared" si="9"/>
        <v>2442321.1525530592</v>
      </c>
      <c r="AE6" s="2">
        <f t="shared" si="10"/>
        <v>145080.22330976743</v>
      </c>
      <c r="AF6" s="2">
        <f t="shared" si="11"/>
        <v>144332.03568682101</v>
      </c>
      <c r="AG6" s="2">
        <f t="shared" si="12"/>
        <v>4.0022130568211702</v>
      </c>
      <c r="AH6" s="8">
        <f t="shared" si="19"/>
        <v>3.9815733982571313</v>
      </c>
      <c r="AJ6" s="11">
        <f t="shared" si="20"/>
        <v>0.38298489329847513</v>
      </c>
      <c r="AK6" s="11">
        <f t="shared" si="20"/>
        <v>0.38100981667945494</v>
      </c>
    </row>
    <row r="7" spans="1:40" x14ac:dyDescent="0.2">
      <c r="A7" t="s">
        <v>57</v>
      </c>
      <c r="B7">
        <f>PI()</f>
        <v>3.1415926535897931</v>
      </c>
      <c r="C7" s="1">
        <v>206000</v>
      </c>
      <c r="D7" s="1">
        <f t="shared" si="0"/>
        <v>79230.769230769234</v>
      </c>
      <c r="E7" s="6">
        <v>1000</v>
      </c>
      <c r="F7" s="6">
        <f t="shared" si="1"/>
        <v>625</v>
      </c>
      <c r="G7" s="6">
        <v>1250</v>
      </c>
      <c r="H7" s="6">
        <f t="shared" si="1"/>
        <v>625</v>
      </c>
      <c r="I7" s="6">
        <v>1250</v>
      </c>
      <c r="J7" s="6">
        <v>152</v>
      </c>
      <c r="K7" s="6">
        <v>8</v>
      </c>
      <c r="L7" s="6">
        <v>152</v>
      </c>
      <c r="M7" s="6">
        <v>8</v>
      </c>
      <c r="N7">
        <f t="shared" si="2"/>
        <v>3619.1147369354403</v>
      </c>
      <c r="O7">
        <f t="shared" si="3"/>
        <v>3619.1147369354403</v>
      </c>
      <c r="P7">
        <f t="shared" si="4"/>
        <v>9409698.316032147</v>
      </c>
      <c r="Q7">
        <f t="shared" si="5"/>
        <v>9409698.316032147</v>
      </c>
      <c r="R7">
        <f t="shared" si="13"/>
        <v>18819396.632064298</v>
      </c>
      <c r="S7" s="1">
        <f t="shared" si="14"/>
        <v>12374121.305565437</v>
      </c>
      <c r="T7" s="2">
        <f t="shared" si="15"/>
        <v>24748242.611130875</v>
      </c>
      <c r="U7" s="2">
        <f t="shared" si="16"/>
        <v>12374121.305565437</v>
      </c>
      <c r="V7" s="2">
        <f t="shared" si="17"/>
        <v>24748242.611130875</v>
      </c>
      <c r="W7" s="2">
        <f t="shared" si="18"/>
        <v>25298865626415.605</v>
      </c>
      <c r="X7" s="2">
        <f t="shared" si="6"/>
        <v>1172656147363505.3</v>
      </c>
      <c r="Y7" s="6">
        <v>55173.424700000003</v>
      </c>
      <c r="Z7" s="7">
        <v>36250</v>
      </c>
      <c r="AA7" s="6">
        <v>87.205637949999996</v>
      </c>
      <c r="AB7">
        <f t="shared" si="7"/>
        <v>1.5220255085296179</v>
      </c>
      <c r="AC7" s="2">
        <f t="shared" si="8"/>
        <v>46.352123635894799</v>
      </c>
      <c r="AD7" s="2">
        <f t="shared" si="9"/>
        <v>3801986.283502283</v>
      </c>
      <c r="AE7" s="2">
        <f t="shared" si="10"/>
        <v>187435.72390381261</v>
      </c>
      <c r="AF7" s="2">
        <f t="shared" si="11"/>
        <v>186026.81294003964</v>
      </c>
      <c r="AG7" s="2">
        <f t="shared" si="12"/>
        <v>5.1706406594155201</v>
      </c>
      <c r="AH7" s="8">
        <f t="shared" si="19"/>
        <v>5.1317741500700595</v>
      </c>
      <c r="AJ7" s="11">
        <f t="shared" si="20"/>
        <v>0.28251163856641764</v>
      </c>
      <c r="AK7" s="11">
        <f t="shared" si="20"/>
        <v>0.2803880639527867</v>
      </c>
    </row>
    <row r="8" spans="1:40" x14ac:dyDescent="0.2">
      <c r="A8" t="s">
        <v>58</v>
      </c>
      <c r="B8">
        <f>PI()</f>
        <v>3.1415926535897931</v>
      </c>
      <c r="C8" s="1">
        <v>206000</v>
      </c>
      <c r="D8" s="1">
        <f t="shared" si="0"/>
        <v>79230.769230769234</v>
      </c>
      <c r="E8" s="6">
        <v>1000</v>
      </c>
      <c r="F8" s="6">
        <f t="shared" si="1"/>
        <v>750</v>
      </c>
      <c r="G8" s="6">
        <v>1500</v>
      </c>
      <c r="H8" s="6">
        <f t="shared" si="1"/>
        <v>750</v>
      </c>
      <c r="I8" s="6">
        <v>1500</v>
      </c>
      <c r="J8" s="6">
        <v>152</v>
      </c>
      <c r="K8" s="6">
        <v>8</v>
      </c>
      <c r="L8" s="6">
        <v>152</v>
      </c>
      <c r="M8" s="6">
        <v>8</v>
      </c>
      <c r="N8">
        <f t="shared" si="2"/>
        <v>3619.1147369354403</v>
      </c>
      <c r="O8">
        <f t="shared" si="3"/>
        <v>3619.1147369354403</v>
      </c>
      <c r="P8">
        <f t="shared" si="4"/>
        <v>9409698.316032147</v>
      </c>
      <c r="Q8">
        <f t="shared" si="5"/>
        <v>9409698.316032147</v>
      </c>
      <c r="R8">
        <f t="shared" si="13"/>
        <v>18819396.632064298</v>
      </c>
      <c r="S8" s="1">
        <f t="shared" si="14"/>
        <v>11033685.411558641</v>
      </c>
      <c r="T8" s="2">
        <f t="shared" si="15"/>
        <v>22067370.823117282</v>
      </c>
      <c r="U8" s="2">
        <f t="shared" si="16"/>
        <v>11033685.411558641</v>
      </c>
      <c r="V8" s="2">
        <f t="shared" si="17"/>
        <v>22067370.823117282</v>
      </c>
      <c r="W8" s="2">
        <f t="shared" si="18"/>
        <v>30790093262476.551</v>
      </c>
      <c r="X8" s="2">
        <f t="shared" si="6"/>
        <v>1685213271981987</v>
      </c>
      <c r="Y8" s="6">
        <v>55173.424700000003</v>
      </c>
      <c r="Z8" s="7">
        <v>36250</v>
      </c>
      <c r="AA8" s="6">
        <v>87.205637949999996</v>
      </c>
      <c r="AB8">
        <f t="shared" si="7"/>
        <v>1.5220255085296179</v>
      </c>
      <c r="AC8" s="2">
        <f t="shared" si="8"/>
        <v>54.732321127319629</v>
      </c>
      <c r="AD8" s="2">
        <f t="shared" si="9"/>
        <v>5463799.2213291125</v>
      </c>
      <c r="AE8" s="2">
        <f t="shared" si="10"/>
        <v>231097.998090854</v>
      </c>
      <c r="AF8" s="2">
        <f t="shared" si="11"/>
        <v>228702.93297899282</v>
      </c>
      <c r="AG8" s="2">
        <f t="shared" si="12"/>
        <v>6.3751171887132134</v>
      </c>
      <c r="AH8" s="8">
        <f t="shared" si="19"/>
        <v>6.3090464270066979</v>
      </c>
      <c r="AJ8" s="11">
        <f t="shared" si="20"/>
        <v>0.22289559370372233</v>
      </c>
      <c r="AK8" s="11">
        <f t="shared" si="20"/>
        <v>0.22058553708498213</v>
      </c>
    </row>
    <row r="9" spans="1:40" x14ac:dyDescent="0.2">
      <c r="A9" t="s">
        <v>59</v>
      </c>
      <c r="B9">
        <f>PI()</f>
        <v>3.1415926535897931</v>
      </c>
      <c r="C9" s="1">
        <v>206000</v>
      </c>
      <c r="D9" s="1">
        <f t="shared" si="0"/>
        <v>79230.769230769234</v>
      </c>
      <c r="E9" s="6">
        <v>1000</v>
      </c>
      <c r="F9" s="6">
        <f t="shared" si="1"/>
        <v>875</v>
      </c>
      <c r="G9" s="6">
        <v>1750</v>
      </c>
      <c r="H9" s="6">
        <f t="shared" si="1"/>
        <v>875</v>
      </c>
      <c r="I9" s="6">
        <v>1750</v>
      </c>
      <c r="J9" s="6">
        <v>152</v>
      </c>
      <c r="K9" s="6">
        <v>8</v>
      </c>
      <c r="L9" s="6">
        <v>152</v>
      </c>
      <c r="M9" s="6">
        <v>8</v>
      </c>
      <c r="N9">
        <f t="shared" si="2"/>
        <v>3619.1147369354403</v>
      </c>
      <c r="O9">
        <f t="shared" si="3"/>
        <v>3619.1147369354403</v>
      </c>
      <c r="P9">
        <f t="shared" si="4"/>
        <v>9409698.316032147</v>
      </c>
      <c r="Q9">
        <f t="shared" si="5"/>
        <v>9409698.316032147</v>
      </c>
      <c r="R9">
        <f t="shared" si="13"/>
        <v>18819396.632064298</v>
      </c>
      <c r="S9" s="1">
        <f t="shared" si="14"/>
        <v>9929008.8920651246</v>
      </c>
      <c r="T9" s="2">
        <f t="shared" si="15"/>
        <v>19858017.784130249</v>
      </c>
      <c r="U9" s="2">
        <f t="shared" si="16"/>
        <v>9929008.8920651246</v>
      </c>
      <c r="V9" s="2">
        <f t="shared" si="17"/>
        <v>19858017.784130249</v>
      </c>
      <c r="W9" s="2">
        <f t="shared" si="18"/>
        <v>36371890818419.055</v>
      </c>
      <c r="X9" s="2">
        <f t="shared" si="6"/>
        <v>2290962601076556</v>
      </c>
      <c r="Y9" s="6">
        <v>55173.424700000003</v>
      </c>
      <c r="Z9" s="7">
        <v>36250</v>
      </c>
      <c r="AA9" s="6">
        <v>87.205637949999996</v>
      </c>
      <c r="AB9">
        <f t="shared" si="7"/>
        <v>1.5220255085296179</v>
      </c>
      <c r="AC9" s="2">
        <f t="shared" si="8"/>
        <v>62.987173598255488</v>
      </c>
      <c r="AD9" s="2">
        <f t="shared" si="9"/>
        <v>7427759.9660335463</v>
      </c>
      <c r="AE9" s="2">
        <f t="shared" si="10"/>
        <v>275601.24252220098</v>
      </c>
      <c r="AF9" s="2">
        <f t="shared" si="11"/>
        <v>271828.64481985883</v>
      </c>
      <c r="AG9" s="2">
        <f t="shared" si="12"/>
        <v>7.6027928971641652</v>
      </c>
      <c r="AH9" s="8">
        <f t="shared" si="19"/>
        <v>7.4987212364098985</v>
      </c>
      <c r="AJ9" s="11">
        <f t="shared" si="20"/>
        <v>0.1837184256630281</v>
      </c>
      <c r="AK9" s="11">
        <f t="shared" si="20"/>
        <v>0.18120357593233982</v>
      </c>
    </row>
    <row r="10" spans="1:40" x14ac:dyDescent="0.2">
      <c r="A10" t="s">
        <v>60</v>
      </c>
      <c r="B10">
        <f>PI()</f>
        <v>3.1415926535897931</v>
      </c>
      <c r="C10" s="1">
        <v>206000</v>
      </c>
      <c r="D10" s="1">
        <f t="shared" si="0"/>
        <v>79230.769230769234</v>
      </c>
      <c r="E10" s="6">
        <v>1000</v>
      </c>
      <c r="F10" s="6">
        <f t="shared" si="1"/>
        <v>1000</v>
      </c>
      <c r="G10" s="6">
        <v>2000</v>
      </c>
      <c r="H10" s="6">
        <f t="shared" si="1"/>
        <v>1000</v>
      </c>
      <c r="I10" s="6">
        <v>2000</v>
      </c>
      <c r="J10" s="6">
        <v>152</v>
      </c>
      <c r="K10" s="6">
        <v>8</v>
      </c>
      <c r="L10" s="6">
        <v>152</v>
      </c>
      <c r="M10" s="6">
        <v>8</v>
      </c>
      <c r="N10">
        <f t="shared" si="2"/>
        <v>3619.1147369354403</v>
      </c>
      <c r="O10">
        <f t="shared" si="3"/>
        <v>3619.1147369354403</v>
      </c>
      <c r="P10">
        <f t="shared" si="4"/>
        <v>9409698.316032147</v>
      </c>
      <c r="Q10">
        <f t="shared" si="5"/>
        <v>9409698.316032147</v>
      </c>
      <c r="R10">
        <f t="shared" si="13"/>
        <v>18819396.632064298</v>
      </c>
      <c r="S10" s="1">
        <f t="shared" si="14"/>
        <v>9011891.8288306892</v>
      </c>
      <c r="T10" s="2">
        <f t="shared" si="15"/>
        <v>18023783.657661378</v>
      </c>
      <c r="U10" s="2">
        <f t="shared" si="16"/>
        <v>9011891.8288306892</v>
      </c>
      <c r="V10" s="2">
        <f t="shared" si="17"/>
        <v>18023783.657661378</v>
      </c>
      <c r="W10" s="2">
        <f t="shared" si="18"/>
        <v>42011868401792.367</v>
      </c>
      <c r="X10" s="2">
        <f t="shared" si="6"/>
        <v>2989904134647213</v>
      </c>
      <c r="Y10" s="6">
        <v>55173.424700000003</v>
      </c>
      <c r="Z10" s="7">
        <v>36250</v>
      </c>
      <c r="AA10" s="6">
        <v>87.205637949999996</v>
      </c>
      <c r="AB10">
        <f t="shared" si="7"/>
        <v>1.5220255085296179</v>
      </c>
      <c r="AC10" s="2">
        <f t="shared" si="8"/>
        <v>71.168082934384643</v>
      </c>
      <c r="AD10" s="2">
        <f t="shared" si="9"/>
        <v>9693868.5176155865</v>
      </c>
      <c r="AE10" s="2">
        <f t="shared" si="10"/>
        <v>320672.50112349092</v>
      </c>
      <c r="AF10" s="2">
        <f t="shared" si="11"/>
        <v>315066.94639421912</v>
      </c>
      <c r="AG10" s="2">
        <f t="shared" si="12"/>
        <v>8.8461379620273348</v>
      </c>
      <c r="AH10" s="8">
        <f t="shared" si="19"/>
        <v>8.6915019694957003</v>
      </c>
      <c r="AJ10" s="11">
        <f t="shared" si="20"/>
        <v>0.15611088325126854</v>
      </c>
      <c r="AK10" s="11">
        <f t="shared" si="20"/>
        <v>0.15338196793475725</v>
      </c>
    </row>
    <row r="12" spans="1:40" ht="30" x14ac:dyDescent="0.4">
      <c r="B12" s="4" t="s">
        <v>20</v>
      </c>
      <c r="D12" s="1"/>
    </row>
    <row r="14" spans="1:40" x14ac:dyDescent="0.2">
      <c r="B14" t="s">
        <v>3</v>
      </c>
      <c r="C14" t="s">
        <v>11</v>
      </c>
      <c r="D14" t="s">
        <v>18</v>
      </c>
      <c r="E14" t="s">
        <v>7</v>
      </c>
      <c r="F14" t="s">
        <v>65</v>
      </c>
      <c r="G14" t="s">
        <v>4</v>
      </c>
      <c r="H14" t="s">
        <v>66</v>
      </c>
      <c r="I14" t="s">
        <v>5</v>
      </c>
      <c r="J14" t="s">
        <v>8</v>
      </c>
      <c r="K14" t="s">
        <v>9</v>
      </c>
      <c r="L14" t="s">
        <v>0</v>
      </c>
      <c r="M14" t="s">
        <v>1</v>
      </c>
      <c r="N14" t="s">
        <v>2</v>
      </c>
      <c r="O14" t="s">
        <v>15</v>
      </c>
      <c r="P14" t="s">
        <v>6</v>
      </c>
      <c r="Q14" t="s">
        <v>10</v>
      </c>
      <c r="R14" t="s">
        <v>16</v>
      </c>
      <c r="S14" t="s">
        <v>63</v>
      </c>
      <c r="T14" t="s">
        <v>64</v>
      </c>
      <c r="U14" t="s">
        <v>61</v>
      </c>
      <c r="V14" t="s">
        <v>62</v>
      </c>
      <c r="W14" t="s">
        <v>14</v>
      </c>
      <c r="X14" t="s">
        <v>21</v>
      </c>
      <c r="Y14" t="s">
        <v>19</v>
      </c>
      <c r="Z14" t="s">
        <v>22</v>
      </c>
      <c r="AA14" t="s">
        <v>23</v>
      </c>
      <c r="AB14" t="s">
        <v>31</v>
      </c>
      <c r="AC14" s="5" t="s">
        <v>24</v>
      </c>
      <c r="AD14" s="5" t="s">
        <v>25</v>
      </c>
      <c r="AE14" s="5" t="s">
        <v>26</v>
      </c>
      <c r="AF14" s="5" t="s">
        <v>27</v>
      </c>
      <c r="AG14" s="5" t="s">
        <v>34</v>
      </c>
      <c r="AH14" s="5" t="s">
        <v>33</v>
      </c>
    </row>
    <row r="15" spans="1:40" x14ac:dyDescent="0.2">
      <c r="A15" t="s">
        <v>54</v>
      </c>
      <c r="B15">
        <f>PI()</f>
        <v>3.1415926535897931</v>
      </c>
      <c r="C15" s="1">
        <v>206000</v>
      </c>
      <c r="D15" s="1">
        <f t="shared" ref="D15:D21" si="21">C15/2.6</f>
        <v>79230.769230769234</v>
      </c>
      <c r="E15" s="6">
        <v>1000</v>
      </c>
      <c r="F15" s="6">
        <f t="shared" ref="F15:F21" si="22">G15/2</f>
        <v>250</v>
      </c>
      <c r="G15" s="6">
        <v>500</v>
      </c>
      <c r="H15" s="6">
        <f t="shared" ref="H15:H21" si="23">I15/2</f>
        <v>250</v>
      </c>
      <c r="I15" s="6">
        <v>500</v>
      </c>
      <c r="J15" s="6">
        <v>152</v>
      </c>
      <c r="K15" s="6">
        <v>8</v>
      </c>
      <c r="L15" s="6">
        <v>152</v>
      </c>
      <c r="M15" s="6">
        <v>8</v>
      </c>
      <c r="N15">
        <f t="shared" ref="N15:N21" si="24">(B15*((L15/2)^2))-(B15*(((L15-(2*M15))/2)^2))</f>
        <v>3619.1147369354403</v>
      </c>
      <c r="O15">
        <f t="shared" ref="O15:O21" si="25">(B15*((J15/2)^2))-(B15*(((J15-(2*K15))/2)^2))</f>
        <v>3619.1147369354403</v>
      </c>
      <c r="P15">
        <f t="shared" ref="P15:P21" si="26">((B15*L15*L15*L15*L15)/64)*(1-(((L15-2*M15)/L15)^4))</f>
        <v>9409698.316032147</v>
      </c>
      <c r="Q15">
        <f t="shared" ref="Q15:Q21" si="27">((B15*J15*J15*J15*J15)/64)*(1-(((J15-2*K15)/J15)^4))</f>
        <v>9409698.316032147</v>
      </c>
      <c r="R15">
        <f t="shared" ref="R15:R21" si="28">((B15/32)*((J15*J15*J15*J15)-(J15-2*K15)*(J15-2*K15)*(J15-2*K15)*(J15-2*K15)))</f>
        <v>18819396.632064298</v>
      </c>
      <c r="S15" s="1">
        <f>1/(((E15*E15)/(24*C15*P15))+((E15*I15)/(12*C15*Q15))+((2*E15)/(I15*O15*D15)))</f>
        <v>17562193.643717885</v>
      </c>
      <c r="T15" s="2">
        <f>2*S15</f>
        <v>35124387.28743577</v>
      </c>
      <c r="U15" s="2">
        <f>1/(((E15*E15)/(24*C15*P15))+((E15*G15)/(12*C15*Q15))+((2*E15)/(G15*O15*D15)))</f>
        <v>17562193.643717885</v>
      </c>
      <c r="V15" s="2">
        <f>2*U15</f>
        <v>35124387.28743577</v>
      </c>
      <c r="W15" s="2">
        <f>2*(F15*F15*U15)+2*(H15*H15*S15)</f>
        <v>4390548410929.4712</v>
      </c>
      <c r="X15" s="2">
        <f t="shared" ref="X15:X21" si="29">C15*N15*G15*G15+4*C15*P15</f>
        <v>194138000364585.66</v>
      </c>
      <c r="Y15" s="6">
        <v>55173.424700000003</v>
      </c>
      <c r="Z15" s="7">
        <v>36250</v>
      </c>
      <c r="AA15" s="6">
        <v>87.205637949999996</v>
      </c>
      <c r="AB15">
        <f t="shared" ref="AB15:AB21" si="30">(AA15*B15)/180</f>
        <v>1.5220255085296179</v>
      </c>
      <c r="AC15" s="2">
        <f t="shared" ref="AC15:AC21" si="31">X15/W15</f>
        <v>44.217255384615378</v>
      </c>
      <c r="AD15" s="2">
        <f t="shared" ref="AD15:AD21" si="32">(B15*B15*X15)/(Y15*Y15)</f>
        <v>629434.31128742744</v>
      </c>
      <c r="AE15" s="2">
        <f t="shared" ref="AE15:AE21" si="33">(AD15*(1-(AB15/B15)*(AB15/B15))*(1-(AB15/B15)*(AB15/B15)))/(1+AC15*(AB15/B15)*(AB15/B15))</f>
        <v>32397.283806947653</v>
      </c>
      <c r="AF15" s="2">
        <f t="shared" ref="AF15:AF21" si="34">AE15/(1+(AE15/V15))</f>
        <v>32367.429427178053</v>
      </c>
      <c r="AG15" s="2">
        <f t="shared" ref="AG15:AG21" si="35">AE15/Z15</f>
        <v>0.89371817398476283</v>
      </c>
      <c r="AH15" s="10">
        <f>AF15/Z15</f>
        <v>0.89289460488767047</v>
      </c>
    </row>
    <row r="16" spans="1:40" x14ac:dyDescent="0.2">
      <c r="A16" t="s">
        <v>55</v>
      </c>
      <c r="B16">
        <f>PI()</f>
        <v>3.1415926535897931</v>
      </c>
      <c r="C16" s="1">
        <v>206000</v>
      </c>
      <c r="D16" s="1">
        <f t="shared" si="21"/>
        <v>79230.769230769234</v>
      </c>
      <c r="E16" s="6">
        <v>1000</v>
      </c>
      <c r="F16" s="6">
        <f t="shared" si="22"/>
        <v>375</v>
      </c>
      <c r="G16" s="6">
        <v>750</v>
      </c>
      <c r="H16" s="6">
        <f t="shared" si="23"/>
        <v>375</v>
      </c>
      <c r="I16" s="6">
        <v>750</v>
      </c>
      <c r="J16" s="6">
        <v>152</v>
      </c>
      <c r="K16" s="6">
        <v>8</v>
      </c>
      <c r="L16" s="6">
        <v>152</v>
      </c>
      <c r="M16" s="6">
        <v>8</v>
      </c>
      <c r="N16">
        <f t="shared" si="24"/>
        <v>3619.1147369354403</v>
      </c>
      <c r="O16">
        <f t="shared" si="25"/>
        <v>3619.1147369354403</v>
      </c>
      <c r="P16">
        <f t="shared" si="26"/>
        <v>9409698.316032147</v>
      </c>
      <c r="Q16">
        <f t="shared" si="27"/>
        <v>9409698.316032147</v>
      </c>
      <c r="R16">
        <f t="shared" si="28"/>
        <v>18819396.632064298</v>
      </c>
      <c r="S16" s="1">
        <f t="shared" ref="S16" si="36">1/(((E16*E16)/(24*C16*P16))+((E16*I16)/(12*C16*Q16))+((2*E16)/(I16*O16*D16)))</f>
        <v>15863368.321533816</v>
      </c>
      <c r="T16" s="2">
        <f t="shared" ref="T16:T21" si="37">2*S16</f>
        <v>31726736.643067632</v>
      </c>
      <c r="U16" s="2">
        <f t="shared" ref="U16:U21" si="38">1/(((E16*E16)/(24*C16*P16))+((E16*G16)/(12*C16*Q16))+((2*E16)/(G16*O16*D16)))</f>
        <v>15863368.321533816</v>
      </c>
      <c r="V16" s="2">
        <f t="shared" ref="V16:V21" si="39">2*U16</f>
        <v>31726736.643067632</v>
      </c>
      <c r="W16" s="2">
        <f t="shared" ref="W16:W21" si="40">2*(F16*F16*U16)+2*(H16*H16*S16)</f>
        <v>8923144680862.7715</v>
      </c>
      <c r="X16" s="2">
        <f t="shared" si="29"/>
        <v>427118511554804.63</v>
      </c>
      <c r="Y16" s="6">
        <v>55173.424700000003</v>
      </c>
      <c r="Z16" s="7">
        <v>36250</v>
      </c>
      <c r="AA16" s="6">
        <v>87.205637949999996</v>
      </c>
      <c r="AB16">
        <f t="shared" si="30"/>
        <v>1.5220255085296179</v>
      </c>
      <c r="AC16" s="2">
        <f t="shared" si="31"/>
        <v>47.866366267806264</v>
      </c>
      <c r="AD16" s="2">
        <f t="shared" si="32"/>
        <v>1384803.8284814407</v>
      </c>
      <c r="AE16" s="2">
        <f t="shared" si="33"/>
        <v>66286.837531492187</v>
      </c>
      <c r="AF16" s="2">
        <f t="shared" si="34"/>
        <v>66148.632845404121</v>
      </c>
      <c r="AG16" s="2">
        <f t="shared" si="35"/>
        <v>1.8286024146618534</v>
      </c>
      <c r="AH16" s="8">
        <f t="shared" ref="AH16:AH21" si="41">AF16/Z16</f>
        <v>1.8247898715973552</v>
      </c>
    </row>
    <row r="17" spans="1:36" x14ac:dyDescent="0.2">
      <c r="A17" t="s">
        <v>56</v>
      </c>
      <c r="B17">
        <f>PI()</f>
        <v>3.1415926535897931</v>
      </c>
      <c r="C17" s="1">
        <v>206000</v>
      </c>
      <c r="D17" s="1">
        <f t="shared" si="21"/>
        <v>79230.769230769234</v>
      </c>
      <c r="E17" s="6">
        <v>1000</v>
      </c>
      <c r="F17" s="6">
        <f t="shared" si="22"/>
        <v>500</v>
      </c>
      <c r="G17" s="6">
        <v>1000</v>
      </c>
      <c r="H17" s="6">
        <f t="shared" si="23"/>
        <v>500</v>
      </c>
      <c r="I17" s="6">
        <v>1000</v>
      </c>
      <c r="J17" s="6">
        <v>152</v>
      </c>
      <c r="K17" s="6">
        <v>8</v>
      </c>
      <c r="L17" s="6">
        <v>152</v>
      </c>
      <c r="M17" s="6">
        <v>8</v>
      </c>
      <c r="N17">
        <f t="shared" si="24"/>
        <v>3619.1147369354403</v>
      </c>
      <c r="O17">
        <f t="shared" si="25"/>
        <v>3619.1147369354403</v>
      </c>
      <c r="P17">
        <f t="shared" si="26"/>
        <v>9409698.316032147</v>
      </c>
      <c r="Q17">
        <f t="shared" si="27"/>
        <v>9409698.316032147</v>
      </c>
      <c r="R17">
        <f t="shared" si="28"/>
        <v>18819396.632064298</v>
      </c>
      <c r="S17" s="1">
        <v>13993631.627942696</v>
      </c>
      <c r="T17" s="2">
        <f t="shared" si="37"/>
        <v>27987263.255885392</v>
      </c>
      <c r="U17" s="2">
        <f t="shared" si="38"/>
        <v>13993631.627942696</v>
      </c>
      <c r="V17" s="2">
        <f t="shared" si="39"/>
        <v>27987263.255885392</v>
      </c>
      <c r="W17" s="2">
        <f t="shared" si="40"/>
        <v>13993631627942.695</v>
      </c>
      <c r="X17" s="2">
        <f t="shared" si="29"/>
        <v>753291227221111.13</v>
      </c>
      <c r="Y17" s="6">
        <v>55173.424700000003</v>
      </c>
      <c r="Z17" s="7">
        <v>36250</v>
      </c>
      <c r="AA17" s="6">
        <v>87.205637949999996</v>
      </c>
      <c r="AB17">
        <f t="shared" si="30"/>
        <v>1.5220255085296179</v>
      </c>
      <c r="AC17" s="2">
        <f t="shared" si="31"/>
        <v>53.831003076923061</v>
      </c>
      <c r="AD17" s="2">
        <f t="shared" si="32"/>
        <v>2442321.1525530592</v>
      </c>
      <c r="AE17" s="2">
        <f t="shared" si="33"/>
        <v>104903.6934624392</v>
      </c>
      <c r="AF17" s="2">
        <f t="shared" si="34"/>
        <v>104511.95490692287</v>
      </c>
      <c r="AG17" s="2">
        <f t="shared" si="35"/>
        <v>2.8938949920672883</v>
      </c>
      <c r="AH17" s="8">
        <f t="shared" si="41"/>
        <v>2.8830884112254584</v>
      </c>
    </row>
    <row r="18" spans="1:36" x14ac:dyDescent="0.2">
      <c r="A18" t="s">
        <v>57</v>
      </c>
      <c r="B18">
        <f>PI()</f>
        <v>3.1415926535897931</v>
      </c>
      <c r="C18" s="1">
        <v>206000</v>
      </c>
      <c r="D18" s="1">
        <f t="shared" si="21"/>
        <v>79230.769230769234</v>
      </c>
      <c r="E18" s="6">
        <v>1000</v>
      </c>
      <c r="F18" s="6">
        <f t="shared" si="22"/>
        <v>625</v>
      </c>
      <c r="G18" s="6">
        <v>1250</v>
      </c>
      <c r="H18" s="6">
        <f t="shared" si="23"/>
        <v>625</v>
      </c>
      <c r="I18" s="6">
        <v>1250</v>
      </c>
      <c r="J18" s="6">
        <v>152</v>
      </c>
      <c r="K18" s="6">
        <v>8</v>
      </c>
      <c r="L18" s="6">
        <v>152</v>
      </c>
      <c r="M18" s="6">
        <v>8</v>
      </c>
      <c r="N18">
        <f t="shared" si="24"/>
        <v>3619.1147369354403</v>
      </c>
      <c r="O18">
        <f t="shared" si="25"/>
        <v>3619.1147369354403</v>
      </c>
      <c r="P18">
        <f t="shared" si="26"/>
        <v>9409698.316032147</v>
      </c>
      <c r="Q18">
        <f t="shared" si="27"/>
        <v>9409698.316032147</v>
      </c>
      <c r="R18">
        <f t="shared" si="28"/>
        <v>18819396.632064298</v>
      </c>
      <c r="S18" s="1">
        <f t="shared" ref="S18:S21" si="42">1/(((E18*E18)/(24*C18*P18))+((E18*I18)/(12*C18*Q18))+((2*E18)/(I18*O18*D18)))</f>
        <v>12374121.305565437</v>
      </c>
      <c r="T18" s="2">
        <f t="shared" si="37"/>
        <v>24748242.611130875</v>
      </c>
      <c r="U18" s="2">
        <f t="shared" si="38"/>
        <v>12374121.305565437</v>
      </c>
      <c r="V18" s="2">
        <f t="shared" si="39"/>
        <v>24748242.611130875</v>
      </c>
      <c r="W18" s="2">
        <f t="shared" si="40"/>
        <v>19334564539945.996</v>
      </c>
      <c r="X18" s="2">
        <f t="shared" si="29"/>
        <v>1172656147363505.3</v>
      </c>
      <c r="Y18" s="6">
        <v>55173.424700000003</v>
      </c>
      <c r="Z18" s="7">
        <v>36250</v>
      </c>
      <c r="AA18" s="6">
        <v>87.205637949999996</v>
      </c>
      <c r="AB18">
        <f t="shared" si="30"/>
        <v>1.5220255085296179</v>
      </c>
      <c r="AC18" s="2">
        <f t="shared" si="31"/>
        <v>60.650765883076907</v>
      </c>
      <c r="AD18" s="2">
        <f t="shared" si="32"/>
        <v>3801986.283502283</v>
      </c>
      <c r="AE18" s="2">
        <f t="shared" si="33"/>
        <v>146147.38632183245</v>
      </c>
      <c r="AF18" s="2">
        <f t="shared" si="34"/>
        <v>145289.39950107131</v>
      </c>
      <c r="AG18" s="2">
        <f t="shared" si="35"/>
        <v>4.0316520364643438</v>
      </c>
      <c r="AH18" s="8">
        <f t="shared" si="41"/>
        <v>4.0079834345123118</v>
      </c>
    </row>
    <row r="19" spans="1:36" x14ac:dyDescent="0.2">
      <c r="A19" t="s">
        <v>58</v>
      </c>
      <c r="B19">
        <f>PI()</f>
        <v>3.1415926535897931</v>
      </c>
      <c r="C19" s="1">
        <v>206000</v>
      </c>
      <c r="D19" s="1">
        <f t="shared" si="21"/>
        <v>79230.769230769234</v>
      </c>
      <c r="E19" s="6">
        <v>1000</v>
      </c>
      <c r="F19" s="6">
        <f t="shared" si="22"/>
        <v>750</v>
      </c>
      <c r="G19" s="6">
        <v>1500</v>
      </c>
      <c r="H19" s="6">
        <f t="shared" si="23"/>
        <v>750</v>
      </c>
      <c r="I19" s="6">
        <v>1500</v>
      </c>
      <c r="J19" s="6">
        <v>152</v>
      </c>
      <c r="K19" s="6">
        <v>8</v>
      </c>
      <c r="L19" s="6">
        <v>152</v>
      </c>
      <c r="M19" s="6">
        <v>8</v>
      </c>
      <c r="N19">
        <f t="shared" si="24"/>
        <v>3619.1147369354403</v>
      </c>
      <c r="O19">
        <f t="shared" si="25"/>
        <v>3619.1147369354403</v>
      </c>
      <c r="P19">
        <f t="shared" si="26"/>
        <v>9409698.316032147</v>
      </c>
      <c r="Q19">
        <f t="shared" si="27"/>
        <v>9409698.316032147</v>
      </c>
      <c r="R19">
        <f t="shared" si="28"/>
        <v>18819396.632064298</v>
      </c>
      <c r="S19" s="1">
        <f t="shared" si="42"/>
        <v>11033685.411558641</v>
      </c>
      <c r="T19" s="2">
        <f t="shared" si="37"/>
        <v>22067370.823117282</v>
      </c>
      <c r="U19" s="2">
        <f t="shared" si="38"/>
        <v>11033685.411558641</v>
      </c>
      <c r="V19" s="2">
        <f t="shared" si="39"/>
        <v>22067370.823117282</v>
      </c>
      <c r="W19" s="2">
        <f t="shared" si="40"/>
        <v>24825792176006.941</v>
      </c>
      <c r="X19" s="2">
        <f t="shared" si="29"/>
        <v>1685213271981987</v>
      </c>
      <c r="Y19" s="6">
        <v>55173.424700000003</v>
      </c>
      <c r="Z19" s="7">
        <v>36250</v>
      </c>
      <c r="AA19" s="6">
        <v>87.205637949999996</v>
      </c>
      <c r="AB19">
        <f t="shared" si="30"/>
        <v>1.5220255085296179</v>
      </c>
      <c r="AC19" s="2">
        <f t="shared" si="31"/>
        <v>67.881550769230756</v>
      </c>
      <c r="AD19" s="2">
        <f t="shared" si="32"/>
        <v>5463799.2213291125</v>
      </c>
      <c r="AE19" s="2">
        <f t="shared" si="33"/>
        <v>188976.06572523425</v>
      </c>
      <c r="AF19" s="2">
        <f t="shared" si="34"/>
        <v>187371.49182119922</v>
      </c>
      <c r="AG19" s="2">
        <f t="shared" si="35"/>
        <v>5.2131328475926688</v>
      </c>
      <c r="AH19" s="8">
        <f t="shared" si="41"/>
        <v>5.1688687398951512</v>
      </c>
    </row>
    <row r="20" spans="1:36" x14ac:dyDescent="0.2">
      <c r="A20" t="s">
        <v>59</v>
      </c>
      <c r="B20">
        <f>PI()</f>
        <v>3.1415926535897931</v>
      </c>
      <c r="C20" s="1">
        <v>206000</v>
      </c>
      <c r="D20" s="1">
        <f t="shared" si="21"/>
        <v>79230.769230769234</v>
      </c>
      <c r="E20" s="6">
        <v>1000</v>
      </c>
      <c r="F20" s="6">
        <f t="shared" si="22"/>
        <v>875</v>
      </c>
      <c r="G20" s="6">
        <v>1750</v>
      </c>
      <c r="H20" s="6">
        <f t="shared" si="23"/>
        <v>875</v>
      </c>
      <c r="I20" s="6">
        <v>1750</v>
      </c>
      <c r="J20" s="6">
        <v>152</v>
      </c>
      <c r="K20" s="6">
        <v>8</v>
      </c>
      <c r="L20" s="6">
        <v>152</v>
      </c>
      <c r="M20" s="6">
        <v>8</v>
      </c>
      <c r="N20">
        <f t="shared" si="24"/>
        <v>3619.1147369354403</v>
      </c>
      <c r="O20">
        <f t="shared" si="25"/>
        <v>3619.1147369354403</v>
      </c>
      <c r="P20">
        <f t="shared" si="26"/>
        <v>9409698.316032147</v>
      </c>
      <c r="Q20">
        <f t="shared" si="27"/>
        <v>9409698.316032147</v>
      </c>
      <c r="R20">
        <f t="shared" si="28"/>
        <v>18819396.632064298</v>
      </c>
      <c r="S20" s="1">
        <f t="shared" si="42"/>
        <v>9929008.8920651246</v>
      </c>
      <c r="T20" s="2">
        <f t="shared" si="37"/>
        <v>19858017.784130249</v>
      </c>
      <c r="U20" s="2">
        <f t="shared" si="38"/>
        <v>9929008.8920651246</v>
      </c>
      <c r="V20" s="2">
        <f t="shared" si="39"/>
        <v>19858017.784130249</v>
      </c>
      <c r="W20" s="2">
        <f t="shared" si="40"/>
        <v>30407589731949.445</v>
      </c>
      <c r="X20" s="2">
        <f t="shared" si="29"/>
        <v>2290962601076556</v>
      </c>
      <c r="Y20" s="6">
        <v>55173.424700000003</v>
      </c>
      <c r="Z20" s="7">
        <v>36250</v>
      </c>
      <c r="AA20" s="6">
        <v>87.205637949999996</v>
      </c>
      <c r="AB20">
        <f t="shared" si="30"/>
        <v>1.5220255085296179</v>
      </c>
      <c r="AC20" s="2">
        <f t="shared" si="31"/>
        <v>75.341801874859783</v>
      </c>
      <c r="AD20" s="2">
        <f t="shared" si="32"/>
        <v>7427759.9660335463</v>
      </c>
      <c r="AE20" s="2">
        <f t="shared" si="33"/>
        <v>232826.68964777698</v>
      </c>
      <c r="AF20" s="2">
        <f t="shared" si="34"/>
        <v>230128.53191313855</v>
      </c>
      <c r="AG20" s="2">
        <f t="shared" si="35"/>
        <v>6.4228052316628128</v>
      </c>
      <c r="AH20" s="8">
        <f t="shared" si="41"/>
        <v>6.3483732941555457</v>
      </c>
    </row>
    <row r="21" spans="1:36" x14ac:dyDescent="0.2">
      <c r="A21" t="s">
        <v>60</v>
      </c>
      <c r="B21">
        <f>PI()</f>
        <v>3.1415926535897931</v>
      </c>
      <c r="C21" s="1">
        <v>206000</v>
      </c>
      <c r="D21" s="1">
        <f t="shared" si="21"/>
        <v>79230.769230769234</v>
      </c>
      <c r="E21" s="6">
        <v>1000</v>
      </c>
      <c r="F21" s="6">
        <f t="shared" si="22"/>
        <v>1000</v>
      </c>
      <c r="G21" s="6">
        <v>2000</v>
      </c>
      <c r="H21" s="6">
        <f t="shared" si="23"/>
        <v>1000</v>
      </c>
      <c r="I21" s="6">
        <v>2000</v>
      </c>
      <c r="J21" s="6">
        <v>152</v>
      </c>
      <c r="K21" s="6">
        <v>8</v>
      </c>
      <c r="L21" s="6">
        <v>152</v>
      </c>
      <c r="M21" s="6">
        <v>8</v>
      </c>
      <c r="N21">
        <f t="shared" si="24"/>
        <v>3619.1147369354403</v>
      </c>
      <c r="O21">
        <f t="shared" si="25"/>
        <v>3619.1147369354403</v>
      </c>
      <c r="P21">
        <f t="shared" si="26"/>
        <v>9409698.316032147</v>
      </c>
      <c r="Q21">
        <f t="shared" si="27"/>
        <v>9409698.316032147</v>
      </c>
      <c r="R21">
        <f t="shared" si="28"/>
        <v>18819396.632064298</v>
      </c>
      <c r="S21" s="1">
        <f t="shared" si="42"/>
        <v>9011891.8288306892</v>
      </c>
      <c r="T21" s="2">
        <f t="shared" si="37"/>
        <v>18023783.657661378</v>
      </c>
      <c r="U21" s="2">
        <f t="shared" si="38"/>
        <v>9011891.8288306892</v>
      </c>
      <c r="V21" s="2">
        <f t="shared" si="39"/>
        <v>18023783.657661378</v>
      </c>
      <c r="W21" s="2">
        <f t="shared" si="40"/>
        <v>36047567315322.758</v>
      </c>
      <c r="X21" s="2">
        <f t="shared" si="29"/>
        <v>2989904134647213</v>
      </c>
      <c r="Y21" s="6">
        <v>55173.424700000003</v>
      </c>
      <c r="Z21" s="7">
        <v>36250</v>
      </c>
      <c r="AA21" s="6">
        <v>87.205637949999996</v>
      </c>
      <c r="AB21">
        <f t="shared" si="30"/>
        <v>1.5220255085296179</v>
      </c>
      <c r="AC21" s="2">
        <f t="shared" si="31"/>
        <v>82.943298461538433</v>
      </c>
      <c r="AD21" s="2">
        <f t="shared" si="32"/>
        <v>9693868.5176155865</v>
      </c>
      <c r="AE21" s="2">
        <f t="shared" si="33"/>
        <v>277371.75193929567</v>
      </c>
      <c r="AF21" s="2">
        <f t="shared" si="34"/>
        <v>273167.91414588975</v>
      </c>
      <c r="AG21" s="2">
        <f t="shared" si="35"/>
        <v>7.6516345362564326</v>
      </c>
      <c r="AH21" s="8">
        <f t="shared" si="41"/>
        <v>7.5356665971279932</v>
      </c>
    </row>
    <row r="22" spans="1:36" x14ac:dyDescent="0.2">
      <c r="C22" s="1"/>
      <c r="D22" s="1"/>
    </row>
    <row r="23" spans="1:36" x14ac:dyDescent="0.2">
      <c r="D23" s="1"/>
      <c r="G23" s="1"/>
      <c r="R23" s="1"/>
      <c r="S23" s="1"/>
      <c r="T23" s="1"/>
      <c r="U23" s="1"/>
      <c r="V23" s="1"/>
      <c r="W23" s="1"/>
      <c r="X23" s="1"/>
      <c r="Y23" s="1"/>
      <c r="Z23" s="2"/>
      <c r="AA23" s="2"/>
      <c r="AB23" s="2"/>
      <c r="AC23" s="2"/>
      <c r="AE23" s="2"/>
      <c r="AF23" s="2"/>
      <c r="AH23" s="2"/>
    </row>
    <row r="24" spans="1:36" x14ac:dyDescent="0.2">
      <c r="K24" s="3" t="s">
        <v>35</v>
      </c>
      <c r="L24" t="s">
        <v>19</v>
      </c>
      <c r="M24" t="s">
        <v>22</v>
      </c>
      <c r="N24" t="s">
        <v>23</v>
      </c>
      <c r="O24" t="s">
        <v>31</v>
      </c>
      <c r="P24" t="s">
        <v>28</v>
      </c>
      <c r="Q24" t="s">
        <v>29</v>
      </c>
      <c r="R24" t="s">
        <v>30</v>
      </c>
      <c r="S24" s="5" t="s">
        <v>34</v>
      </c>
      <c r="T24" s="5" t="s">
        <v>33</v>
      </c>
      <c r="U24" s="1" t="s">
        <v>43</v>
      </c>
      <c r="W24" s="1"/>
      <c r="Z24" t="s">
        <v>41</v>
      </c>
      <c r="AA24" s="1" t="s">
        <v>42</v>
      </c>
      <c r="AB24" t="s">
        <v>41</v>
      </c>
      <c r="AC24" s="1" t="s">
        <v>42</v>
      </c>
    </row>
    <row r="25" spans="1:36" x14ac:dyDescent="0.2">
      <c r="D25" s="9"/>
      <c r="E25" s="9"/>
      <c r="F25" s="1"/>
      <c r="G25" s="9"/>
      <c r="H25" s="9"/>
      <c r="K25" t="s">
        <v>54</v>
      </c>
      <c r="L25" s="6">
        <v>55173.424700000003</v>
      </c>
      <c r="M25" s="7">
        <v>36250</v>
      </c>
      <c r="N25" s="6">
        <v>87.205637949999996</v>
      </c>
      <c r="O25">
        <f t="shared" ref="O25:O31" si="43">(N25*B4)/180</f>
        <v>1.5220255085296179</v>
      </c>
      <c r="P25" s="8">
        <v>2002.3</v>
      </c>
      <c r="Q25">
        <f t="shared" ref="Q25:Q29" si="44">(P25*55.5)/L25</f>
        <v>2.0141517515768781</v>
      </c>
      <c r="R25" s="2">
        <f t="shared" ref="R25:R31" si="45">Q25*M25</f>
        <v>73013.000994661837</v>
      </c>
      <c r="S25">
        <v>1.9813126417647553</v>
      </c>
      <c r="T25" s="8">
        <v>1.9772695077822073</v>
      </c>
      <c r="U25" s="13">
        <f t="shared" ref="U25:U31" si="46">(Q25-S25)/Q25</f>
        <v>1.6304188493450444E-2</v>
      </c>
      <c r="V25" s="11"/>
      <c r="W25" s="11"/>
      <c r="X25" s="11"/>
      <c r="Z25">
        <v>-10000</v>
      </c>
      <c r="AA25">
        <v>-9523.8094999999994</v>
      </c>
      <c r="AB25">
        <v>50000</v>
      </c>
      <c r="AC25">
        <v>-9523.8094999999994</v>
      </c>
    </row>
    <row r="26" spans="1:36" x14ac:dyDescent="0.2">
      <c r="D26" s="9"/>
      <c r="E26" s="9"/>
      <c r="F26" s="1"/>
      <c r="G26" s="9"/>
      <c r="H26" s="9"/>
      <c r="K26" t="s">
        <v>55</v>
      </c>
      <c r="L26" s="6">
        <v>55173.424700000003</v>
      </c>
      <c r="M26" s="7">
        <v>36250</v>
      </c>
      <c r="N26" s="6">
        <v>87.205637949999996</v>
      </c>
      <c r="O26">
        <f t="shared" si="43"/>
        <v>1.5220255085296179</v>
      </c>
      <c r="P26" s="8">
        <v>3128.8</v>
      </c>
      <c r="Q26">
        <f t="shared" si="44"/>
        <v>3.147319582646825</v>
      </c>
      <c r="R26" s="2">
        <f t="shared" si="45"/>
        <v>114090.33487094741</v>
      </c>
      <c r="S26">
        <v>3.087508221360991</v>
      </c>
      <c r="T26" s="8">
        <v>3.0766547293417048</v>
      </c>
      <c r="U26" s="13">
        <f t="shared" si="46"/>
        <v>1.9003904660846029E-2</v>
      </c>
      <c r="V26" s="11"/>
      <c r="W26" s="11"/>
      <c r="X26" s="11"/>
    </row>
    <row r="27" spans="1:36" x14ac:dyDescent="0.2">
      <c r="D27" s="9"/>
      <c r="E27" s="9"/>
      <c r="F27" s="1"/>
      <c r="G27" s="9"/>
      <c r="H27" s="9"/>
      <c r="K27" t="s">
        <v>56</v>
      </c>
      <c r="L27" s="6">
        <v>55173.424700000003</v>
      </c>
      <c r="M27" s="7">
        <v>36250</v>
      </c>
      <c r="N27" s="6">
        <v>87.205637949999996</v>
      </c>
      <c r="O27">
        <f t="shared" si="43"/>
        <v>1.5220255085296179</v>
      </c>
      <c r="P27" s="8">
        <v>4375</v>
      </c>
      <c r="Q27">
        <f t="shared" si="44"/>
        <v>4.4008959262592224</v>
      </c>
      <c r="R27" s="2">
        <f t="shared" si="45"/>
        <v>159532.47732689683</v>
      </c>
      <c r="S27">
        <v>4.3330343302342609</v>
      </c>
      <c r="T27" s="8">
        <v>4.3088518262691524</v>
      </c>
      <c r="U27" s="13">
        <f t="shared" si="46"/>
        <v>1.5419950201513663E-2</v>
      </c>
      <c r="V27" s="11"/>
      <c r="W27" s="11"/>
      <c r="X27" s="11"/>
      <c r="AI27" s="5"/>
    </row>
    <row r="28" spans="1:36" x14ac:dyDescent="0.2">
      <c r="D28" s="9"/>
      <c r="E28" s="9"/>
      <c r="G28" s="9"/>
      <c r="H28" s="9"/>
      <c r="K28" t="s">
        <v>57</v>
      </c>
      <c r="L28" s="6">
        <v>55173.424700000003</v>
      </c>
      <c r="M28" s="7">
        <v>36250</v>
      </c>
      <c r="N28" s="6">
        <v>87.205637949999996</v>
      </c>
      <c r="O28">
        <f t="shared" si="43"/>
        <v>1.5220255085296179</v>
      </c>
      <c r="P28" s="8">
        <v>5732.7</v>
      </c>
      <c r="Q28">
        <f t="shared" si="44"/>
        <v>5.7666322460494275</v>
      </c>
      <c r="R28" s="2">
        <f t="shared" si="45"/>
        <v>209040.41891929175</v>
      </c>
      <c r="S28">
        <v>5.6703441380360893</v>
      </c>
      <c r="T28" s="8">
        <v>5.6236362441633183</v>
      </c>
      <c r="U28" s="13">
        <f t="shared" si="46"/>
        <v>1.6697459436450578E-2</v>
      </c>
      <c r="V28" s="11"/>
      <c r="W28" s="11"/>
      <c r="X28" s="11"/>
      <c r="AC28" s="2"/>
      <c r="AG28" s="2"/>
      <c r="AI28" s="2"/>
      <c r="AJ28" s="2"/>
    </row>
    <row r="29" spans="1:36" x14ac:dyDescent="0.2">
      <c r="D29" s="9"/>
      <c r="E29" s="9"/>
      <c r="F29" s="1"/>
      <c r="G29" s="9"/>
      <c r="H29" s="9"/>
      <c r="K29" t="s">
        <v>58</v>
      </c>
      <c r="L29" s="6">
        <v>55173.424700000003</v>
      </c>
      <c r="M29" s="7">
        <v>36250</v>
      </c>
      <c r="N29" s="6">
        <v>87.205637949999996</v>
      </c>
      <c r="O29">
        <f t="shared" si="43"/>
        <v>1.5220255085296179</v>
      </c>
      <c r="P29" s="8">
        <v>7118</v>
      </c>
      <c r="Q29">
        <f t="shared" si="44"/>
        <v>7.160131932140148</v>
      </c>
      <c r="R29" s="2">
        <f t="shared" si="45"/>
        <v>259554.78254008037</v>
      </c>
      <c r="S29">
        <v>7.0713807984939185</v>
      </c>
      <c r="T29" s="8">
        <v>6.9901819032975929</v>
      </c>
      <c r="U29" s="13">
        <f t="shared" si="46"/>
        <v>1.2395181330087855E-2</v>
      </c>
      <c r="V29" s="11"/>
      <c r="W29" s="11"/>
      <c r="X29" s="11"/>
      <c r="AC29" s="2"/>
      <c r="AG29" s="2"/>
      <c r="AI29" s="2"/>
      <c r="AJ29" s="2"/>
    </row>
    <row r="30" spans="1:36" x14ac:dyDescent="0.2">
      <c r="D30" s="9"/>
      <c r="E30" s="9"/>
      <c r="G30" s="9"/>
      <c r="H30" s="9"/>
      <c r="K30" t="s">
        <v>59</v>
      </c>
      <c r="L30" s="6">
        <v>55173.424700000003</v>
      </c>
      <c r="M30" s="7">
        <v>36250</v>
      </c>
      <c r="N30" s="6">
        <v>87.205637949999996</v>
      </c>
      <c r="O30">
        <f t="shared" si="43"/>
        <v>1.5220255085296179</v>
      </c>
      <c r="P30" s="8">
        <v>8517.7000000000007</v>
      </c>
      <c r="Q30">
        <f>(P30*55.5)/L30</f>
        <v>8.5681168528224418</v>
      </c>
      <c r="R30" s="2">
        <f t="shared" si="45"/>
        <v>310594.23591481353</v>
      </c>
      <c r="S30">
        <v>8.5162483902713095</v>
      </c>
      <c r="T30" s="8">
        <v>8.3858809530248752</v>
      </c>
      <c r="U30" s="13">
        <f t="shared" si="46"/>
        <v>6.0536595662845343E-3</v>
      </c>
      <c r="V30" s="11"/>
      <c r="W30" s="11"/>
      <c r="X30" s="11"/>
      <c r="AC30" s="2"/>
      <c r="AG30" s="2"/>
      <c r="AI30" s="2"/>
      <c r="AJ30" s="2"/>
    </row>
    <row r="31" spans="1:36" x14ac:dyDescent="0.2">
      <c r="F31" s="1"/>
      <c r="G31" s="3"/>
      <c r="H31" s="2"/>
      <c r="K31" t="s">
        <v>60</v>
      </c>
      <c r="L31" s="6">
        <v>55173.424700000003</v>
      </c>
      <c r="M31" s="7">
        <v>36250</v>
      </c>
      <c r="N31" s="6">
        <v>87.205637949999996</v>
      </c>
      <c r="O31">
        <f t="shared" si="43"/>
        <v>1.5220255085296179</v>
      </c>
      <c r="P31" s="8">
        <v>9917.1</v>
      </c>
      <c r="Q31">
        <f>(P31*55.5)/L31</f>
        <v>9.9757999977840779</v>
      </c>
      <c r="R31" s="2">
        <f t="shared" si="45"/>
        <v>361622.74991967285</v>
      </c>
      <c r="S31">
        <v>9.9916115540290242</v>
      </c>
      <c r="T31" s="8">
        <v>9.7947810880545045</v>
      </c>
      <c r="U31" s="13">
        <f t="shared" si="46"/>
        <v>-1.5849913038010548E-3</v>
      </c>
      <c r="V31" s="11"/>
      <c r="W31" s="11"/>
      <c r="X31" s="11"/>
      <c r="AC31" s="2"/>
      <c r="AG31" s="2"/>
      <c r="AI31" s="2"/>
      <c r="AJ31" s="2"/>
    </row>
    <row r="32" spans="1:36" x14ac:dyDescent="0.2">
      <c r="G32" s="3"/>
      <c r="K32" s="1"/>
      <c r="L32" s="1"/>
      <c r="M32" s="1"/>
      <c r="N32" s="1"/>
      <c r="Q32" s="2"/>
      <c r="AC32" s="2"/>
      <c r="AG32" s="2"/>
      <c r="AI32" s="2"/>
      <c r="AJ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跨径屈曲对比</vt:lpstr>
      <vt:lpstr>Lc屈曲对比</vt:lpstr>
      <vt:lpstr>腹杆截面</vt:lpstr>
      <vt:lpstr>截面宽度高度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2015-06-05T18:19:34Z</dcterms:created>
  <dcterms:modified xsi:type="dcterms:W3CDTF">2023-04-14T13:49:44Z</dcterms:modified>
</cp:coreProperties>
</file>