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lcome" sheetId="1" r:id="rId4"/>
    <sheet state="visible" name="Reroll" sheetId="2" r:id="rId5"/>
    <sheet state="visible" name="Timeline" sheetId="3" r:id="rId6"/>
    <sheet state="visible" name="Battle Characters" sheetId="4" r:id="rId7"/>
    <sheet state="visible" name="Protection Characters" sheetId="5" r:id="rId8"/>
    <sheet state="visible" name="Soul Converter" sheetId="6" r:id="rId9"/>
    <sheet state="visible" name="Protection Matrix" sheetId="7" r:id="rId10"/>
    <sheet state="visible" name="BuffsDebuffs" sheetId="8" r:id="rId11"/>
    <sheet state="visible" name="Skills" sheetId="9" r:id="rId12"/>
    <sheet state="visible" name="Conquest Drop Rates" sheetId="10" r:id="rId13"/>
    <sheet state="hidden" name="Charybdis Drop Rate" sheetId="11" r:id="rId14"/>
    <sheet state="visible" name="Reroll Combos" sheetId="12" r:id="rId15"/>
    <sheet state="visible" name="Damage Formulas" sheetId="13" r:id="rId16"/>
    <sheet state="visible" name="Equipment" sheetId="14" r:id="rId17"/>
    <sheet state="visible" name="Tutorial Text" sheetId="15" r:id="rId18"/>
    <sheet state="visible" name="Team Comps" sheetId="16" r:id="rId19"/>
    <sheet state="visible" name="Free Units From Story" sheetId="17" r:id="rId20"/>
    <sheet state="visible" name="Mechanics" sheetId="18" r:id="rId21"/>
    <sheet state="visible" name="Traits" sheetId="19" r:id="rId22"/>
    <sheet state="visible" name="Maps" sheetId="20" r:id="rId23"/>
    <sheet state="hidden" name="Item Pics" sheetId="21" r:id="rId24"/>
    <sheet state="visible" name="Buffs" sheetId="22" r:id="rId25"/>
    <sheet state="visible" name="Artwork" sheetId="23" r:id="rId26"/>
    <sheet state="hidden" name="Food" sheetId="24" r:id="rId27"/>
  </sheets>
  <definedNames/>
  <calcPr/>
</workbook>
</file>

<file path=xl/comments1.xml><?xml version="1.0" encoding="utf-8"?>
<comments xmlns:r="http://schemas.openxmlformats.org/officeDocument/2006/relationships" xmlns="http://schemas.openxmlformats.org/spreadsheetml/2006/main">
  <authors>
    <author/>
  </authors>
  <commentList>
    <comment authorId="0" ref="N1">
      <text>
        <t xml:space="preserve">Includes pierce, pierce rate, and pierce power. Pierce = 6% more atk towards damage.</t>
      </text>
    </comment>
    <comment authorId="0" ref="O1">
      <text>
        <t xml:space="preserve">Calculates the expected normal damage over time. Factors in pierce rate, pierce power, crit rate, and crit dmg. Crit = flat 30% boost to damage. Assumes enemy has 0 def.</t>
      </text>
    </comment>
    <comment authorId="0" ref="Q1">
      <text>
        <t xml:space="preserve">Assume enemy has 5000atk. EHP takes into guard rate, guard power, DEF and HP.</t>
      </text>
    </comment>
  </commentList>
</comments>
</file>

<file path=xl/sharedStrings.xml><?xml version="1.0" encoding="utf-8"?>
<sst xmlns="http://schemas.openxmlformats.org/spreadsheetml/2006/main" count="4168" uniqueCount="2128">
  <si>
    <t>Welcome to the GOAT database</t>
  </si>
  <si>
    <t>Rimuru Tempest#0001 or Kyu#6162
Spot Error? PM!</t>
  </si>
  <si>
    <t>QUICKLINKS</t>
  </si>
  <si>
    <r>
      <rPr>
        <rFont val="Montserrat"/>
        <color rgb="FF6AA84F"/>
        <sz val="12.0"/>
      </rPr>
      <t xml:space="preserve">Shortcut to this sheet: </t>
    </r>
    <r>
      <rPr>
        <rFont val="Montserrat"/>
        <color rgb="FF6AA84F"/>
        <sz val="12.0"/>
        <u/>
      </rPr>
      <t>tiny.cc/isekaimemories</t>
    </r>
  </si>
  <si>
    <t>WIP Reroll Guide</t>
  </si>
  <si>
    <t>Battle Characters</t>
  </si>
  <si>
    <t>Protection Characters</t>
  </si>
  <si>
    <t>Datamined Audio/Assets</t>
  </si>
  <si>
    <t>Full Character Art</t>
  </si>
  <si>
    <t>Communities</t>
  </si>
  <si>
    <t>Unofficial Discord</t>
  </si>
  <si>
    <t>Unofficial Reddit</t>
  </si>
  <si>
    <t>Unofficial Twitter</t>
  </si>
  <si>
    <t>Altema JP Wiki</t>
  </si>
  <si>
    <t>Download</t>
  </si>
  <si>
    <t>Google Play</t>
  </si>
  <si>
    <t>Apple App Store</t>
  </si>
  <si>
    <t>Taptap App Store</t>
  </si>
  <si>
    <t>QooApp</t>
  </si>
  <si>
    <t>XAPK File</t>
  </si>
  <si>
    <t>Pre-registration rewards give us enough to roll at least 10 times immediately after tutorial.</t>
  </si>
  <si>
    <t>It takes 30 crystals to roll 1x, and 300 crystals to roll 10x.</t>
  </si>
  <si>
    <t>Your first free multi is GUARANTEED to give a random SINGLE 5☆. It won't give a 5☆ Protection unit though.</t>
  </si>
  <si>
    <t>Pre-reg Rewards For Pulling</t>
  </si>
  <si>
    <t>• 10x Recruit Tickets</t>
  </si>
  <si>
    <t>• 5☆ Guaranteed Recruit Ticket (on the 3rd login day)</t>
  </si>
  <si>
    <t>• 500x Magicrystals (through game release login bonus)</t>
  </si>
  <si>
    <t>• 20x Stamina Recovery</t>
  </si>
  <si>
    <t>• Rimuru's Sword</t>
  </si>
  <si>
    <t>• [Character] Shuna, Pink Ogre of Heavenly Light</t>
  </si>
  <si>
    <t>• 5x [Character] Rimuru, the Reincarnated Memory Stone</t>
  </si>
  <si>
    <t>• [Character] Shuna, Pink Ogre of Heavenly Light Memory Stone</t>
  </si>
  <si>
    <t xml:space="preserve"> </t>
  </si>
  <si>
    <t>• 10x Small Grindstone</t>
  </si>
  <si>
    <t>• 10x Nation of Monsters Hot Pot</t>
  </si>
  <si>
    <t>• 100x Proof of Sworn Friendship</t>
  </si>
  <si>
    <t>• 100x Tempest Coin</t>
  </si>
  <si>
    <t>• 5x 4☆ Memory Stone Shard (Used for Limit Break)</t>
  </si>
  <si>
    <t xml:space="preserve">5☆ battle units drop at 3% rate. 5☆ protection units drop at 1% rate. It may be beneficial to reroll for protection due to their lower drop rates. </t>
  </si>
  <si>
    <r>
      <rPr>
        <rFont val="Montserrat"/>
        <b/>
        <color rgb="FFFFFFFF"/>
        <sz val="12.0"/>
      </rPr>
      <t>After the initial free 10x multi, finish the remaining tutorial to pull with your 10x tickets. After a 5☆ protection unit is pulled</t>
    </r>
    <r>
      <rPr>
        <rFont val="Montserrat"/>
        <color rgb="FFFFFFFF"/>
        <sz val="12.0"/>
      </rPr>
      <t>, you can build a team around their passive.</t>
    </r>
  </si>
  <si>
    <t>Please check Reroll Combos for generally great rerolls.</t>
  </si>
  <si>
    <t>To reroll, go title screen &gt; menu &gt; delete game data.</t>
  </si>
  <si>
    <t>Title</t>
  </si>
  <si>
    <t>Picture</t>
  </si>
  <si>
    <t>Description</t>
  </si>
  <si>
    <t>Start Date (PST)</t>
  </si>
  <si>
    <t>End Date (PST)</t>
  </si>
  <si>
    <t>Game Launch</t>
  </si>
  <si>
    <t>Game Has been Launched Officially!</t>
  </si>
  <si>
    <t>Let's hope it lasts a while.</t>
  </si>
  <si>
    <t>Release Recruit Banner</t>
  </si>
  <si>
    <t>Release Banner</t>
  </si>
  <si>
    <t>5-Star Character Guaranteed Pack</t>
  </si>
  <si>
    <t>Gacha Pack 5☆ Ticket + 300 Gems</t>
  </si>
  <si>
    <t>Free Once Per Day Release Recruit</t>
  </si>
  <si>
    <t>Daily Free Single Pull</t>
  </si>
  <si>
    <t>Bingo for Pink Ogre Shuna</t>
  </si>
  <si>
    <t>Shuna [Pink Ogre of Heavenly Light] Bingo Missions</t>
  </si>
  <si>
    <t>~</t>
  </si>
  <si>
    <t>Troop Recruit: Nation of Monsters Diabolic Secretary Part 1</t>
  </si>
  <si>
    <t>Rate up for Diablo [The Black Progenitor] and Shion (Protector)</t>
  </si>
  <si>
    <t>Interview with the Demon Butler</t>
  </si>
  <si>
    <t>Part 1 of the Dark Event</t>
  </si>
  <si>
    <t>Nation of Monsters Diabolic Secretary</t>
  </si>
  <si>
    <t>Nation of Monsters: Diabolic Secretary Event</t>
  </si>
  <si>
    <t>1 Million Downloads Celebration!</t>
  </si>
  <si>
    <t>100 free magicrystals</t>
  </si>
  <si>
    <t>Octagram Bazaar Changes</t>
  </si>
  <si>
    <t>Nerfs to Octagram Milim and preview of Octagram Ramiris</t>
  </si>
  <si>
    <t>1 Million Chancellors</t>
  </si>
  <si>
    <t>10 free recruit tickets from logging in</t>
  </si>
  <si>
    <t>Chancellor Support Campaign</t>
  </si>
  <si>
    <t>Get Up to 100 Magicrystals and evolve Milim Nava, the Delighter in Everyday Life to 5★! Also limited time conquest missions</t>
  </si>
  <si>
    <t xml:space="preserve">Recruit Selection Veldora [Seal Releaser]
</t>
  </si>
  <si>
    <t>Rate up for Veldora [Seal Releaser]</t>
  </si>
  <si>
    <t>The One Unleashed: Veldora's Slime Observation Journal</t>
  </si>
  <si>
    <t>Part 2 of the Dark Event + Free Daily Single pull on Veldora [Seal Releaser) Banner</t>
  </si>
  <si>
    <t>Awakening Trials for Milim Nava [Delighter in Everyday Life]</t>
  </si>
  <si>
    <t>Get Free Dupe Shards to 5★ Milim Nava [The Delighter in Everyday Life]</t>
  </si>
  <si>
    <t>1.5 Million Downloads Celebration!</t>
  </si>
  <si>
    <t>150 free magicrystals. Distribution is scheduled to begin 11/19 (Fri)</t>
  </si>
  <si>
    <t>Troop Recruit: Nation of Monsters Diabolic Secretary Part 2</t>
  </si>
  <si>
    <t>Rate up for Milim Nava [Manifestation of the Dragon]</t>
  </si>
  <si>
    <t xml:space="preserve">5★ Dark Battle Character Guaranteed Recruit Ticket Pack
</t>
  </si>
  <si>
    <t>Whale Pack 5★ Dark Ticket for a Guaranteed chance to get either Beretta [Arch Golem] or Shion [Steel Annihilator]</t>
  </si>
  <si>
    <t>Rimuru, the Awakened Demon Lord Recruit Selection!</t>
  </si>
  <si>
    <t>Rate up for Rimuru Tempest [Awakened Demon Lord]</t>
  </si>
  <si>
    <t>Troop Recruit: Maid for the Holidays Part 1</t>
  </si>
  <si>
    <t>Rate Up for Luminus Valentine [Queen of Yule]  and Shuna [The Faithful Housemaid]</t>
  </si>
  <si>
    <t>Maid for the Holidays!</t>
  </si>
  <si>
    <t>Maid in Tempest Event Announcement</t>
  </si>
  <si>
    <t>Maid in Tempest</t>
  </si>
  <si>
    <t>Maid in Tempest Event</t>
  </si>
  <si>
    <t>Rate up for Rimuru Tempest [The Master of Maids]</t>
  </si>
  <si>
    <t>First Hero's Jubilee (BETA) Release</t>
  </si>
  <si>
    <t>Formerly Delayed Dark Event Jubilee that should have Started way earlier than this</t>
  </si>
  <si>
    <t xml:space="preserve">5★ Wind Battle Character Guaranteed Recruit Ticket Pack
</t>
  </si>
  <si>
    <t>Whale Pack 5★ Wind Ticket for a Guaranteed chance to get either Hakurou [Instructor of Flashing Sword] or Milim Nava [Dragonoid]</t>
  </si>
  <si>
    <t>Troop Recruit: Wind Battle Selection</t>
  </si>
  <si>
    <t>Rate up for Hakurou [Instructor of Flashing Sword] and Milim Nava [Dragonoid]</t>
  </si>
  <si>
    <t>Tempest Recuit Perma Banner Release</t>
  </si>
  <si>
    <t>Permanent General Pool Banner Release</t>
  </si>
  <si>
    <t>Awakening Trials for Alice Rondo [Golem Master]</t>
  </si>
  <si>
    <t>Get Free Dupe Shards to 5★ Alice Rondo [Golem Master]</t>
  </si>
  <si>
    <t>Crucible Stages Release</t>
  </si>
  <si>
    <t>50 Crucible Stages open Now!
With more to come soon!</t>
  </si>
  <si>
    <t>Troop Recruit Veldora Tempest [The True Butler]</t>
  </si>
  <si>
    <t>Rate up for Veldora Tempest [The True Butler]</t>
  </si>
  <si>
    <t>2 Million Downloads Celebration</t>
  </si>
  <si>
    <t>100 Gems for logging in</t>
  </si>
  <si>
    <t>Second Hero's Jubilee (BETA) Release</t>
  </si>
  <si>
    <t>Wind Event Jubilee</t>
  </si>
  <si>
    <t>Story Quest Chapters 11 &amp; 12 Release</t>
  </si>
  <si>
    <t>Chapter 11 and 12 are now Open</t>
  </si>
  <si>
    <t>New Year's Whale Pack</t>
  </si>
  <si>
    <t>Whale Pack to Celebrate New Years</t>
  </si>
  <si>
    <t>Demon Lord New Year's Meal</t>
  </si>
  <si>
    <t>Demon Lord New Year's Meal Event Start + Daily log in Freebies</t>
  </si>
  <si>
    <t>Troop Recruit: Gobta [Captain of the Goblin Riders]</t>
  </si>
  <si>
    <t>Rate up for Gobta [Captain of the Goblin Riders]</t>
  </si>
  <si>
    <t>Challange Quest: Demon Lord New Year's Meal!</t>
  </si>
  <si>
    <t>Challange Quests for the Demon Lord New Year's Meal are now Open!</t>
  </si>
  <si>
    <t>Recruit Selection: Guy Crimson [Lord of Darkness]</t>
  </si>
  <si>
    <t>Rate up for Guy Crimson [Lord of Darkness]</t>
  </si>
  <si>
    <t>Whale Pack for Guy Crimson [Lord of Darkness}</t>
  </si>
  <si>
    <t>Buy and get Gems + Food + Ticket for the Guy Banner</t>
  </si>
  <si>
    <t>Extreme Conquest Difficulty Release!</t>
  </si>
  <si>
    <t>Release of the Extreme Difficulty for Conquest Stages</t>
  </si>
  <si>
    <t>Fire Battle Character Bazaar Medal Pack</t>
  </si>
  <si>
    <t>Buy the pack and u'll get a Bazaar Token to buy Selected Fire units</t>
  </si>
  <si>
    <t>Troop Recruit: Fire Battle Selection</t>
  </si>
  <si>
    <t>Troop Recruit for Benimaru [Samurai General of Hellfire] and Shizue [Conqueror of Flames]</t>
  </si>
  <si>
    <t>Third Hero's Jubilee (1st. Official non Beta)</t>
  </si>
  <si>
    <t>Fire Event Jubilee</t>
  </si>
  <si>
    <t>Awakening Trials for Yuuki Kagurazaka [Grandmaster]</t>
  </si>
  <si>
    <t>Get Free Dupe Shards to 5★ Yuuki Kagurazaka [Grandmaster]</t>
  </si>
  <si>
    <t>New Event: Always My Valentine</t>
  </si>
  <si>
    <t>Always My Valentine Event open</t>
  </si>
  <si>
    <t>Troop Recruit: Always My Valentine Part 1</t>
  </si>
  <si>
    <t>Troop Recruit for Shizue Izawa [Date Night Beauty] and Soka [The Lovestruck Maiden]</t>
  </si>
  <si>
    <t>3 Month Release Anniversary Whale pack</t>
  </si>
  <si>
    <t>5★ Awakening Item Whale Pack</t>
  </si>
  <si>
    <t>Troop Recruit Hinata Sakaguchi [Captain of the Holy Knights]</t>
  </si>
  <si>
    <t>Rate up for Hinata Sakaguchi [Captain of the Holy Knights]</t>
  </si>
  <si>
    <t>Hinata Sakaguchi [Captain of the Holy Knights] Special Whale Pack</t>
  </si>
  <si>
    <t>Buy and get Gems + Food + Ticket for the Hinata Banner</t>
  </si>
  <si>
    <t>Challange Quests: Always My Valentine</t>
  </si>
  <si>
    <t>Challange Quests for the Light Event are open!</t>
  </si>
  <si>
    <t>Tempest Harvest</t>
  </si>
  <si>
    <t>Clear Tempest Harvest Stages to complete Limited Time Missions for Food!</t>
  </si>
  <si>
    <t>Recruit Selection: Leon Cromwell [The Platinum Devil]</t>
  </si>
  <si>
    <t>Recruit Selection for Leon Cromwell [The Platinum Devil]</t>
  </si>
  <si>
    <t>Leon Cromwell [The Platinum Devil] Special Whale Pack</t>
  </si>
  <si>
    <t>Buy and get Gems + Food + Ticket for the Leon Banner</t>
  </si>
  <si>
    <t>Be My Tempest Valentine Event</t>
  </si>
  <si>
    <t>Valentine's Day has come to Tempest!
In this event, you can enjoy a story featuring the ladies of Tempest that will get your heart racing!</t>
  </si>
  <si>
    <t>Awakening Trials for Rimuru Tempest [Swordsmanship Forge]</t>
  </si>
  <si>
    <t>Get Free Dupe Shards to 5★ Rimuru Tempest [Swordsmanship Forge]</t>
  </si>
  <si>
    <t>Fourth Hero's Jubilee (2nd. Official non Beta)</t>
  </si>
  <si>
    <t>Light Event Jubilee
From here on, Jubilee will be held in 2 Parts "Hero's Jubilee: Blitz" and "Hero's Jubilee: Catalyst"</t>
  </si>
  <si>
    <t>Light Battle Character Bazaar Medal Pack</t>
  </si>
  <si>
    <t>Buy the pack and u'll get a Bazaar Token to buy Selected Mostly Light units</t>
  </si>
  <si>
    <t>Troop Recruit: Dark Selection Redux</t>
  </si>
  <si>
    <t>Rate up for all Currently Available Dark Units including Past Dark Banner Characters!</t>
  </si>
  <si>
    <t>Troop Recruit: Light Character Selection</t>
  </si>
  <si>
    <t>Troop Recruit for Gazel Dwargo [King of an Armed Nation] and Ramiris [Fairy of the Labryrinth]</t>
  </si>
  <si>
    <t>Name</t>
  </si>
  <si>
    <t>Base Rarity</t>
  </si>
  <si>
    <t>Type</t>
  </si>
  <si>
    <t>Atk Type</t>
  </si>
  <si>
    <t>Growth
Type</t>
  </si>
  <si>
    <t>Max HP</t>
  </si>
  <si>
    <t>Max ATK</t>
  </si>
  <si>
    <t>Max DEF</t>
  </si>
  <si>
    <t>hp</t>
  </si>
  <si>
    <t>atk</t>
  </si>
  <si>
    <t>def</t>
  </si>
  <si>
    <t>Weighted Stats Total</t>
  </si>
  <si>
    <t>Effective ATK</t>
  </si>
  <si>
    <t>Avg Normal DMG</t>
  </si>
  <si>
    <t>Avg Ult DMG</t>
  </si>
  <si>
    <t>Avg #Hits Tanked</t>
  </si>
  <si>
    <t>Max Output</t>
  </si>
  <si>
    <t>Town Trait 1</t>
  </si>
  <si>
    <t>Town Trait 2</t>
  </si>
  <si>
    <t>Expertise</t>
  </si>
  <si>
    <t>Secret Skill (Ult)</t>
  </si>
  <si>
    <t>Battle Skill 1</t>
  </si>
  <si>
    <t>Battle Skill 2</t>
  </si>
  <si>
    <t>Character Trait at 5☆ Awaken x1</t>
  </si>
  <si>
    <t>Character Trait at 5☆ Awaken x3</t>
  </si>
  <si>
    <t>Crit Rate</t>
  </si>
  <si>
    <t>Crit Dmg</t>
  </si>
  <si>
    <t>Crit Resist</t>
  </si>
  <si>
    <t>Pierce Rate</t>
  </si>
  <si>
    <t>Pierce Power</t>
  </si>
  <si>
    <t>Pierce Resist</t>
  </si>
  <si>
    <t>Guard Rate</t>
  </si>
  <si>
    <t>Guard Power</t>
  </si>
  <si>
    <t>Guard Pen</t>
  </si>
  <si>
    <t>Counter Rate</t>
  </si>
  <si>
    <t>Counter Power</t>
  </si>
  <si>
    <t>Counter Resist</t>
  </si>
  <si>
    <t>Meow's &amp; Kyu's Subjective Notes as Individual Units</t>
  </si>
  <si>
    <t>Tier?</t>
  </si>
  <si>
    <t>Heart Rate</t>
  </si>
  <si>
    <t>Heart</t>
  </si>
  <si>
    <t>Perception Res</t>
  </si>
  <si>
    <t>Pen Rate</t>
  </si>
  <si>
    <t>Pen Power</t>
  </si>
  <si>
    <t>Pen Res</t>
  </si>
  <si>
    <t>Guard Res</t>
  </si>
  <si>
    <t>Guard Strength</t>
  </si>
  <si>
    <t>Counter</t>
  </si>
  <si>
    <t>Counter Res</t>
  </si>
  <si>
    <t>Ramiris [The Creator]</t>
  </si>
  <si>
    <t>5☆</t>
  </si>
  <si>
    <t>Laboratory +30%</t>
  </si>
  <si>
    <t>Digsite for Stamina Magistones +10%</t>
  </si>
  <si>
    <t>Tome</t>
  </si>
  <si>
    <t>Air Suppression Lv.MAX:
All-target wind magic attack for 270%.</t>
  </si>
  <si>
    <t>Charge Forth Lv.1/Lv.10:
Heals all allies' by 55%/60% of their max HP.
Lv.1/Lv.10 Cost: 65/55</t>
  </si>
  <si>
    <t>Linked Operations Lv.1/Lv10:
Increases all allies' wind ATK by 5%/15% (Turns: 1).
Lv.1/Lv.10 Cost: 25/15</t>
  </si>
  <si>
    <t>Troop - Skill UP (5☆ Awaken x1):
When your troop contains 3 or more battle characters, increases skill points by 4 at the start of the battle (available in support formation).</t>
  </si>
  <si>
    <t>Troop - Skill UP (5☆ Awaken x3):
When your troop contains 3 or more battle characters, increases skill points by 6 at the start of the battle (available in support formation).</t>
  </si>
  <si>
    <t>-</t>
  </si>
  <si>
    <t>Best AOE Healer in the game as of right now!</t>
  </si>
  <si>
    <t>Milim Nava [the Proud Dragon Demon Lord]</t>
  </si>
  <si>
    <t>Training Ground +30%</t>
  </si>
  <si>
    <t>Restaurant +10%</t>
  </si>
  <si>
    <t>Sword</t>
  </si>
  <si>
    <t>Drago-Slash Lv.MAX:
Single-target space physical attack for 470%.</t>
  </si>
  <si>
    <t>Dragon Princess's Aura Lv.1/Lv.10:
Increases own pierce rate by 80% (Turns: 1). Increases own pierce power by 15% (Turns: 1).
Lv.1/Lv.10 Cost: 25/15</t>
  </si>
  <si>
    <t>Beyond Compare Lv.1/Lv.10:
Increases all allies' critical rate by 30% (Turns: 1). Decreases a single target's guard power by 25% (Turns: 1).
Lv.1/Lv.10 Cost: 65/55</t>
  </si>
  <si>
    <t>Troop - Secret Skill UP 3 (5☆ Awaken x1):
When your troop contains 3 or more battle characters, increases own Secret Skill Gauge by 5% at start of battle (Turns: 3) (available in support formation).</t>
  </si>
  <si>
    <t>Troop - Secret Skill UP 3 (5☆ Awaken x3):
When your troop contains 3 or more battle characters, increases own Secret Skill Gauge by 8% at start of battle (Turns: 3) (available in support formation).</t>
  </si>
  <si>
    <t>POWER CREEP LETS GO. Stats queen, with the strongest nuke we've ever seen. Skill 1 + nuke + space rimuru's atk buff = :D. Realistically, we can't acquire her until 1-2 months from now.</t>
  </si>
  <si>
    <t>Link</t>
  </si>
  <si>
    <t>Treyni [Budding of Deep Green]</t>
  </si>
  <si>
    <t>Field +30%</t>
  </si>
  <si>
    <t>Magic Tome</t>
  </si>
  <si>
    <t>Aerial Blade Lv.MAX:
Single-target earth magic attack for 450%.</t>
  </si>
  <si>
    <t>Sweet Spirit Lv.1/Lv.10:
Heals all allies' by 25%/30% of their max HP.
Lv.1/Lv.10 Cost: 40/30</t>
  </si>
  <si>
    <t>Hard Mist Lv.1/Lv.10:
Decreases all targets' pierce power by 10%/20% (Turns: 3).
Lv.1/Lv.10 Cost: 25/15</t>
  </si>
  <si>
    <t>Effect - DEF UP (5☆ Awaken x1):
When affected by Pierce Resistance UP, increases own DEF by 7% at the start of turn (available in support formation).</t>
  </si>
  <si>
    <t>Effect - DEF UP (5☆ Awaken x3):
When affected by Pierce Resistance UP, increases own DEF by 11% at the start of turn (available in support formation).</t>
  </si>
  <si>
    <t>She heals the hardest and has a single target nuke. Fantastic as a swap unit. You can slot her into any team. Please note, she is the only unit that cannot crit without buffs.</t>
  </si>
  <si>
    <t>Shizue Izawa [Date Night Beauty]</t>
  </si>
  <si>
    <t>Cafe +30%</t>
  </si>
  <si>
    <t>Clothing Store +10%</t>
  </si>
  <si>
    <t>Special Cooking Lv.MAX:
All-target light magic attack for 270%.</t>
  </si>
  <si>
    <t>Sunbeam Lv.1/Lv.10:
Heals the ally with the lowest percentage of HP by 40%/45% of their max HP.</t>
  </si>
  <si>
    <t>Elegant Light Lv.1/Lv.10:
Decreases a single target's ATK by 15%/20% (Turns: 1).</t>
  </si>
  <si>
    <t>Soul Combo - DEF UP (5☆ Awaken x1):
When you unleash a 6 combo attack with Soul of Secrets, increase all targets' DEF by 12% for the next turn (available in support formation).</t>
  </si>
  <si>
    <t>Soul Combo - DEF UP (5☆ Awaken x3):
When you unleash a 6 combo attack with Soul of Secrets, increase all targets' DEF by 18% for the next turn (available in support formation).</t>
  </si>
  <si>
    <t>Great ST Healer with ATK down!</t>
  </si>
  <si>
    <t>Rimuru Tempest [Harmonizer of Monsters and Humans]</t>
  </si>
  <si>
    <t>Ocean Supply Corps Base +30%</t>
  </si>
  <si>
    <t>Laboratory +10%</t>
  </si>
  <si>
    <t>Black Lightning Lv.MAX:
All-target water magic attack for 270%.</t>
  </si>
  <si>
    <t>Hydro Combat Lv.1/Lv.10:
Decreases a single target's Secret Skill Gauge by 5%/15%.
Lv.1/Lv.10 Cost: 50/40</t>
  </si>
  <si>
    <t>Heal Assist Lv.1/Lv.10:
Heal all allies' HP by 15%/20% of their max HP. Increases Soul of Divine Protection damage until the end of the battle by 5% (Max: 100%).
Lv.1/Lv.10 Cost: 40/30</t>
  </si>
  <si>
    <t>Effect - DEF UP 2 (5☆ Awaken x1):
When affected by Critical Resistance UP, increases own DEF by 7% at start of the turn (available in support formation).</t>
  </si>
  <si>
    <t>Effect - DEF UP 2 (5☆ Awaken x3):
When affected by Critical Resistance UP, increases own DEF by 11% at start of the turn (available in support formation).</t>
  </si>
  <si>
    <t>Works well with the free 4 star Veldora protector that everyone starts with. Is the only unit that can reduce target's Secret Skill Gauge, allowing you to delay boss' ult by 1 or even 2 turns if you can stockpile 100 skill points.</t>
  </si>
  <si>
    <t>Rimuru Tempest [The Master of Maids]</t>
  </si>
  <si>
    <t>Digsite for Defense Magistones +30%</t>
  </si>
  <si>
    <t>Katana</t>
  </si>
  <si>
    <t>Present Explosion Lv.MAX:
Single-target wind physical attack for 450%.</t>
  </si>
  <si>
    <t>Gift of Magic Lv.1/Lv.10:
Increases all allies' DEF by 20％/25% (Turns: 3). Increases all allies' max HP by 30％ (Turns: 3).
Lv.1/Lv.10 Cost: 35/25</t>
  </si>
  <si>
    <t>Happiness Illuminate Lv.1/Lv.10:
Increases all allies' guard power by 15％/25% (Turns: 1). Increases Soul of Skills damage until the end of battle by 5％.
Lv.1/Lv.10 Cost: 25/15</t>
  </si>
  <si>
    <t>Effect - Critical Rate UP 2 (5☆ Awaken x1):
When affected by Guard Rate UP, increases own critical rate by 7% at start of turn (available in support formation).</t>
  </si>
  <si>
    <t>Effect - Critical Rate UP 2 (5☆ Awaken x3):
When affected by Guard Rate UP, increases own critical rate by 11% at start of turn (available in support formation).</t>
  </si>
  <si>
    <t>Makes team tankier. Needs Wind Shuna or Golem to take advantage of guard buffs. Skill 1 needs further testing.</t>
  </si>
  <si>
    <t>Hinata Sakaguchi [Captain of the Holy Knights]</t>
  </si>
  <si>
    <t>Forest Supply Corps Base +10%</t>
  </si>
  <si>
    <t>Disintegration Lv.MAX:
Single-target light magic attack for 450%.</t>
  </si>
  <si>
    <t>Ruthless Flash Lv.1/Lv.10:
Increase all allies' DEF by 35%/40% (Turns: 1). Increases own all attribute resistance by 20% (Turns: 3).</t>
  </si>
  <si>
    <t>Usurper Lv.1/Lv10:
Changes Soul of Skills and Soul of Divine Protection x1 each into Soul of Secrets. Increases Soul of Secrets secret skill gauge increase until the end of battle by 3%/5% (Max: 100%).</t>
  </si>
  <si>
    <t>Troop - Secret Skill UP (5☆ Awaken x1):
When your troop contains 3 or more battle characters, increases own Secret Skill Gauge by 12% at the start of battle (available in support formation).</t>
  </si>
  <si>
    <t>Troop - Secret Skill UP (5☆ Awaken x3):
When your troop contains 3 or more battle characters, increases own Secret Skill Gauge by 18% at the start of battle (available in support formation).</t>
  </si>
  <si>
    <t>Best AOE Defensive Buffer.</t>
  </si>
  <si>
    <t>Shizue [Conqueror of Flames]</t>
  </si>
  <si>
    <t>Forest Supply Corps Base +30%</t>
  </si>
  <si>
    <t>Cafe +10%</t>
  </si>
  <si>
    <t>Heat Slasher Lv.MAX:
Single-target fire physical attack for 450%.</t>
  </si>
  <si>
    <t>Degenerate Lv.1/Lv.10:
Changes Soul of Divine Protection x2 into Soul of Secrets. Increases all Soul of Secrets gauges' increase by 5%/10% (Turns: 1).
Lv.1/Lv.10 Cost: 35/25</t>
  </si>
  <si>
    <t>Homura Lv.1/Lv.10:
Increases all allies' stun evasion rate by 90%/100% (Turns: 1). Increases own critical rate by 15% (Turns: 1).
Lv.1/Lv.10 Cost: 35/25</t>
  </si>
  <si>
    <t>Soul Combo - Critical Damage UP (5☆ Awaken x1):
When you unleash a 5+ combo attack with Soul of Secrets, increases own critical damage by 6% for the next turn (available in support formation).</t>
  </si>
  <si>
    <t>Soul Combo - Critical Damage UP (5☆ Awaken x3):
When you unleash a 5+ combo attack with Soul of Secrets, increases own critical damage by 9% for the next turn (available in support formation).</t>
  </si>
  <si>
    <t>Solid fire dps with a strong nuke. Her skill 1 allows you to activate Secret Skill faster. Any unit that can change 2x soul = USEFUL for big combo damage.</t>
  </si>
  <si>
    <t>Rimuru Tempest [Chancellor of Tempest]</t>
  </si>
  <si>
    <t>Tavern +30%</t>
  </si>
  <si>
    <t>Digsite for Training Magistones +10%</t>
  </si>
  <si>
    <t>Fury of the Gods Lv.MAX:
All-target space physical attack for 270%.</t>
  </si>
  <si>
    <t>All of Creation Lv.1/Lv.10:
Increases all allies' ATK by 35%/40% (Turns: 1).
Lv.1/Lv.10 Cost: 65/55</t>
  </si>
  <si>
    <t>Magic Sense Lv.1/Lv.10:
Increases all allies' DEF by 20%/25% (Turns: 2).
Lv.1/Lv.10 Cost: 35/25</t>
  </si>
  <si>
    <t>Troop - Protection UP (5☆ Awaken x1):
When your troop contains 3 or more battle characters, increases protection gauge by 4 every 3 turns (available in support formation).</t>
  </si>
  <si>
    <t>Troop - Protection UP (5☆ Awaken x3):
When your troop contains 3 or more battle characters, increases protection gauge by 6 every 3 turns (available in support formation).</t>
  </si>
  <si>
    <t xml:space="preserve">Space Rimuru is one of the hottest units for reroll because he slots into any team as a support. The ATK buff is the biggest in the game and with how damage is calculated, ATK buffs absolutely reigns, even above soul of combo buffs on average. His def buff also lasts 2 turns... juicy. </t>
  </si>
  <si>
    <t>Shuna [Holy Princess]</t>
  </si>
  <si>
    <t>Restaurant +30%</t>
  </si>
  <si>
    <t>Celestial Scintillation Lv.MAX:
Single-target light magic attack for 450%.</t>
  </si>
  <si>
    <t>Divination Lv.1/Lv.10:
Changes Soul of Secrets x2 into Soul of Divine Protection. Increases all Soul of Divine Protection gauges' increase by 5%/10% (Turns: 1).
Lv.1/Lv.10 Cost: 35/25</t>
  </si>
  <si>
    <t>Analyze Weakness Lv.1/Lv.10:
Increases all allies' stun evasion rate by 90%/100% (Turns: 1). Increases own critical rate by 10% (Turns: 1).
Lv.1/Lv.10 Cost: 35/25</t>
  </si>
  <si>
    <t>Soul Combo - Critical Rate UP (5☆ Awaken x1):
When you unleash a 6 combo attack with Soul of Divine Protection, increases own critical rate by 12% for the next turn (available in support formation).</t>
  </si>
  <si>
    <t>Soul Combo - Critical Rate UP (5☆ Awaken x3):
When you unleash a 6 combo attack with Soul of Divine Protection, increases own critical rate by 18% for the next turn (available in support formation).</t>
  </si>
  <si>
    <t>Access to single target nuke and protective skills. Works well in any light team. Any unit that can change 2x soul = USEFUL for big combo damage.</t>
  </si>
  <si>
    <t>Souei [Spy in Shadows]</t>
  </si>
  <si>
    <t>Mountain Supply Corps Base +10%</t>
  </si>
  <si>
    <t>Reeling Slicer Lv.MAX:
Single-target water physical attack for 450%.</t>
  </si>
  <si>
    <t>Increased Momentum Lv.1/Lv.10:
Increases all allies' DEF by 20%/25% (Turns: 1). Increases Soul of Divine Protection damage until the end of battle by 5% (Max: 100%).
Lv.1/Lv.10 Cost: 25/15</t>
  </si>
  <si>
    <t>Hidden Hand Lv.1/Lv.10:
Changes Soul of Secrets x2 into Soul of Skills. Increases all Soul of Skills gauges' increase by 5%/10% (Turns: 1).
Lv.1/Lv.10 Cost: 40/30</t>
  </si>
  <si>
    <t xml:space="preserve">Water's only 5star nuker and solid normal attack dps. </t>
  </si>
  <si>
    <t xml:space="preserve">Luminus Valentine [Queen of Yule] </t>
  </si>
  <si>
    <t>Lance</t>
  </si>
  <si>
    <t>Luminus Storm Lv.MAX:
Single-target wind physical attack for 450%.</t>
  </si>
  <si>
    <t>Nightmare Strike Lv.1/Lv.10:
Heals all allies' by 20%/25% of their max HP. Increases Soul of Skills damage until the end of battle by 5% (Max: 100%).
Lv.1/Lv.10 Cost: 35/25</t>
  </si>
  <si>
    <t>Dark Allure Lv.1/Lv.10:
Changes Soul of Protection and Soul of Secrets x1 each into Soul of Skills. Increases all Soul of Skills gauges' increase by 5%/10% (Turns: 1).
Lv.1/Lv.10 Cost: 40/30</t>
  </si>
  <si>
    <t>That's a beautiful heal to cost ratio. She's the first unit that can change two different souls into the same soul.</t>
  </si>
  <si>
    <t>Diablo [The Black Progenitor]</t>
  </si>
  <si>
    <t>Digsite for Training Magistones +30%</t>
  </si>
  <si>
    <t>Protection Magistone Digsite +10%</t>
  </si>
  <si>
    <t>Fist</t>
  </si>
  <si>
    <t>Final Waltz Lv.MAX:
Single-target dark physical attack for 450%.</t>
  </si>
  <si>
    <t>Devotion Lv.1/Lv.10:
Increases own ATK by 20%/25% (Turns: 1). Decreases all targets' dark resistance by 10% (Turns: 1).
Lv.1/Lv.10 Cost: 25/15</t>
  </si>
  <si>
    <t>Soul Manipulation Lv.1/Lv.10:
Changes Soul of Skills x1 into Soul of Divine Protection. Increases all Soul of Divine Protection gauges' increase by 5%/10% (Turns: 1).
Lv.1/Lv.10 Cost: 25/15</t>
  </si>
  <si>
    <t>Soul Combo - ATK DOWN (5☆ Awaken x1):
When you unleash a 6 combo attack with Soul of Divine Protection, decreases all targets' ATK by 5% for the next turn (available in support formation).</t>
  </si>
  <si>
    <t>Soul Combo - ATK DOWN (5☆ Awaken x3):
When you unleash a 6 combo attack with Soul of Divine Protection, decreases all targets' ATK by 8% for the next turn (available in support formation).</t>
  </si>
  <si>
    <t>Skill 1 is very strong and cheap to use. Kind of reminds me of a dark version of King Gazel. Insane synergy with dark units. He has the second highest average normal attack damage and highest average ult damage.</t>
  </si>
  <si>
    <t>Beretta [Arch Golem]</t>
  </si>
  <si>
    <t>Protection Magistone Digsite +30%</t>
  </si>
  <si>
    <t>Darkness Cannon Lv.MAX:
Single-target dark magic attack for 450%.</t>
  </si>
  <si>
    <t>Search Change Lv.1/Lv.10:
Changes Soul of Divine Protection x2 into Soul of Secrets. Increases all Soul of Secrets gauges' increase by 5%/10% (turns: 1).
Lv.1/Lv.10 Cost: 35/25</t>
  </si>
  <si>
    <t>Shadow Rush Lv.1/Lv.10:
Increases all allies' guard penetration by 40%/50% (Turns: 1). Increases all allies' pierce rate by 10% (Turns: 1).
Lv.1/Lv.10 Cost: 40/30</t>
  </si>
  <si>
    <t>Soul Combo - ATK UP (5☆ Awaken x1):
When you unleash a 6 combo attack with Soul of Secrets, increases own ATK by 5% for the next turn (available in support formation).</t>
  </si>
  <si>
    <t>Soul Combo - ATK UP (5☆ Awaken x3):
When you unleash a 6 combo attack with Soul of Secrets, increases own ATK by 8% for the next turn (available in support formation).</t>
  </si>
  <si>
    <t>Edgy boy hits hard and lets you charge up Secret Skill fast. Any unit that can change 2x soul = USEFUL for big combo damage.</t>
  </si>
  <si>
    <t>Gobta [Captain of the Goblin Riders]</t>
  </si>
  <si>
    <t>Mountain Supply Corps Base +30%</t>
  </si>
  <si>
    <t>Farm +10%</t>
  </si>
  <si>
    <t>Flare Smash Lv.MAX:
Single-target fire physical attack for 450%.</t>
  </si>
  <si>
    <t>Hunter's Shadow Lv.1/Lv.10:
Changes Soul of Secrets x2 into Soul of Divine ProtectionIncreases all Soul of Divine Protection gauges' increase by 5％/10% (Turns: 1).
Lv.1/Lv.10 Cost: 25/15</t>
  </si>
  <si>
    <t>Brave Contact Lv.1/Lv.10:
Increases own critical damage by 15％/25% (Turns: 2)Increases own counter power by 10％ (Turns: 2)
Lv.1/Lv.10 Cost: 25/15</t>
  </si>
  <si>
    <t>Soul Combo - Guard Rate DOWN (5★ Awaken x1):
When you unleash a 6 combo attack with Soul of Divine Protection, decreases all targets' guard rate by 7% for the next turn (available in support formation)</t>
  </si>
  <si>
    <t>Soul Combo - Guard Rate DOWN (5★ Awaken x3):
When you unleash a 6 combo attack with Soul of Divine Protection, decreases all targets' guard rate by 11% for the next turn (available in support formation)</t>
  </si>
  <si>
    <t>Rimuru Tempest [Awakened Demon Lord]</t>
  </si>
  <si>
    <t>Belzebuth Lv.MAX:
All-target dark magic attack for 270%.</t>
  </si>
  <si>
    <t>Unlock Expertise Lv.1/Lv.10:
Increases own critical rate by 80％/100% (Turns: 1). Increases own critical damage by 15％ (Turns: 2).
Lv.1/Lv.10 Cost: 25/15</t>
  </si>
  <si>
    <t>Chancellor's Prestige Lv.1/Lv.10:
Increases all allies' stun evasion rate by 90％/100% (Turns: 1). Increases Soul of Divine Protection damage by 10％ (Turns: 1).
Lv.1/Lv.10 Cost: 40/30</t>
  </si>
  <si>
    <t>Skill 1 guarantees crit at max level. (Actually gets max crit at skill Lv 9 if enemy has no crit res). Crit damage bonus = 30% + 15% = 45% additional damage multiplier. Very useful for those crit quests but Light Benimaru's crit can still get the job done. A shame he didn't get single target nuke.</t>
  </si>
  <si>
    <t>Leon Cromwell [The Platinum Devil]</t>
  </si>
  <si>
    <t>Digsite for Attack Magistones +30%</t>
  </si>
  <si>
    <t>Punishment Blast Lv.Max:
All-target light magic attack for 270%.</t>
  </si>
  <si>
    <t>Sacred Power Lv.1/Lv.10:
Increases all allies' light ATK by 40%/50% (Turns: 1)</t>
  </si>
  <si>
    <t>Eccentric Force Lv.1/Lv.10:
Changes Soul of Divine Protection x into Soul of Secrets. Increases all Soul of Secrets gauges' increase by 3%/5% (Max: 100%</t>
  </si>
  <si>
    <t>Troop - Secret Skill UP 2 (5☆ Awaken x1):
When your troop contains 3 or more battle characters, increases own Secret Skill Gauge by 5% every 3 turns (available in support formation).</t>
  </si>
  <si>
    <t>Troop - Secret Skill UP 2 (5☆ Awaken x3):
When your troop contains 3 or more battle characters, increases own Secret Skill Gauge by 8% every 3 turns (available in support formation).</t>
  </si>
  <si>
    <t xml:space="preserve">First Battle Char that Buffs Light ATK and on top of that by alot.
</t>
  </si>
  <si>
    <t>Ranga [Tempest Star Wolf]</t>
  </si>
  <si>
    <t>Death Storm Lv.MAX:
All-target space magic attack for 270%.</t>
  </si>
  <si>
    <t>Pendulum Swing Lv.1/Lv.10:
Changes Soul of Secrets x2 into Soul of Skills. Increases all Soul of Skills gauges' increase by 5%/10% (Turns: 1).
Lv.1/Lv.10 Cost: 35/25</t>
  </si>
  <si>
    <t>Keen Smell Lv.1/Lv.10:
Increases all allies' pierce rate by 10%/20% (Turns: 1). Increases all allies' guard penetration by 30% (Turns: 1).
Lv.1/Lv.10 Cost: 40/30</t>
  </si>
  <si>
    <t>Effect - Pierce Power UP (5☆ Awaken x1):
When 1 or more vanguard are affected by Critical Rate UP, increases own pierce power by 5% at start of turn (available in support formation).</t>
  </si>
  <si>
    <t>Effect - Pierce Power UP (5☆ Awaken x3):
When 1 or more vanguard are affected by Critical Rate UP, increases own pierce power by 8% at start of turn (available in support formation).</t>
  </si>
  <si>
    <t>Good boy for space teams with Space Rimuru and Charybdis. Niche use against enemies with high DEF or guard rate.</t>
  </si>
  <si>
    <t>Milim Nava [The Enthusiastic Player]</t>
  </si>
  <si>
    <t>Drago Upper Lv.MAX:
Single-target fire physical attack for 450%.</t>
  </si>
  <si>
    <t>Top of Calamity Lv.1/Lv.10:
Increases all allies' critical rate by 80%/100% (Turns: 1). Chance to seal Critical Resistance UP on all targets: 100% (Turns: 1).
Lv.1/Lv.10 Cost: 65/55</t>
  </si>
  <si>
    <t>Draconic Racquet Lv.1:
Changes Soul of Skills x1 into Soul of Divine Protection. Increases all Soul of Divine Protection gauges' increase by 5%/10% (Turns: 1).
Lv.1/Lv.10 Cost: 25/15</t>
  </si>
  <si>
    <t>HP - Critical Damage UP (5☆ Awaken x1):
When you have 50% or lower HP, increases own critical damage by 5% at start of turn (available in support formation).</t>
  </si>
  <si>
    <t>HP - Critical Damage UP (5☆ Awaken x3):
When you have 50% or lower HP, increases own critical damage by 8% at start of turn (available in support formation).</t>
  </si>
  <si>
    <t>Best AOE Crit rate buffer in the game right now.</t>
  </si>
  <si>
    <t>Shion [Steel Annihilator]</t>
  </si>
  <si>
    <t>Greatsword</t>
  </si>
  <si>
    <t>Ogre Guillotine Lv.Max:
All-target dark physical attack for 270%.</t>
  </si>
  <si>
    <t>Indigo Charge Lv.1/Lv.10:
Increases all allies' pierce rate by 80%/100% (Turns: 1). Increases all allies' pierce power by 20% (Turns: 2).
Lv.1/Lv.10 Cost: 65/55</t>
  </si>
  <si>
    <t>Advance Attack Lv.1/Lv.10:
Increases all allies' poison evasion rate by 90%/100% (Turns: 1).
Lv.1/Lv.10 Cost: 25/15</t>
  </si>
  <si>
    <t>Her skill 1 is really the best option for those pesky pierce quests. She has the highest average normal damage, insane! Her skill 1 boost everybody's damage and has more impact against high DEF enemies.</t>
  </si>
  <si>
    <t>Guy Crimson [Lord of Darkness]</t>
  </si>
  <si>
    <t>Tavern +10%</t>
  </si>
  <si>
    <t>Demon's Blaze Lv.MAX:
All-target fire magic attack for 290%.</t>
  </si>
  <si>
    <t>God of Abyss Lv.1/Lv.10:
Chance to seal DEF UP on all targets: 80％/100% (Turns: 1).
Lv.1/Lv.10 Cost: 65/55</t>
  </si>
  <si>
    <t>Set Ablaze Lv.1/Lv.10:
Increases Activating Soul of Combos damage by 40％/50% (Turns: 1)Decreases all targets' critical resistance by 20％ (Turns: 1).
Lv.1/Lv.10 Cost: 65/55</t>
  </si>
  <si>
    <t>Veldora Tempest [The True Butler]</t>
  </si>
  <si>
    <t>Field +10%</t>
  </si>
  <si>
    <t>Ornamental Spiral Lv.MAX:
Single-target wind physical attack for 450%.</t>
  </si>
  <si>
    <t>Rapid Service Lv.1/Lv.10:
Change Soul of Secrets x2 to Soul of Skills. Increases all Soul of Skills gauges' increase by 5% (Turns: 1).
Lv.1/Lv.10 Cost: 35/25</t>
  </si>
  <si>
    <t>Sacred Guidance Lv.1/Lv.10:
Decreases all targets' pierce power by 15% (Turns:2). Increases Soul of Skills damage until the end of battle by 5% (Max: 100%).
Lv.1/Lv.10 Cost: 25/15</t>
  </si>
  <si>
    <t>Soul Combo - ATK UP (5☆ Awaken x1):
When you unleash a 6 combo attack with Soul of Skills, increases own ATK by 5% for the next turn (available in support formation).</t>
  </si>
  <si>
    <t>Hakurou [Instructor of Flashing Sword]</t>
  </si>
  <si>
    <t>Cicada Flash Lv.MAX:
Single-target wind physical attack for 450%.</t>
  </si>
  <si>
    <t>Keigoku Lv.1/Lv.10:
Decreases all targets' DEF by 25%/30% (Turns: 1). Increases all allies' critical rate by 30% (Turns: 1).
Lv.1/Lv.10 Cost: 65/55</t>
  </si>
  <si>
    <t>Heaven's Eye Lv.1/Lv.10:
Decreases a single target's counterattack rate by 30%/40% (Turns: 1).
Lv.1/Lv.10 Cost: 25/15</t>
  </si>
  <si>
    <t>HP - Pierce Rate Up (5☆ Awaken x1):
When you have 50% or lower HP, increases own pierce rate by 7% at start of turn (available in support formation).</t>
  </si>
  <si>
    <t>HP - Pierce Rate Up (5☆ Awaken x3):
When you have 50% or lower HP, increases own pierce rate by 11% at start of turn (available in support formation).</t>
  </si>
  <si>
    <t>Old man nukes hard and is a staple DPS for wind teams. Skill 1 is tied for the highest DEF debuff, and it comes with AOE crit buff. Crit is approximately 30% boost in damage, not considering crit damage bonuses.</t>
  </si>
  <si>
    <t>Milim Nava [Manifestation of the Dragon]</t>
  </si>
  <si>
    <t>Digsite for Stamina Magistones +30%</t>
  </si>
  <si>
    <t>Training Ground +10%</t>
  </si>
  <si>
    <t>Drago-Nova Lv.MAX:
Single-target dark magic attack for 450%.</t>
  </si>
  <si>
    <t>Dragon Orb Lv.1/Lv.10:
Changes Soul of Secrets x2 into Soul of Divine Protection. Increases all Soul of Divine Protection gauges' increase by 5%/10% (Turns: 1).
Lv.1/Lv.10 Cost: 35/25</t>
  </si>
  <si>
    <t>Dragon Thrash Lv.1/Lv.10:
Increases all allies' critical resistance by 40%/50% (Turns: 1). Increases own critical rate by 15% (Turns: 1).
Lv.1/Lv.10 Cost: 25/15</t>
  </si>
  <si>
    <t>Troop - Protection UP (5☆ Awaken x1):
When your troop contains 3 or more battle characters, increases protection gauge by 7 at the start of battle (available in support formation).</t>
  </si>
  <si>
    <t>Troop - Protection UP (5☆ Awaken x3):
When your troop contains 3 or more battle characters, increases protection gauge by 11 at the start of battle (available in support formation).</t>
  </si>
  <si>
    <r>
      <rPr>
        <rFont val="Montserrat"/>
        <color rgb="FFFFFFFF"/>
        <sz val="11.0"/>
      </rPr>
      <t xml:space="preserve">Another solid combo attacker with nothing that really makes her stand out. We already have two dark nukers. Still sort of better than Earth Milim in general </t>
    </r>
    <r>
      <rPr>
        <rFont val="Montserrat"/>
        <i/>
        <color rgb="FFFFFFFF"/>
        <sz val="11.0"/>
      </rPr>
      <t>sadlaughter.</t>
    </r>
  </si>
  <si>
    <t>Veldora [Seal Releaser]</t>
  </si>
  <si>
    <t>Dragonic Burst Lv.MAX:
All-target dark physical attack for 270%.</t>
  </si>
  <si>
    <t>Dragon Smash Lv.1/Lv.10:
Increases activating Soul of Combos damage by 50％/60% (Turns: 1). Decreases all targets' pierce resistance by 10％ (Turns: 1).
Lv.1/Lv.10 Cost: 65/55</t>
  </si>
  <si>
    <t>Faust Lv.1/Lv.10:
Decreases a single target's critical damage by 10％/20% (Turns: 3).
Lv.1/Lv.10 Cost: 25/15</t>
  </si>
  <si>
    <t>HP - Enhance Counterattack Rate (5☆ Awaken x1):
When you have 50% or higher HP, increases own counterattack rate by 6% at start of turn (available in support formation).</t>
  </si>
  <si>
    <t>HP - Enhance Counterattack Rate (5☆ Awaken x3):
When you have 50% or higher HP, increases own counterattack rate by 9% at start of turn (available in support formation).</t>
  </si>
  <si>
    <t xml:space="preserve">Solid combo attacker and rainbow soul buffer. AKA dark version of wind milim. A shame he only gets 50% combo attack compared to milim's 60%. </t>
  </si>
  <si>
    <t>Milim Nava [One of Oldest Demon Lords]</t>
  </si>
  <si>
    <t>Drago Driver Lv.MAX:
All-target earth physical attack for 270%.</t>
  </si>
  <si>
    <t>Change Dragon Magic Lv.1/Lv.10:
Changes Soul of Secrets x2 into Soul of Divine Protection. Increases all Soul of Divine Protection gauges' increase by 5%/10% (Turns: 1).
Lv.1/Lv.10 Cost: 35/25</t>
  </si>
  <si>
    <t>Dragon's Magic's Call Lv.1/Lv.10:
Increases all allies' DEF by 20%/25% (Turns: 1).
Lv.1/Lv.10 Cost: 35/25</t>
  </si>
  <si>
    <t>Her normal attacks consistently hits high. Might be the worse Milim as she doesn't bring much to the table. Could be used in a counterattack team with Golem.</t>
  </si>
  <si>
    <t>Benimaru [Samurai General of Hellfire]</t>
  </si>
  <si>
    <t>Farm +30%</t>
  </si>
  <si>
    <t>Digsite for Attack Magistones +10%</t>
  </si>
  <si>
    <t>Hell Flare Lv.MAX:
All-target fire magic attack for 270%.</t>
  </si>
  <si>
    <t>Ogre Hero Lv.1/Lv.10:
Increases own ATK by 25%/30% (Turns: 1). Increases Soul of Secrets damage by 10% (Turns: 1).
Lv.1/Lv.10 Cost: 25/15</t>
  </si>
  <si>
    <t>War Hero Lv.1/Lv.10:
Decreases a single target's pierce power by 10%/20% (Turns: 3).
Lv.1/Lv.10 Cost: 25/15</t>
  </si>
  <si>
    <t>AOE DPS for fire teams. Use skill 1 before using Secret Skill. Good for farming daily dungeons.</t>
  </si>
  <si>
    <t>Gazel Dwargo [King of an Armed Nation]</t>
  </si>
  <si>
    <t>Haze: Thunder of Heaven and Earth Lv.MAX:
Single-target light physical attack for 450%.</t>
  </si>
  <si>
    <t>Heroes Haki Lv.1/Lv.10:
Increases own ATK by 20%/25% (Turns: 1). Increases own critical rate by 20% (Turns: 1).
Lv.1/Lv.10 Cost: 25/15</t>
  </si>
  <si>
    <t>Telepathy Lv.1/Lv.10:
Increases own critical damage by 10%/20% (Turns: 3). Increases own DEF by 20% (Turns: 1).
Lv.1/Lv.10 Cost: 25/15</t>
  </si>
  <si>
    <t>THE DPS for light teams. He knows how to NUKE. One man army that don't need nobody's assistance.</t>
  </si>
  <si>
    <t>Milim Nava [Dragonoid]</t>
  </si>
  <si>
    <t>Drago Buster Lv.MAX:
All-target wind magic attack for 270%.</t>
  </si>
  <si>
    <t>Dragon Power Lv.1/Lv.10:
Increases activating Soul of Combos damage by 60%/70% (Turns: 1). Increases own critical damage by 20% (Turns: 2).
Lv.1/Lv.10 Cost: 65/55</t>
  </si>
  <si>
    <t>Lord of Catastrophe Lv.1/Lv.10:
Increases all allies' guard penetration by 40%/50% (Turns: 1).
Lv.1/Lv.10 Cost: 40/30</t>
  </si>
  <si>
    <t>Skill 1 sounds misleading in global. Soul of Combo = your rainbow secret skill. Skill 1 boost that rainbow soul for all units by 60%. This is a flat multiplier. E.g 450% nuke x 1.6 = 720% nuke. GODLY.</t>
  </si>
  <si>
    <t>Shuna [Pink Ogre of Heavenly Light]</t>
  </si>
  <si>
    <t>Clothing Store +30%</t>
  </si>
  <si>
    <t>Phoenix Blast Lv.MAX:
All-target wind magic attack for 270%.</t>
  </si>
  <si>
    <t>Willow Talisman Lv.1/Lv.10:
Changes Soul of Divine Protection x2 into Soul of Skills. Increases all Soul of Skills gauges' increase by 5%/10% (Turns: 1).
Lv.1/Lv.10 Cost: 35/25</t>
  </si>
  <si>
    <t>Sublimate Lv.1/Lv.10:
Increases all allies' DEF by 20%/25% (Turns: 1).
Lv.1/Lv.10 Cost: 35/25</t>
  </si>
  <si>
    <t>HP - Critical Damage UP 2 (5☆ Awaken x1):
When you have 50% or higher HP, increases own critical damage by 5% at start of turn (available in support formation).</t>
  </si>
  <si>
    <t>HP - Critical Damage UP 2 (5☆ Awaken x3):
When you have 50% or higher HP, increases own critical damage by 8% at start of turn (available in support formation).</t>
  </si>
  <si>
    <t>Free Shuna that can be awakened to 6☆ through missions. Decent filler on wind teams. Godsend for F2P.</t>
  </si>
  <si>
    <t>Trya [Summer Breeze of Benevolence]</t>
  </si>
  <si>
    <t>4☆</t>
  </si>
  <si>
    <t>Aerial Slicer Lv.MAX:
All-target earth magic attack for 260%.</t>
  </si>
  <si>
    <t>Whisper Lv.1/Lv.10:
Increases all allies' DEF by 15%/20% (Turns: 3). Increases all allies' guard rate by 10% (Turns: 1).
Lv.1/Lv.10 Cost: 25/15</t>
  </si>
  <si>
    <t>Have a Harp Lv.1/Lv.10:
Changes Soul of Skills x1 into Soul of Divine Protection. Increases all Soul of Divine Protection gauges' increase by 5%/10% (Turns: 1).
Lv.1/Lv.10 Cost: 25/15</t>
  </si>
  <si>
    <t>Effect - Pierce Rate UP (5☆ Awaken x1):
When affected by counterattack rate UP, increases own pierce rate by 7% at start of turn (available in support formation).</t>
  </si>
  <si>
    <t>Effect - Pierce Rate UP (5☆ Awaken x3):
When affected by counterattack rate UP, increases own pierce rate by 11% at start of turn (available in support formation).</t>
  </si>
  <si>
    <t>3 turn DEF buff is pretty great.</t>
  </si>
  <si>
    <t>Shion [Ardent Attendant]</t>
  </si>
  <si>
    <t>Slashing Flurry Lv.MAX:
Single-target wind magic attack for 435%.</t>
  </si>
  <si>
    <t>Blunt Strike Lv.1/Lv.10:
Chance to poison a single target: 60%/80% (Turns: 3).
Lv.1/Lv.10 Cost: 25/15</t>
  </si>
  <si>
    <t>Battle Stations Lv.1/Lv.10:
Decreases a single target's guard rate by 20%/30% (Turns: 1).
Lv.1/Lv.10 Cost: 25/15</t>
  </si>
  <si>
    <t>Effect - Critical Rate UP (5☆ Awaken x1):
When 1 or more enemies are affected by DEF DOWN, increases own critical rate by 6% at start of battle (available in support formation).</t>
  </si>
  <si>
    <t>Effect - Critical Rate UP (5☆ Awaken x3):
When 1 or more enemies are affected by DEF DOWN, increases own critical rate by 9% at start of battle (available in support formation).</t>
  </si>
  <si>
    <t>Poison is very weak. Does flat damage based on enemy's max ATK. Seems to deal 1% of max hp per turn.</t>
  </si>
  <si>
    <t>Gabiru [Waving Spear]</t>
  </si>
  <si>
    <t>Ocean Supply Corps Base +10%</t>
  </si>
  <si>
    <t>Vortex Crash Lv.MAX:
All-target water physical attack for 260%.</t>
  </si>
  <si>
    <t>Draconic Frenzy Lv.1/Lv.10:
Increases all allies' DEF by 15%/20% (Turns: 3). Increases all allies' guard rate by 10% (Turns: 1).
Lv.1/Lv.10 Cost: 25/15</t>
  </si>
  <si>
    <t>Spear Swing Lv.1/Lv.10:
Increases all allies' critical resistance by 40%/50% (Turns: 1).
Lv.1/Lv.10 Cost: 25/15</t>
  </si>
  <si>
    <t>Effect - Guard Power UP (5☆ Awaken x1):
When affected by Guard Rate UP, increases own guard power by 6% at start of turn (available in support formation).</t>
  </si>
  <si>
    <t>Effect - Guard Power UP (5☆ Awaken x3):
When affected by Guard Rate UP, increases own guard power by 9% at start of turn (available in support formation).</t>
  </si>
  <si>
    <t>Same def buff skill as Trya. Critical resistance is pretty weak.</t>
  </si>
  <si>
    <t>Shuna [Excellent Tailor]</t>
  </si>
  <si>
    <t>Sealing Zone Lv.MAX:
Single-target space magic attack for 435%.</t>
  </si>
  <si>
    <t>Enlightenment Lv.1/Lv.10:
Changes Soul of Secrets x2 into Soul of Divine Protection. Increases all Soul of Divine Protection gauges' increase by 5%/10% (Turns: 1).
Lv.1/Lv.10 Cost: 35/25</t>
  </si>
  <si>
    <t>Blessing Lv.1/Lv.10:
Recovers all allies from Poison. Increases own poison evasion rate by 5%/10% (Turns: 3).
Lv.1/Lv.10 Cost: 40/30</t>
  </si>
  <si>
    <t>Soul Combo - Guard Rate UP (5☆ Awaken x1):
When you unleash a 4+ combo attack with Soul of Skills, increases own guard rate by 6% for the next turn (available in support formation).</t>
  </si>
  <si>
    <t>Soul Combo - Guard Rate UP (5☆ Awaken x3):
When you unleash a 4+ combo attack with Soul of Skills, increases own guard rate by 9% for the next turn (available in support formation).</t>
  </si>
  <si>
    <t>Until we get some seriously difficult poison content, poison recovery is a waste of a turn.</t>
  </si>
  <si>
    <t>Milim Nava [Delighter in Everyday Life]</t>
  </si>
  <si>
    <t>Drago Breaker Lv.MAX:
Single-target light magic attack for 435%.</t>
  </si>
  <si>
    <t>Bright Eye Lv.1/Lv.10:
Changes Soul of Skills x2 into Soul of Divine Protection. Increases all Soul of Divine Protection gauges' increase by 5%/10% (Turns: 1).
Lv.1/Lv.10 Cost: 35/25</t>
  </si>
  <si>
    <t>Shooting Star Lv.1/Lv.10:
Decreases a single target's DEF by 5%/10% (Turns: 2).
Lv.1/Lv.10 Cost: 25/15</t>
  </si>
  <si>
    <t>HP - Pierce Power UP (5☆ Awaken x1):
When you have max HP, increases own pierce power by 6% at start of turn (available in support formation).</t>
  </si>
  <si>
    <t>HP - Pierce Power UP (5☆ Awaken x3):
When you have max HP, increases own pierce power by 9% at start of turn (available in support formation).</t>
  </si>
  <si>
    <t>We got her to 5-star for free from an event.</t>
  </si>
  <si>
    <t>Gelmud [Secret Operator]</t>
  </si>
  <si>
    <t>Deathmarch Dance Lv.MAX:
All-target dark magic attack for 260%.</t>
  </si>
  <si>
    <t>Rhapsodic Inspiration Lv.1/Lv.10:
Decreases a single target's ATK by 10%/15% (Turns: 1). Decreases a single target's pierce power by 10% (Turns: 1).
Lv.1/Lv.10 Cost: 25/15</t>
  </si>
  <si>
    <t>Symphony of the Dead Lv.1/Lv.10:
Chance to poison a single target: 40%/60% (Turns: 3).
Lv.1/Lv.10 Cost: 25/15</t>
  </si>
  <si>
    <t>HP - Critical Rate UP 2 (5☆ Awaken x1):
When you have 50% or lower HP, increases own critical rate by 6% at start of turn (available in support formation).</t>
  </si>
  <si>
    <t>HP - Critical Rate UP 2 (5☆ Awaken x3):
When you have 50% or lower HP, increases own critical rate by 9% at start of turn (available in support formation).</t>
  </si>
  <si>
    <t>Say it with me, poison = trash atm.</t>
  </si>
  <si>
    <t>Geld [Orc King]</t>
  </si>
  <si>
    <t>Digsite for Defense Magistones +10%</t>
  </si>
  <si>
    <t>Quake Slash Lv.MAX:
Single-target earth physical attack for 435%.</t>
  </si>
  <si>
    <t>Guardian Lv.1/Lv.10:
Increases all allies' DEF by 25%/30% (Turns: 1).
Lv.1/Lv.10 Cost: 25/15</t>
  </si>
  <si>
    <t>Chaotic Beat Lv.1/Lv.10:
Decreases a single target's counterattack rate by 25%/35% (Turns: 1).
Lv.1/Lv.10 Cost: 25/15</t>
  </si>
  <si>
    <t>HP - DEF UP (5☆ Awaken x1):
When you have 50% or lower HP, increases own DEF by 6% at start of turn (available in support formation).</t>
  </si>
  <si>
    <t>HP - DEF UP (5☆ Awaken x3):
When you have 50% or lower HP, increases own DEF by 9% at start of turn (available in support formation).</t>
  </si>
  <si>
    <t>Rimuru Tempest [Reincarnated]</t>
  </si>
  <si>
    <t>Water Blade Torrent Lv.MAX:
All-target water magic attack for 260%.</t>
  </si>
  <si>
    <t>Water Control Lv.1/Lv.10:
Increases own ATK by 15%/20% (Turns: 1).
Lv.1/Lv.10 Cost: 25/15</t>
  </si>
  <si>
    <t>Self-regeneration Lv.1/Lv.10:
Heals all allies' by 15%/20% of their max HP.
Lv.1/Lv.10 Cost: 40/30</t>
  </si>
  <si>
    <t>Soul Combo - Enhance Counterattack Rate 2 (5☆ Awaken x1):
When you unleash a 4+ combo attack with Soul of Skills, increases own counterattack rate by 4% for the next turn (available in support formation).</t>
  </si>
  <si>
    <t>Soul Combo - Enhance Counterattack Rate 2 (5☆ Awaken x3):
When you unleash a 4+ combo attack with Soul of Skills, increases own counterattack rate by 6% for the next turn (available in support formation).</t>
  </si>
  <si>
    <t>Can heal. Nuff said.</t>
  </si>
  <si>
    <t>Chloe Aubert [Lovely Innocence]</t>
  </si>
  <si>
    <t>Solar Rain Lv.MAX:
All-target light magic attack for 260%.</t>
  </si>
  <si>
    <t>Light Beyond Lv.1/Lv.10:
Heals all allies' by 15%/20% of their max HP.
Lv.1/Lv.10 Cost: 40/30</t>
  </si>
  <si>
    <t>Glowing Future Lv.1/Lv.10:
Recovers all allies from Stun. Increases own stun evasion rate by 5%/10% (Turns: 2).
Lv.1/Lv.10 Cost: 40/30</t>
  </si>
  <si>
    <t>HP - Pierce Resistance 2 (5☆ Awaken x1):
When you have max HP, increases own pierce resistance by 6% at start of turn (available in support formation).</t>
  </si>
  <si>
    <t>HP - Pierce Resistance 2 (5☆ Awaken x3):
When you have max HP, increases own pierce resistance by 9% at start of turn (available in support formation).</t>
  </si>
  <si>
    <t>Gobta [Hobgoblin Ascendant]</t>
  </si>
  <si>
    <t>Spinning Rush Lv.MAX:
Single-target wind physical attack for 435%.</t>
  </si>
  <si>
    <t>Small Chance Lv.1/Lv.10:
Changes Soul of Skills x2 into Soul of Divine Protection. Increases all Soul of Divine Protection gauges' increase by 5%/10% (Turns: 1).
Lv.1/Lv.10 Cost: 35/25</t>
  </si>
  <si>
    <t>Positive Position Lv.1/Lv.10:
Increases all allies' poison evasion rate by 90%/100% (Turns: 1).
Lv.1/Lv.10 Cost: 25/15</t>
  </si>
  <si>
    <t>Troop - Evade Poison (5☆ Awaken x1):
When your troop contains 3 or more battle characters, increases own poison evasion rate by 40% during battle (available in support formation).</t>
  </si>
  <si>
    <t>Troop - Evade Poison (5☆ Awaken x3):
When your troop contains 3 or more battle characters, increases own poison evasion rate by 60% during battle (available in support formation).</t>
  </si>
  <si>
    <t>Souei [Blue Gale]</t>
  </si>
  <si>
    <t>Shadow Disruption Lv.MAX:
Single-target wind physical attack for 435%.</t>
  </si>
  <si>
    <t>Supporting Wave Lv.1/Lv.10:
Increases all allies' ATK by 15%/20% (Turns: 1).
Lv.1/Lv.10 Cost: 65/55</t>
  </si>
  <si>
    <t>Siege Lv.1/Lv.10:
Recovers all allies from Poison. Increases own poison evasion rate by 5%/10% (Turns: 3).
Lv.1/Lv.10 Cost: 40/30</t>
  </si>
  <si>
    <t>Shuna [Pink Ogre Princess]</t>
  </si>
  <si>
    <t>Chain of Blue Flames Lv.MAX:
All-target fire magic attack for 260%.</t>
  </si>
  <si>
    <t>Raging Blue Flames Lv.1/Lv.10:
Increases all allies' DEF by 15%/20% (Turns: 3). Increases all allies' guard rate by 10% (Turns: 1).
Lv.1/Lv.10 Cost: 25/15</t>
  </si>
  <si>
    <t>Cradle Barrier Lv.1/Lv.10:
Increases all allies' pierce resistance by 40%/50% (Turns: 1).
Lv.1/Lv.10 Cost: 25/15</t>
  </si>
  <si>
    <t>HP - DEF UP 2 (5☆ Awaken x1):
When you have max HP, increases own DEF by 7% at start of turn (available in support formation).</t>
  </si>
  <si>
    <t>HP - DEF UP 2 (5☆ Awaken x3):
When you have max HP, increases own DEF by 11% at start of turn (available in support formation).</t>
  </si>
  <si>
    <t>Hakurou [White Slash]</t>
  </si>
  <si>
    <t>Sudden Slice Lv.MAX:
Single-target space physical attack for 435%.</t>
  </si>
  <si>
    <t>Contemplation Lv.1/Lv.10:
Changes Soul of Divine Protection x2 into Soul of Skills. Increases all Soul of Skills gauges' increase by 5%/10% (Turns: 1).
Lv.1/Lv.10 Cost: 35/25</t>
  </si>
  <si>
    <t>Trembling Glare Lv.1/Lv.10:
Decreases a single target's guard power by 10%/20% (Turns: 3).
Lv.1/Lv.10 Cost: 25/15</t>
  </si>
  <si>
    <t>Kurobe [Steel Heart of Forge]</t>
  </si>
  <si>
    <t>Hammer</t>
  </si>
  <si>
    <t>Three Evils of the Forge Lv.MAX:
All-target earth physical attack for 260%.</t>
  </si>
  <si>
    <t>Magnum Opus Lv.1/Lv.10:
Changes Soul of Secrets x1 into Soul of Divine Protection. Increases all Soul of Divine Protection gauges' increase by 5%/10% (Turns: 1).
Lv.1/Lv.10 Cost: 25/15</t>
  </si>
  <si>
    <t>Speed Sharpen Lv.1/Lv.10:
Increases all allies' pierce resistance by 40%/50% (Turns: 1).
Lv.1/Lv.10 Cost: 25/15</t>
  </si>
  <si>
    <t>Soul Combo - Enhance Counterattack Rate (5☆ Awaken x1):
When you unleash a 5+ combo attack with Soul of Divine Protection, increases own counterattack rate by 6% for the next turn (available in support formation).</t>
  </si>
  <si>
    <t>Soul Combo - Enhance Counterattack Rate (5☆ Awaken x3):
When you unleash a 5+ combo attack with Soul of Divine Protection, increases own counterattack rate by 9% for the next turn (available in support formation).</t>
  </si>
  <si>
    <t>Rimuru Tempest [Swordsmanship Forge]</t>
  </si>
  <si>
    <t>Binding Hell Flare Lv.MAX:
Single-target dark magic attack for 435%.</t>
  </si>
  <si>
    <t>Forge Result Lv.1/Lv.10:
Increases all allies' ATK by 20%/25% (Turns: 1).
Lv.1/Lv.10 Cost: 65/55</t>
  </si>
  <si>
    <t>Anti-magic Wave Lv.1/Lv.10:
Decreases a single target's pierce resistance by 10%/20% (Turns: 2).
Lv.1/Lv.10 Cost: 25/15</t>
  </si>
  <si>
    <t>Soul Combo - Pierce Rate UP (5☆ Awaken x1):
When you unleash a 4+ combo attack with Soul of Secrets, increases own pierce rate by 5% for the next turn (available in support formation).</t>
  </si>
  <si>
    <t>Soul Combo - Pierce Rate UP (5☆ Awaken x3):
When you unleash a 4+ combo attack with Soul of Secrets, increases own pierce rate by 8% for the next turn (available in support formation).</t>
  </si>
  <si>
    <t>Budget Space Rimuru. With a single target nuke. Solid. In my test, 20% atk buff can translate into 30-40% more damage.</t>
  </si>
  <si>
    <t>Myulan [Leisurely Lady]</t>
  </si>
  <si>
    <t>Confection Burst Lv.MAX:
All-target light magic attack for 260%.</t>
  </si>
  <si>
    <t>Destiny Rendezvous Lv.1/Lv.10:
Changes Soul of Skills x2 into Soul of Secrets. Increases all Soul of Secrets gauges' increase by 5%/10% (Turns: 1).</t>
  </si>
  <si>
    <t>It's a Date Lv.1/Lv.10:
Descreases all targets' critical damage by 20%/30% (Turns: 2).</t>
  </si>
  <si>
    <t>Shuna [The Holy Sunrise]</t>
  </si>
  <si>
    <t>New Dawn Lv.MAX:
All-target fire magic attack for 260%.</t>
  </si>
  <si>
    <t>Brilliant Dawn Lv.1/Lv.10:
Changes Soul of Skills x2 into Soul of Divine Protection. Increases all Soul of Divine Protection gauges' increase by 5%/10% (Turns: 1).</t>
  </si>
  <si>
    <t>Prayer of Plenty Lv.1/Lv.10:
Recovers all allies from Poison. Increases own poison evasion rate by 5%/10% (Turns: 3).</t>
  </si>
  <si>
    <t>Soul Combo - Counter Power DOWN (5☆ Awaken x1):
When you unleash a 5+ combo attack with Soul of Divine Protection, decreases all targets' counter power by 8% for the next turn (available in support formation).</t>
  </si>
  <si>
    <t>Soul Combo - Counter Power DOWN (5☆ Awaken x3):
When you unleash a 5+ combo attack with Soul of Divine Protection, decreases all targets' counter power by 12% for the next turn (available in support formation).</t>
  </si>
  <si>
    <t>Shion [The Bold Servant]</t>
  </si>
  <si>
    <t>Holy Circle Lv.MAX:
All-target wind physical attack for 260%.</t>
  </si>
  <si>
    <t>Dynamic Cooking Lv.1/Lv.10:
Heals self by 20%/25% of own max HP. Increases Soul of Skills damage until the end of battle by 5% (Max: 100%).
Lv.1/Lv.10 Cost: 25/15</t>
  </si>
  <si>
    <t>Destructive Cleaning Lv.1/Lv.10:
Increases all allies' pierce resistance by 20%/25% (Turns: 2).
Lv.1/Lv.10 Cost: 25/15</t>
  </si>
  <si>
    <t>HP - Pierce Power UP 2 (5☆ Awaken x1):
When you have 75% or more HP, increases own pierce power by 8% at start of turn (available in support formation).</t>
  </si>
  <si>
    <t>HP - Pierce Power UP 2 (5☆ Awaken x3):
When you have 75% or more HP, increases own pierce power by 12% at start of turn (available in support formation).</t>
  </si>
  <si>
    <t>Another free 6-starrable unit. Unfortunately her ult is AOE. Quite tanky especially with her event exclusive gear.</t>
  </si>
  <si>
    <t>Benimaru [Valiant Kijin]</t>
  </si>
  <si>
    <t>Detonating Flash Lv.MAX:
All-target light physical attack for 260%.</t>
  </si>
  <si>
    <t>Lion Dance Lv.1/Lv.10:
Increases own critical rate by 80%/100% (Turns: 1).
Lv.1/Lv.10 Cost: 25/15</t>
  </si>
  <si>
    <t>Fair and Square Lv.1/Lv.10:
Increases all allies' critical resistance by 40%/50% (Turns: 1).
Lv.1/Lv.10 Cost: 25/15</t>
  </si>
  <si>
    <t>HP - Pierce Rate Up 2 (5☆ Awaken x1):
When you have max HP, increases own pierce rate by 8% at start of turn (available in support formation).</t>
  </si>
  <si>
    <t>HP - Pierce Rate Up 2 (5☆ Awaken x3):
When you have max HP, increases own pierce rate by 12% at start of turn (available in support formation).</t>
  </si>
  <si>
    <t>Base crit is not that strong but nice to have (~30% extra damage). Skill 1 often used for crit quests.</t>
  </si>
  <si>
    <t>Ranga [Loyal Wolf]</t>
  </si>
  <si>
    <t>Sonic Wolf Lv. MAX:
Single-target wind magic attack for 435%.</t>
  </si>
  <si>
    <t>Wild Run Lv.1/Lv.10:
Changes Soul of Secrets x1 into Soul of Divine Protection. Increases all Soul of Divine Protection gauges' increase by 5%/10% (Turns: 1).
Lv.1/Lv.10 Cost: 25/15</t>
  </si>
  <si>
    <t>Crowd Work Lv.1/Lv.10:
Increases all allies' critical rate by 15%/25% (Turns: 1).
Lv.1/Lv.10 Cost: 65/55</t>
  </si>
  <si>
    <t>Yuuki Kagurazaka [Grandmaster]</t>
  </si>
  <si>
    <t>Sonic Impact Lv.MAX:
Single-target water physical attack for 435%.</t>
  </si>
  <si>
    <t>Oracle's Card Lv.1/Lv.10:
Changes Soul of Divine Protection x2 into Soul of Skills. Increases all Soul of Skills gauges' increase by 5%/10% (Turns: 1).
Lv.1/Lv.10 Cost: 35/25</t>
  </si>
  <si>
    <t>Mind Veil Lv.1/Lv.10:
Decreases a single target's critical damage by 10%/20% (Turns: 3).
Lv.1/Lv.10 Cost: 25/15</t>
  </si>
  <si>
    <t>Effect - Guard Rate UP (5☆ Awaken x1):
When affected by Critical Resistance UP, increases own guard rate by 8% at start of turn (available in support formation).</t>
  </si>
  <si>
    <t>Effect - Guard Rate UP (5☆ Awaken x3):
When affected by Critical Resistance UP, increases own guard rate by 12% at start of turn (available in support formation).</t>
  </si>
  <si>
    <t>Phobio [Leopard Fang]</t>
  </si>
  <si>
    <t>Leopard Fang Flaming Palm Lv.MAX:
All-target fire magic attack for 260%.</t>
  </si>
  <si>
    <t>Thrill of the Hunt Lv.1/Lv.10:
Changes Soul of Skills x2 into Soul of Secrets. Increases all Soul of Secrets gauges' increase by 5%/10% (Turns: 1).
Lv.1/Lv.10 Cost: 35/25</t>
  </si>
  <si>
    <t>Leopard's Claw Lv.1/Lv.10:
Decreases a single target's critical resistance by 15%/25% (Turns: 2).
Lv.1/Lv.10 Cost: 25/15</t>
  </si>
  <si>
    <t>Soul Combo - Pierce Power UP 2 (5☆ Awaken x1):
When you unleash a 5+ combo attack with Soul of Secrets, increases own pierce power by 6% for the next turn (available in support formation).</t>
  </si>
  <si>
    <t>Soul Combo - Pierce Power UP 2 (5☆ Awaken x3):
When you unleash a 5+ combo attack with Soul of Secrets, increases own pierce power by 9% for the next turn (available in support formation).</t>
  </si>
  <si>
    <t>Benimaru [Next Clan Leader]</t>
  </si>
  <si>
    <t>Spirit Slayer Lv.MAX:
Single-target fire physical attack for 435%.</t>
  </si>
  <si>
    <t>Dancing Swords Lv.1/Lv.10:
Increases own ATK by 15%/20% (Turns: 1).
Lv.1/Lv.10 Cost: 25/15</t>
  </si>
  <si>
    <t>Vengeance Flourishing Lv.1/Lv.10:
Increases all allies' stun evasion rate by 90%/100% (Turns: 1).
Lv.1/Lv.10 Cost: 35/25</t>
  </si>
  <si>
    <t>Effect - Pierce Power UP 2 (5☆ Awaken x1):
When 1 or more enemies are affected by Pierce Resistance DOWN, increases own pierce power by 5% at start of turn (available in support formation).</t>
  </si>
  <si>
    <t>Effect - Pierce Power UP 2 (5☆ Awaken x3):
When 1 or more enemies are affected by Pierce Resistance DOWN, increases own pierce power by 8% at start of turn (available in support formation).</t>
  </si>
  <si>
    <t>Rigurd [Hobgoblin Monarch]</t>
  </si>
  <si>
    <t>3☆</t>
  </si>
  <si>
    <t>Muscle Strike Lv.MAX:
Single-target wind physical attack for 420%.</t>
  </si>
  <si>
    <t>Macho Armor Lv.1/Lv.10:
Increases own guard rate by 30%/50% (Turns: 3). Increases own DEF by 30% (Turns: 1).
Lv.1/Lv.10 Cost: 25/15</t>
  </si>
  <si>
    <t>Pump Up Lv.1/Lv.10:
Increases all allies' guard penetration by 40%/50% (Turns: 1).
Lv.1/Lv.10 Cost: 40/30</t>
  </si>
  <si>
    <t>Troop - Guard Rate UP (5☆ Awaken x1):
When your troop contains 3 or more battle characters, increases own guard rate by 3% during battle (available in support formation).</t>
  </si>
  <si>
    <t>Troop - Guard Rate UP (5☆ Awaken x3):
When your troop contains 3 or more battle characters, increases own guard rate by 5% during battle (available in support formation).</t>
  </si>
  <si>
    <t>Quite possibly the tankiest unit due to skill 1.</t>
  </si>
  <si>
    <t>Alice Rondo [Golem Master]</t>
  </si>
  <si>
    <t>Puppet Rondo Lv.MAX:
Single-target space magic attack for 420%.</t>
  </si>
  <si>
    <t>Sad Russian Doll Lv.1/Lv.10:
Chance to stun a single target: 10%/30% (Turns: 1).
Lv.1/Lv.10 Cost: 35/25</t>
  </si>
  <si>
    <t>The Figurine's Curse Lv.1/Lv.10:
Decreases a single target's counterattack rate by 20%/30% (Turns: 1).
Lv.1/Lv.10 Cost: 25/15</t>
  </si>
  <si>
    <t>The only unit that can stun. Can be used to RNG cheese some conquest battles.</t>
  </si>
  <si>
    <t>Kurobe [Immobile Black Ogre]</t>
  </si>
  <si>
    <t>Heavy Blow Lv.MAX:
Single-target fire physical attack for 420%.</t>
  </si>
  <si>
    <t>Flint Lv.1/Lv.10:
Increases all allies' pierce resistance by 40%/50% (Turns: 2).
Lv.1/Lv.10 Cost: 35/25</t>
  </si>
  <si>
    <t>Repair Equipment Lv.1/Lv.10:
Changes Soul of Divine Protection x1 into Soul of Secrets. Increases all Soul of Secrets gauges' increase by 5%/10% (Turns: 1).
Lv.1/Lv.10 Cost: 25/15</t>
  </si>
  <si>
    <t>HP - Guard Power UP (5☆ Awaken x1):
When you have max HP, increases own guard power by 6% at start of turn (available in support formation).</t>
  </si>
  <si>
    <t>HP - Guard Power UP (5☆ Awaken x3):
When you have max HP, increases own guard power by 9% at start of turn (available in support formation).</t>
  </si>
  <si>
    <t>Souei [Instant Spy]</t>
  </si>
  <si>
    <t>Shredding Darkness Lv.MAX:
Single-target dark physical attack for 435%.</t>
  </si>
  <si>
    <t>Free Thread Lv.1/Lv.10:
Changes Soul of Skills x2 into Soul of Secrets. Increases all Soul of Secrets gauges' increase by 5%/10% (Turns: 1).
Lv.1/Lv.10 Cost: 35/25</t>
  </si>
  <si>
    <t>Dark Ogre Lv.1/Lv.10:
Recovers all allies from Poison. Increases own poison evasion rate by 5%/10% (Turns: 3).
Lv.1/Lv.10 Cost: 40/30</t>
  </si>
  <si>
    <t>Poison is useless/waste of a turn and skill points in the current meta.</t>
  </si>
  <si>
    <t>Shion [Purple Smash]</t>
  </si>
  <si>
    <t>Purple Iron Hammer Lv.MAX:
All-target space physical attack for 260%.</t>
  </si>
  <si>
    <t>Destructive Strike Lv.1/Lv.10:
Decrease all targets' DEF by 25%/30% (Turns: 2).
Lv.1/Lv.10 Cost: 65/55</t>
  </si>
  <si>
    <t>Furious Shake Lv.1/Lv.10:
Increases own guard penetration by 60%/70% (Turns: 1).
Lv.1/Lv.10 Cost: 25/15</t>
  </si>
  <si>
    <t>Soul Combo - Pierce Power UP (5☆ Awaken x1):
When you unleash a 4+ combo attack with Soul of Skills, increases own pierce power by 4% for the next turn (available in support formation).</t>
  </si>
  <si>
    <t>Soul Combo - Pierce Power UP (5☆ Awaken x3):
When you unleash a 4+ combo attack with Soul of Skills, increases own pierce power by 6% for the next turn (available in support formation).</t>
  </si>
  <si>
    <t>The only unit that can debuff def by 25% for 2 turns. How this translate to damage is under investigation.</t>
  </si>
  <si>
    <t>Gale Gibson [Earth Spirit Lodger]</t>
  </si>
  <si>
    <t>Grand Blaster Lv.MAX:
Single-target earth magic attack for 420%.</t>
  </si>
  <si>
    <t>Shield Field Lv.1/Lv.10:
Increases all allies' counter power by 10%/20% (Turns: 2).
Lv.1/Lv.10 Cost: 35/25</t>
  </si>
  <si>
    <t>Gardener Combat Lv.1/Lv.10:
Increases all allies' pierce resistance by 40%/50% (Turns: 1).
Lv.1/Lv.10 Cost: 25/15</t>
  </si>
  <si>
    <t>Troop - Pierce Rate UP (5☆ Awaken x1):
When your troop contains 3 or more battle characters, increases own pierce rate by 3% during battle (available in support formation).</t>
  </si>
  <si>
    <t>Troop - Pierce Rate UP (5☆ Awaken x3):
When your troop contains 3 or more battle characters, increases own pierce rate by 5% during battle (available in support formation).</t>
  </si>
  <si>
    <t>Synergize his counter skill with Golem protector.</t>
  </si>
  <si>
    <t>Ryota Sekiguchi [Harmonizer of Insanity and Calm]</t>
  </si>
  <si>
    <t>Berserk Break Lv.MAX:
Single-target water physical attack for 420%.</t>
  </si>
  <si>
    <t>Support Stance Lv.1/Lv.10:
Increases all allies' max HP by 10%/20% (Turns: 3).
Lv.1/Lv.10 Cost: 25/15</t>
  </si>
  <si>
    <t>Breezy Reflection Lv.1/Lv.10:
Decreases all targets' counterattack resistance by 10%/20% (Turns: 2).
Lv.1/Lv.10 Cost: 25/15</t>
  </si>
  <si>
    <t>Troop - Pierce Power UP (5☆ Awaken x1):
When your troop contains 3 or more battle characters, increases own pierce power by 3% during battle (available in support formation).</t>
  </si>
  <si>
    <t>Troop - Pierce Power UP (5☆ Awaken x3):
When your troop contains 3 or more battle characters, increases own pierce power by 5% during battle (available in support formation).</t>
  </si>
  <si>
    <t>Benimaru [Crimson Ogre Warrior]</t>
  </si>
  <si>
    <t>Dark Flame Flash:
Single-target dark physical attack for 435%.</t>
  </si>
  <si>
    <t>Battle Rush Lv.1/Lv.10:
Decreases a single target's DEF by 10%/15% (Turns: 1). Increases own critical rate by 15% (Turns: 1).
Lv.1/Lv.10 Cost: 25/15</t>
  </si>
  <si>
    <t>Dark Tactics Lv.1/Lv.10:
Increases all allies' stun evasion rate by 90%/100% (Turns: 1).
Lv.1/Lv.10 Cost: 35/25</t>
  </si>
  <si>
    <t>HP - Lash Out (5☆ Awaken x1):
When you have 75% or higher HP, increasess own counter power by 4% at start of turn (available in support formation).</t>
  </si>
  <si>
    <t>HP - Lash Out (5☆ Awaken x3):
When you have 75% or higher HP, increasess own counter power by 6% at start of turn (available in support formation).</t>
  </si>
  <si>
    <t>Low stats but saved by his exclusive event gear, boosting his ATK and DEF by 20%. F2P should farm event to max him out, as he'll likely be your strongest unit for a long time.</t>
  </si>
  <si>
    <t>Kenya Misaki [Heroic Vessel]</t>
  </si>
  <si>
    <t>Heroic Braver Lv.MAX:
Single-target light physical attack for 420%.</t>
  </si>
  <si>
    <t>Support of the Spirits Lv.1/Lv.10:
Changes Soul of Secrets x1 into Soul of Divine Protection. Increases all Soul of Divine Protection gauges' increase by 5%/10% (Turns: 1).
Lv.1/Lv.10 Cost: 25/15</t>
  </si>
  <si>
    <t>Concentrated Bonds Lv.1/Lv.10:
Redraws soul in hand. Increases all Soul of Divine Protection gauges' increase by 5%/10% (Turns: 1).
Lv.1/Lv.10 Cost: 25/15</t>
  </si>
  <si>
    <t xml:space="preserve">His base ATK is higher than many 4☆ units. Good use as light support for your dps light unit. His skill 2 is like gambling. </t>
  </si>
  <si>
    <t>Passive 1</t>
  </si>
  <si>
    <t>Passive 2</t>
  </si>
  <si>
    <t>Divine Protection</t>
  </si>
  <si>
    <t>Protection Skill</t>
  </si>
  <si>
    <t>Trait 1</t>
  </si>
  <si>
    <t>Trait 2</t>
  </si>
  <si>
    <t>Milim Nava [Bellicose Dragoneye]</t>
  </si>
  <si>
    <t>Water Magic Device +200%</t>
  </si>
  <si>
    <t>Space Magic Device +100%</t>
  </si>
  <si>
    <t>Eternal Dragon Empress Lv.MAX:
Increases all allies' water ATK at start of battle by 16%. Increases all allies' space ATK at start of battle by 8%.</t>
  </si>
  <si>
    <t>Drago Changer Lv.1/Lv.10:
Increases all allies' guard rate by 60%/80% (Turns: 3). Increases Soul of Divine Protection damage until the end of battle by 20% (Max: 100%).</t>
  </si>
  <si>
    <t>HP - Critical Resistance (5☆ Awaken x1):
When 3 vanguard have 50% or more HP, increases all allies' critical resistance by 10% at start of turn.</t>
  </si>
  <si>
    <t>HP - Critical Resistance (5☆ Awaken x3):
When 3 vanguard have 50% or more HP, increases all allies' critical resistance by 15% at start of turn.</t>
  </si>
  <si>
    <t>Elemental Colossus [Golem]</t>
  </si>
  <si>
    <t>Earth Magic Device +200%</t>
  </si>
  <si>
    <t>Water Magic Device +100%</t>
  </si>
  <si>
    <t>Spirit Engineering Crystal Lv.MAX:
Increases all allies' earth ATK at start of battle by 16%. Increases all allies' water ATK at start of battle by 8%.</t>
  </si>
  <si>
    <t>Limit Break Lv.1/Lv.10:
Increases all allies' guard rate by 60%/80% (Turns: 3). Increases all allies' counterattack rate by 60% (Turns: 2).</t>
  </si>
  <si>
    <t>HP - Pierce Resistance (5☆ Awaken x1):
When 3 vanguard have 50% or more HP, increases all allies' pierce resistance by 10% at the start of turn.</t>
  </si>
  <si>
    <t>HP - Pierce Resistance (5☆ Awaken x3):
When 3 vanguard have 50% or more HP, increases all allies' pierce resistance by 15% at the start of turn.</t>
  </si>
  <si>
    <t>Shuna [The Faithful Housemaid]</t>
  </si>
  <si>
    <t>Wind Magic Device +200%</t>
  </si>
  <si>
    <t>Training of the Maid Lv.MAX:
Increases all allies' wind ATK at start of battle by 16%. Increases all allies' water ATK at start of battle by 8%.</t>
  </si>
  <si>
    <t>Yuletide Sparkle Lv.1/Lv.10:
Increases all allies' guard rate by 60%/80% (Turns: 3). Increases all Soul of Skills gauges' increase by 50% (Turns: 3).</t>
  </si>
  <si>
    <t>Combo - Pierce Resistance DOWN 2 (5☆ Awaken x1):
When the enemy makes a combo attack, increases all allies' pierce resistance by 10% at the start of the next turn.</t>
  </si>
  <si>
    <t>Combo - Pierce Resistance DOWN 2 (5☆ Awaken x3):
When the enemy makes a combo attack, increases all allies' pierce resistance by 15% at the start of the next turn.</t>
  </si>
  <si>
    <t>Veldora Tempest [Storm Dragon]</t>
  </si>
  <si>
    <t>Dark Magic Device +100%</t>
  </si>
  <si>
    <t>Ambition of the Four True Dragons Lv.MAX:
Increases all allies' wind ATK at start of battle by 16%. Increases all allies' dark ATK at start of battle by 8%.</t>
  </si>
  <si>
    <t>Tempest Shout Lv.1/Lv.10:
Increases skill cost limit until the end of battle by 20/30 (Max: 999). Increases Soul of Combos damage by 10% (Max: 50%). Increases skill points by 30.</t>
  </si>
  <si>
    <t>HP - Critical Rate UP (5☆ Awaken x1):
When 3 vanguard have 50% or lower HP, increases all allies' critical rate by 8% at start of turn.</t>
  </si>
  <si>
    <t>HP - Critical Rate UP (5☆ Awaken x3):
When 3 vanguard have 50% or lower HP, increases all allies' critical rate by 12% at start of turn.</t>
  </si>
  <si>
    <t>Soka [The Lovestruck Maiden]</t>
  </si>
  <si>
    <t>Light Magic Device +200%</t>
  </si>
  <si>
    <t>Earth Magic Device +100%</t>
  </si>
  <si>
    <t>Feelings Concealed Lv.Max:
Increases all allies' light ATK at start of battle by 16%. Increases all allies' earth ATK at start of battle by 8%.</t>
  </si>
  <si>
    <t>Pure Emotion Lv.1/Lv.10:
Increases all allies' guard rate by 60%/80% (Turns: 3). Decreases the skill cost by 20 for vanguard allies (Cannot go below each skill's initial cost). Increases Soul of Secrets secret skill gauge increase by 20% (Turns: 3).</t>
  </si>
  <si>
    <t>Rimuru Tempest [The Chancellor of Prosperity]</t>
  </si>
  <si>
    <t>Fire Magic Device +200%</t>
  </si>
  <si>
    <t>Wind Magic Device +100%</t>
  </si>
  <si>
    <t>Hour of Prosperity Lv.MAX:
Increase all allies' fire ATK at the start of battle by 16%. Increase all allies' wind ATK at start of battle by 8%.</t>
  </si>
  <si>
    <t>Tempest Daybreak Lv.1/Lv.10:
Decrease all targets' fire resistance by 20%/30% (Turns: 3). Increase Soul of Divine Protection gauges' increase until the end of the battle by 20% (Max: 100%). Increase skill cost limit until the end of battle by 25 (Max: 999).</t>
  </si>
  <si>
    <t>HP - DEF DOWN (5☆ Awaken x1):
When 3 vanguard have 50% or more HP, decreases all targets' DEF by 3% at start of turn.</t>
  </si>
  <si>
    <t>HP - DEF DOWN (5☆ Awaken x3):
When 3 vanguard have 50% or more HP, decreases all targets' DEF by 5% at start of turn.</t>
  </si>
  <si>
    <t>Orc Disaster [Starved]</t>
  </si>
  <si>
    <t>Dark Magic Device +200%</t>
  </si>
  <si>
    <t>Fire Magic Device +100%</t>
  </si>
  <si>
    <t>Unending Thirst Lv.MAX:
Increases all allies' dark ATK at start of battle by 16%. Increases all allies' fire ATK at start of battle by 8%.</t>
  </si>
  <si>
    <t>Chaos Control Lv.1/Lv.10:
Increases skill cost limit until the end of battle by 10/20 (Max: 999). Changes Soul of Skills into Soul of Secrets. Increases skill points by 20.</t>
  </si>
  <si>
    <t>Effect - Pierce Resistance DOWN (5☆ Awaken x1):
When 1 or more enemies are affected by DEF UP, decreases all targets' pierce resistance by 7% at start of turn.</t>
  </si>
  <si>
    <t>Effect - Pierce Resistance DOWN (5☆ Awaken x3):
When 1 or more enemies are affected by DEF UP, decreases all targets' pierce resistance by 11% at start of turn.</t>
  </si>
  <si>
    <t>Charybdis [Swimming Calamity]</t>
  </si>
  <si>
    <t>Space Magic Device +200%</t>
  </si>
  <si>
    <t>Swimming Calamity Lv.MAX:
Increases all allies' space ATK at start of battle by 16%. Increases all allies' wind ATK at start of battle by 8%.</t>
  </si>
  <si>
    <t>Wicked Eye Lv.1/Lv.10:
Increases skill cost limit until end of battle by 30/40 (Max: 999). Increases all Soul of Skills gauges' increase by 150% (Turns: 3).</t>
  </si>
  <si>
    <t>Effect - DEF DOWN (5☆ Awaken x1):
When 1 or more enemies are affected by Guard Rate UP, decreases all targets' DEF by 4% at start of turn.</t>
  </si>
  <si>
    <t>Effect - DEF DOWN (5☆ Awaken x3):
When 1 or more enemies are affected by Guard Rate UP, decreases all targets' DEF by 6% at start of turn.</t>
  </si>
  <si>
    <t>Ifrit [Burning Spirit]</t>
  </si>
  <si>
    <t>Light Magic Device +100%</t>
  </si>
  <si>
    <t>Burning Siege Lv.MAX:
Increases all allies' fire ATK at start of battle by 16%. Increases all allies' light ATK at start of battle by 8%.</t>
  </si>
  <si>
    <t>Flame Zone Lv.1/Lv.10:
Increases all allies' Secret Skill Gauge by 30%/40%. Increases all allies' fire ATK by 15% (Turns: 2).</t>
  </si>
  <si>
    <t>HP - DEF DOWN (5☆ Awaken x1):
When 3 vanguard have 75% or more HP, decreases all targets' DEF by 4% at start of turn.</t>
  </si>
  <si>
    <t>HP - DEF DOWN (5☆ Awaken x3):
When 3 vanguard have 75% or more HP, decreases all targets' DEF by 6% at start of turn.</t>
  </si>
  <si>
    <t>Ramiris [Fairy of the Labryrinth]</t>
  </si>
  <si>
    <t>Prank Illusion Lv.MAX:
Increases all allies' light ATK at start of battle by 16%. Increases all allies' earth ATK at start of battle by 8%.</t>
  </si>
  <si>
    <t>Small World Lv.1/Lv.10:
Changes Soul of Secrets into Soul of Divine Protection. Increases all allies' light ATK by 10%/20% (Turns: 2).</t>
  </si>
  <si>
    <t>HP - ATK UP (5☆ Awaken x1):
When all 3 vanguard have 75% or more HP, increases all allies' ATK by 4% at start of turn.</t>
  </si>
  <si>
    <t>HP - ATK UP (5☆ Awaken x3):
When all 3 vanguard have 75% or more HP, increases all allies' ATK by 6% at start of turn.</t>
  </si>
  <si>
    <t>Shion [The Talented Secretary]</t>
  </si>
  <si>
    <t>Unconcealed Power Lv.MAX:
Increases all allies' dark ATK at start of battle by 16%. Increases all allies' fire ATK at start of battle by 8%.</t>
  </si>
  <si>
    <t>Flawless Secretary Lv.1/Lv.10:
Changes Soul of Skills into Soul of Divine Protection. Increases all allies' Secret Skill Gauge by 15%/25%.</t>
  </si>
  <si>
    <t>Sky Dragon [Soaring Dragon Calamity]</t>
  </si>
  <si>
    <t>Symbol of Protection +100%</t>
  </si>
  <si>
    <t>Falling Lightning Lv.MAX:
Increases all allies' dark ATK at start of battle by 13%. Increases all allies' space ATK at start of battle by 5%.</t>
  </si>
  <si>
    <t>Thunder and Rain Lv.1/Lv.10:
Increases skill cost limit until the end of battle by 5/15 (Max: 999). Changes Soul of Divine Protection into Soul of Skills.</t>
  </si>
  <si>
    <t>Effect - Light Resistance (5☆ Awaken x1):
When 1 or more enemies are affected by ATK UP, increases all allies' light resistance by 7% at start of turn.</t>
  </si>
  <si>
    <t>Effect - Light Resistance (5☆ Awaken x3):
When 1 or more enemies are affected by ATK UP, increases all allies' light resistance by 11% at start of turn.</t>
  </si>
  <si>
    <t>Fuze [Guildmaster]</t>
  </si>
  <si>
    <t>Guildmaster's Lead Lv.MAX:
Increases all allies' wind ATK at start of battle by 13%. Increases all allies' dark ATK at start of battle by 5%.</t>
  </si>
  <si>
    <t>Information Gathering Lv.1/Lv.10:
Increases skill cost limit until the end of battle by 5/15 (Max: 999). Changes Soul of Secrets into Soul of Skills.</t>
  </si>
  <si>
    <t>HP - DEF UP 3 (5☆ Awaken x1):
When 3 vanguard have max HP, increases all allies' DEF by 10% at start of turn.</t>
  </si>
  <si>
    <t>HP - DEF UP 3 (5☆ Awaken x3):
When 3 vanguard have max HP, increases all allies' DEF by 15% at start of turn.</t>
  </si>
  <si>
    <t>Salamander [The Flame Master]</t>
  </si>
  <si>
    <t>Burning Invasion Lv.MAX:
Increases all allies' fire ATK at start of battle by 13%. Increases all allies' earth ATK at start of battle by 5%.</t>
  </si>
  <si>
    <t>Fire Blast Lv.1/Lv.10:
Increases all Soul of Secrets gauges' increase by 25%/35% (Turns: 3). Increases all allies' fire ATK by 10% (Turns: 2).</t>
  </si>
  <si>
    <t>Combo - Pierce Resistance DOWN (5☆ Awaken x1):
When the enemy makes a combo attack, decreases all target's pierce resistance by 6% for the next turn.</t>
  </si>
  <si>
    <t>Combo - Pierce Resistance DOWN (5☆ Awaken x3):
When the enemy makes a combo attack, decreases all target's pierce resistance by 9% for the next turn.</t>
  </si>
  <si>
    <t>Garm [The Armor Artisan]</t>
  </si>
  <si>
    <t>Symbol of Protection +200%</t>
  </si>
  <si>
    <t>Forged Armor Lv.MAX:
Increases all allies' P-ATK at start of battle by 11%.</t>
  </si>
  <si>
    <t>Craftsmanship Revelation Lv.1/Lv.10:
Increases all allies' guard rate by 30%/40% (Turns: 2).</t>
  </si>
  <si>
    <t>Effect - DEF DOWN 2 (5☆ Awaken x1):
When 1 or more allies are affected by ATK DOWN, decrease all targets' DEF by 4% at start of turn.</t>
  </si>
  <si>
    <t>Effect - DEF DOWN 2 (5☆ Awaken x3):
When 1 or more allies are affected by ATK DOWN, decrease all targets' DEF by 6% at start of turn.</t>
  </si>
  <si>
    <t>Gobuichi [The Hobgoblin Chef]</t>
  </si>
  <si>
    <t>Healthy Food Master Lv.MAX:
Increases all allies' P-ATK at start of battle by 11%.</t>
  </si>
  <si>
    <t>Cooking Technique Lv.1/Lv.10:
Increases Soul of Skills damage by 30%/40% (Turns: 3). Increases all Soul of Skills gauges' increase by 40% (Turns: 3).</t>
  </si>
  <si>
    <t>Effect - Pierce Resistance DOWN 2 (5☆ Awaken x1):
When 1 or more enemies are affected by Critical Rate UP, decreases all targets' pierce resistance by 7% at start of turn.</t>
  </si>
  <si>
    <t>Effect - Pierce Resistance DOWN 2 (5☆ Awaken x3):
When 1 or more enemies are affected by Critical Rate UP, decreases all targets' pierce resistance by 11% at start of turn.</t>
  </si>
  <si>
    <t>Psychic Elf [Fortuneteller]</t>
  </si>
  <si>
    <t>Peek Into the Future Lv.MAX:
Increases all allies' M-ATK at start of battle by 11%.</t>
  </si>
  <si>
    <t>Astrology Lv.1/Lv.10:
Increases Soul of Secrets damage by 30%/40% (Turns: 3). Increases all Soul of Secrets gauges' increase by 40% (Turns: 3).</t>
  </si>
  <si>
    <t>Troop - Evade Poison 2 (5☆ Awaken x1):
When your troop contains 3 or more battle characters, increases all allies' poison evasion rate by 10% during battle.</t>
  </si>
  <si>
    <t>Troop - Evade Poison 2 (5☆ Awaken x3):
When your troop contains 3 or more battle characters, increases all allies' poison evasion rate by 15% during battle.</t>
  </si>
  <si>
    <t>Light Spirit [Heroic Conductor]</t>
  </si>
  <si>
    <t>Happy Happy Happy Lv.MAX:
Increases all allies' light ATK at start of battle by 13%. Increases all allies' water ATK at start of battle by 5%.</t>
  </si>
  <si>
    <t>Protection of Arrival Lv.1/Lv.10:
Increases all Soul of Divine Protection gauges' increase by 40%/50% (Turns: 2). Increases all allies' light ATK by 10% (Turns: 2).</t>
  </si>
  <si>
    <t>Effect - Dark Resistance (5☆ Awaken x1):
When 1 or more enemies are affected by ATK UP, increases all allies' dark resistance by at start of turn.</t>
  </si>
  <si>
    <t>Effect - Dark Resistance (5☆ Awaken x3):
When 1 or more enemies are affected by ATK UP, increases all allies' dark resistance by at start of turn.</t>
  </si>
  <si>
    <t>Veldora Tempest [Proud Kin of Dragons]</t>
  </si>
  <si>
    <t>Terrifying Winds Lv.MAX:
Increases all allies' water ATK at start of battle by 13%.</t>
  </si>
  <si>
    <t>Protection of the Storm Dragon Lv.1/Lv.10:
Changes Soul of Skills into Soul of Secrets. Increases Soul of Secrets damage by 5%/15% (Turns: 1).</t>
  </si>
  <si>
    <t>Combo - ATK DOWN (5☆ Awaken x1):
When the enemy makes a combo attack, decreases all targets' ATK by 5% for the next turn.</t>
  </si>
  <si>
    <t>Combo - ATK DOWN (5☆ Awaken x3):
When the enemy makes a combo attack, decreases all targets' ATK by 8% for the next turn.</t>
  </si>
  <si>
    <t>Vesta [Seeker]</t>
  </si>
  <si>
    <t>Lab Results Lv.MAX:
Increases all allies' space ATK at start of battle by 13%. Increases all allies' wind ATK at start of battle by 5%.</t>
  </si>
  <si>
    <t>End of Searching Lv.1/Lv.10:
Increases skill cost limit until the end of battle by 5/15 (Max: 999). Changes Soul of Secrets into Soul of Divine Protection.</t>
  </si>
  <si>
    <t>Effect - Critical Resistance DOWN (5☆ Awaken x1):
When 1 or more enemies are affected by Guard Rate UP, decreases all targets' critical resistance by 7% at start of turn.</t>
  </si>
  <si>
    <t>Effect - Critical Resistance DOWN (5☆ Awaken x3):
When 1 or more enemies are affected by Guard Rate UP, decreases all targets' critical resistance by 11% at start of turn.</t>
  </si>
  <si>
    <t>Kaijin [The Forge Artisan]</t>
  </si>
  <si>
    <t>Fire Magic Device 100%</t>
  </si>
  <si>
    <t>Sophisticated Armor Lv.MAX:
Increases all allies' earth ATK at start of battle by 13%. Increases all allies' fire ATK at start of battle by 5%.</t>
  </si>
  <si>
    <t>Supreme Sword Lv.1/Lv.10:
Increases all allies' guard rate by 50%/70% (Turns: 2). Increases Soul of Skills damage by 10% (Turns: 3).</t>
  </si>
  <si>
    <t>Secret Skill - ATK DOWN (5☆ Awaken x1):
When the enemy activates secret skill, decreases all targets' ATK by 6% for the next turn.</t>
  </si>
  <si>
    <t>Secret Skill - ATK DOWN (5☆ Awaken x3):
When the enemy activates secret skill, decreases all targets' ATK by 9% for the next turn.</t>
  </si>
  <si>
    <t>Gard Mjolmire [The Competent Merchant]</t>
  </si>
  <si>
    <t>Tough Business Lv.MAX:
Increases all allies' water ATK at start of battle by 13%. Increases all allies' light ATK at start of battle by 5%.</t>
  </si>
  <si>
    <t>Distribution Support Lv.1/Lv.10:
Increases all allies' guard rate by 50%/70% (Turns: 2). Increases all allies' guard power by 10% (Turns: 2).</t>
  </si>
  <si>
    <t>HP - Pierce Resistance DOWN (5☆ Awaken x1):
When 3 vanguard have 50% or lower HP, decreases all targets' pierce resistance by 5% at start of turn.</t>
  </si>
  <si>
    <t>HP - Pierce Resistance DOWN (5☆ Awaken x3):
When 3 vanguard have 50% or lower HP, decreases all targets' pierce resistance by 8% at start of turn.</t>
  </si>
  <si>
    <t>Myrd [The Construction Artisan]</t>
  </si>
  <si>
    <t>Building a Base Lv.MAX:
Increases all allies' M-ATK at start of battle by 11%.</t>
  </si>
  <si>
    <t>Silent Support Lv.1/Lv.10:
Increases skill cost limit until the end of battle by 30/40 (Max: 999). Increases all Soul of Skills gauges' increase by 40% (Turns: 3).</t>
  </si>
  <si>
    <t>Effect - Critical Resistance DOWN 2 (5☆ Awaken x1):
When 1 or more enemies are affected by ATK UP, decreases all targets' critical resistance by 7% at start of turn.</t>
  </si>
  <si>
    <t>Effect - Critical Resistance DOWN 2 (5☆ Awaken x3):
When 1 or more enemies are affected by ATK UP, decreases all targets' critical resistance by 11% at start of turn.</t>
  </si>
  <si>
    <t>Haruna [The Affectionate Hobgoblin]</t>
  </si>
  <si>
    <t>Blooming Smile Lv.MAX:
Increases all allies' P-ATK at start of battle by 11%.</t>
  </si>
  <si>
    <t>Gentle Prayer Lv.1/Lv.10:
Increases skill cost limit until the end of battle by 20/30 (Max: 999). Increases skill points by 20.</t>
  </si>
  <si>
    <t>HP - ATK UP 2 (5☆ Awaken x1):
When all 3 vanguard have 50% or more HP, increases all allies' ATK by 3% at start of turn.</t>
  </si>
  <si>
    <t>HP - ATK UP 2 (5☆ Awaken x3):
When all 3 vanguard have 50% or more HP, increases all allies' ATK by 5% at start of turn.</t>
  </si>
  <si>
    <t>Butterflies of the Night Owner [Bewitching Shopkeeper]</t>
  </si>
  <si>
    <t>Charitable Smile Lv.MAX:
Increases all allies' P-ATK at start of battle by 11%.</t>
  </si>
  <si>
    <t>A Moment of Peace Lv.1/Lv.10:
Increases Soul of Divine Protection damage by 50%/60% (Turns: 3). Increases all Soul of Divine Protection gauges' increase by 20% (Turns: 3).</t>
  </si>
  <si>
    <t>HP - Counterattack Resistance (5☆ Awaken x1):
When 3 vanguard have max HP, increases all allies' counterattack resistance by 20% at start of turn.</t>
  </si>
  <si>
    <t>HP - Counterattack Resistance (5☆ Awaken x3):
When 3 vanguard have max HP, increases all allies' counterattack resistance by 30% at start of turn.</t>
  </si>
  <si>
    <t>Dord [The Skilled Artisan]</t>
  </si>
  <si>
    <t>Jewelcraft Lv.MAX:
Increases all allies' M-ATK at start of battle by 11%.</t>
  </si>
  <si>
    <t>Proficiency and Expertise Lv.1/Lv.10:
Increases Soul of Skills damage by 30%/40% (Turns: 3). Increases all Soul of Skills gauges' increase by 30% (Turns: 3).</t>
  </si>
  <si>
    <t>6x Orb Swap = Protector!</t>
  </si>
  <si>
    <t>-&gt; Soul Converter Skill -&gt;</t>
  </si>
  <si>
    <t>Secret</t>
  </si>
  <si>
    <t>Skill</t>
  </si>
  <si>
    <t>Protection</t>
  </si>
  <si>
    <t>Unit</t>
  </si>
  <si>
    <t>Pic</t>
  </si>
  <si>
    <t>2x</t>
  </si>
  <si>
    <t>Veldora Tempest [The Proud Kin of Dragons]</t>
  </si>
  <si>
    <t>6x</t>
  </si>
  <si>
    <t>1x</t>
  </si>
  <si>
    <t xml:space="preserve">2x </t>
  </si>
  <si>
    <t>Fuze [The Guildmaster]</t>
  </si>
  <si>
    <t>Kenya Misaki [Heroio Vessel]</t>
  </si>
  <si>
    <t>Vesta [The Seeker]</t>
  </si>
  <si>
    <t>Ramiris [The Fairy of the Labyrinth]</t>
  </si>
  <si>
    <t>5☆ Protection Matrix</t>
  </si>
  <si>
    <t>4☆ Protection Matrix</t>
  </si>
  <si>
    <t>Sub Element (+8%)</t>
  </si>
  <si>
    <t>Main Element (+16%)</t>
  </si>
  <si>
    <t>Sub Element (+5%)</t>
  </si>
  <si>
    <t>Main Element (+13%)</t>
  </si>
  <si>
    <t>MATK +11%</t>
  </si>
  <si>
    <t>PATK +11%</t>
  </si>
  <si>
    <t>AOE ATK Buffers</t>
  </si>
  <si>
    <t>Special thanks to kadedeal for compiling this list!</t>
  </si>
  <si>
    <t>All of Creation Lv.1:
Increases all allies' ATK by 35% (Turns: 1).</t>
  </si>
  <si>
    <t>Supporting Wave Lv.1:
Increases all allies' ATK by 15% (Turns: 1).</t>
  </si>
  <si>
    <t>Forge Result Lv.1:
Increases all allies' ATK by 20% (Turns: 1).</t>
  </si>
  <si>
    <t>AOE DEF Buffers</t>
  </si>
  <si>
    <t>Magic Sense Lv.1:
Increases all allies' DEF by 20% (Turns: 2).</t>
  </si>
  <si>
    <t>Increased Momentum Lv.1:
Increases all allies' DEF by 20% (Turns: 1). Increases Soul of Divine Protection damage until the end of battle by 5% (Max: 100%).</t>
  </si>
  <si>
    <t>Dragon's Magic's Call Lv.1:
Increases all allies' DEF by 20% (Turns: 1).</t>
  </si>
  <si>
    <t>Sublimate Lv.1:
Increases all allies' DEF by 20% (Turns: 1).</t>
  </si>
  <si>
    <t>Whisper Lv.1:
Increases all allies' DEF by 15% (Turns: 3). Increases all allies' guard rate by 10% (Turns: 1).</t>
  </si>
  <si>
    <t>Draconic Frenzy Lv.1:
Increases all allies' DEF by 15% (Turns: 3). Increases all allies' guard rate by 10% (Turns: 1).</t>
  </si>
  <si>
    <t>Guardian Lv.1:
Increases all allies' DEF by 25% (Turns: 1).</t>
  </si>
  <si>
    <t>Raging Blue Flames Lv.1:
Increases all allies' DEF by 15% (Turns: 3). Increases all allies' guard rate by 10% (Turns: 1).</t>
  </si>
  <si>
    <t>DEF Debuffers</t>
  </si>
  <si>
    <t>Keigoku Lv.1:
Decreases all targets' DEF by 25% (Turns: 1). Increases all allies' critical rate by 30% (Turns: 1).</t>
  </si>
  <si>
    <t>Shooting Star Lv.1:
Decreases a single target's DEF by 5% (Turns: 2).</t>
  </si>
  <si>
    <t>Destructive Strike Lv.1:
Decrease all targets' DEF by 25% (Turns: 2).</t>
  </si>
  <si>
    <t>Single ATK Debuffers</t>
  </si>
  <si>
    <t>Rhapsodic Inspiration Lv.1:
Decreases a single target's ATK by 10% (Turns: 1). Decreases a single target's pierce power by 10% (Turns: 1).</t>
  </si>
  <si>
    <t>Healers</t>
  </si>
  <si>
    <t>Sweet Spirits Lv.1:
Heals all allies' HP by 25%.</t>
  </si>
  <si>
    <t>Heal Assist Lv.1:
Heal all allies' HP by 15%. Increases Soul of Divine Protection damage until the end of the battle by 5% (Max: 100%).</t>
  </si>
  <si>
    <t>Self-regeneration Lv.1:
Heals all allies' HP by 15%.</t>
  </si>
  <si>
    <t>Light Beyond Lv.1:
Heals all allies' HP by 15%.</t>
  </si>
  <si>
    <t>Delay Ult Skill</t>
  </si>
  <si>
    <t>Hydro Combat Lv.1:
Decreases a single target's Secret Skill Gauge by 5%.
Lv.1 Cost: 50</t>
  </si>
  <si>
    <t>Cost</t>
  </si>
  <si>
    <t>Skill Type</t>
  </si>
  <si>
    <t>Vlookup</t>
  </si>
  <si>
    <t>A Moment of Peace Lv.1/Lv.10</t>
  </si>
  <si>
    <t>Increases Soul of Divine Protection damage by 50%/60% (Turns: 3). Increases all Soul of Divine Protection gauges' increase by 20% (Turns: 3).</t>
  </si>
  <si>
    <t>Astrology Lv.1/Lv.10</t>
  </si>
  <si>
    <t>Increases Soul of Secrets damage by 30%/40% (Turns: 3). Increases all Soul of Secrets gauges' increase by 40% (Turns: 3).</t>
  </si>
  <si>
    <t>Chaos Control Lv.1/Lv.10</t>
  </si>
  <si>
    <t>Increases skill cost limit until the end of battle by 10/20 (Max: 999). Changes Soul of Skills into Soul of Secrets. Increases skill points by 20.</t>
  </si>
  <si>
    <t>Cooking Technique Lv.1/Lv.10</t>
  </si>
  <si>
    <t>Increases Soul of Skills damage by 30%/40% (Turns: 3). Increases all Soul of Skills gauges' increase by 40% (Turns: 3).</t>
  </si>
  <si>
    <t>Craftsmanship Revelation Lv.1/Lv.10</t>
  </si>
  <si>
    <t>Increases all allies' guard rate by 30%/40% (Turns: 2).</t>
  </si>
  <si>
    <t>Distribution Support Lv.1/Lv.10</t>
  </si>
  <si>
    <t>Increases all allies' guard rate by 50%/70% (Turns: 2). Increases all allies' guard power by 10% (Turns: 2).</t>
  </si>
  <si>
    <t>Drago Changer Lv.1/Lv.10</t>
  </si>
  <si>
    <t>Increases all allies' guard rate by 60%/80% (Turns: 3). Increases Soul of Divine Protection damage until the end of battle by 20% (Max: 100%).</t>
  </si>
  <si>
    <t>End of Searching Lv.1/Lv.10</t>
  </si>
  <si>
    <t>Increases skill cost limit until the end of battle by 5/15 (Max: 999). Changes Soul of Secrets into Soul of Divine Protection.</t>
  </si>
  <si>
    <t>Fire Blast Lv.1/Lv.10</t>
  </si>
  <si>
    <t>Increases all Soul of Secrets gauges' increase by 25%/35% (Turns: 3). Increases all allies' fire ATK by 10% (Turns: 2).</t>
  </si>
  <si>
    <t>Flame Zone Lv.1/Lv.10</t>
  </si>
  <si>
    <t>Increases all allies' Secret Skill Gauge by 30%/40%. Increases all allies' fire ATK by 15% (Turns: 2).</t>
  </si>
  <si>
    <t>Gentle Prayer Lv.1/Lv.10</t>
  </si>
  <si>
    <t>Increases skill cost limit until the end of battle by 20/30 (Max: 999). Increases skill points by 20.</t>
  </si>
  <si>
    <t>Information Gathering Lv.1/Lv.10</t>
  </si>
  <si>
    <t>Increases skill cost limit until the end of battle by 5/15 (Max: 999). Changes Soul of Secrets into Soul of Skills.</t>
  </si>
  <si>
    <t>Limit Break Lv.1/Lv.10</t>
  </si>
  <si>
    <t>Increases all allies' guard rate by 60%/80% (Turns: 3). Increases all allies' counterattack rate by 60% (Turns: 2).</t>
  </si>
  <si>
    <t>Proficiency and Expertise Lv.1/Lv.10</t>
  </si>
  <si>
    <t>Increases Soul of Skills damage by 30%/40% (Turns: 3). Increases all Soul of Skills gauges' increase by 30% (Turns: 3).</t>
  </si>
  <si>
    <t>Protection of Arrival Lv.1/Lv.10</t>
  </si>
  <si>
    <t>Increases all Soul of Divine Protection gauges' increase by 40%/50% (Turns: 2). Increases all allies' light ATK by 10% (Turns: 2).</t>
  </si>
  <si>
    <t>Protection of the Storm Dragon Lv.1/Lv.10</t>
  </si>
  <si>
    <t>Changes Soul of Skills into Soul of Secrets. Increases Soul of Secrets damage by 5%/15% (Turns: 1).</t>
  </si>
  <si>
    <t>Silent Support Lv.1/Lv.10</t>
  </si>
  <si>
    <t>Increases skill cost limit until the end of battle by 30/40 (Max: 999). Increases all Soul of Skills gauges' increase by 40% (Turns: 3).</t>
  </si>
  <si>
    <t>Small World Lv.1/Lv.10</t>
  </si>
  <si>
    <t>Changes Soul of Secrets into Soul of Divine Protection. Increases all allies' light ATK by 10%/20% (Turns: 2).</t>
  </si>
  <si>
    <t>Supreme Sword Lv.1/Lv.10</t>
  </si>
  <si>
    <t>Increases all allies' guard rate by 50%/70% (Turns: 2). Increases Soul of Skills damage by 10% (Turns: 3).</t>
  </si>
  <si>
    <t>Tempest Shout Lv.1/Lv.10</t>
  </si>
  <si>
    <t>Increases skill cost limit until the end of battle by 20/30 (Max: 999). Increases Soul of Combos damage by 10% (Max: 50%). Increases skill points by 30.</t>
  </si>
  <si>
    <t>Thunder and Rain Lv.1/Lv.10</t>
  </si>
  <si>
    <t>Increases skill cost limit until the end of battle by 5/15 (Max: 999). Changes Soul of Divine Protection into Soul of Skills.</t>
  </si>
  <si>
    <t>Wicked Eye Lv.1/Lv.10</t>
  </si>
  <si>
    <t>Increases skill cost limit until end of battle by 30/40 (Max: 999). Increases all Soul of Skills gauges' increase by 150% (Turns: 3).</t>
  </si>
  <si>
    <t>Flawless Secretary Lv.1/Lv.10</t>
  </si>
  <si>
    <t>Changes Soul of Skills into Soul of Divine Protection. Increases all allies' Secret Skill Gauge by 15%/25%.</t>
  </si>
  <si>
    <t>Yuletide Sparkle Lv.1/Lv.10</t>
  </si>
  <si>
    <t>Increases all allies' guard rate by 60%/80% (Turns: 3). Increases all Soul of Skills gauges' increase by 50% (Turns: 3).</t>
  </si>
  <si>
    <t>Hour of Prosperity Lv.MAX</t>
  </si>
  <si>
    <t>Increase all allies' fire ATK at the start of battle by 16%. Increase all allies' wind ATK at start of battle by 8%.</t>
  </si>
  <si>
    <t>Tempest Daybreak Lv.1/Lv.10</t>
  </si>
  <si>
    <t>Decrease all targets' fire resistance by 20%/30% (Turns: 3). Increase Soul of Divine Protection gauges' increase until the end of the battle by 20% (Max: 100%). Increase skill cost limit until the end of battle by 25 (Max: 999).</t>
  </si>
  <si>
    <t>Forged Armor Lv.MAX</t>
  </si>
  <si>
    <t>Increases all allies' P-ATK at start of battle by 11%.</t>
  </si>
  <si>
    <t>Unconcealed Power Lv.MAX</t>
  </si>
  <si>
    <t>Increases all allies' dark ATK at start of battle by 16%. Increases all allies' fire ATK at start of battle by 8%.</t>
  </si>
  <si>
    <t>Aerial Blade Lv.MAX</t>
  </si>
  <si>
    <t>Single-target earth magic attack for 450%.</t>
  </si>
  <si>
    <t>Aerial Slicer Lv.MAX</t>
  </si>
  <si>
    <t>All-target earth magic attack for 260%.</t>
  </si>
  <si>
    <t>Ambition of the Four True Dragons Lv.MAX</t>
  </si>
  <si>
    <t>Increases all allies' wind ATK at start of battle by 16%. Increases all allies' dark ATK at start of battle by 8%.</t>
  </si>
  <si>
    <t>Berserk Break Lv.MAX</t>
  </si>
  <si>
    <t>Single-target water physical attack for 420%.</t>
  </si>
  <si>
    <t>Binding Hell Flare Lv.MAX</t>
  </si>
  <si>
    <t>Single-target dark magic attack for 435%.</t>
  </si>
  <si>
    <t>Drago Upper Lv.MAX</t>
  </si>
  <si>
    <t>Single-target fire physical attack for 450%.</t>
  </si>
  <si>
    <t>Black Lightning Lv.MAX</t>
  </si>
  <si>
    <t>All-target water magic attack for 270%.</t>
  </si>
  <si>
    <t>Blooming Smile Lv.MAX</t>
  </si>
  <si>
    <t>Building a Base Lv.MAX</t>
  </si>
  <si>
    <t>Increases all allies' M-ATK at start of battle by 11%.</t>
  </si>
  <si>
    <t>Burning Invasion Lv.MAX</t>
  </si>
  <si>
    <t>Increases all allies' fire ATK at start of battle by 13%. Increases all allies' earth ATK at start of battle by 5%.</t>
  </si>
  <si>
    <t>Burning Siege Lv.MAX</t>
  </si>
  <si>
    <t>Increases all allies' fire ATK at start of battle by 16%. Increases all allies' light ATK at start of battle by 8%.</t>
  </si>
  <si>
    <t>Celestial Scintillation Lv.MAX</t>
  </si>
  <si>
    <t>Single-target light magic attack for 450%.</t>
  </si>
  <si>
    <t>Chain of Blue Flames Lv.MAX</t>
  </si>
  <si>
    <t>All-target fire magic attack for 260%.</t>
  </si>
  <si>
    <t>Charitable Smile Lv.MAX</t>
  </si>
  <si>
    <t>Cicada Flash Lv.MAX</t>
  </si>
  <si>
    <t>Single-target wind physical attack for 450%.</t>
  </si>
  <si>
    <t>Darkness Cannon Lv.MAX</t>
  </si>
  <si>
    <t>Single-target dark magic attack for 450%.</t>
  </si>
  <si>
    <t>Death Storm Lv.MAX</t>
  </si>
  <si>
    <t>All-target space magic attack for 270%.</t>
  </si>
  <si>
    <t>Drago-Nova Lv.MAX</t>
  </si>
  <si>
    <t>Deathmarch Dance Lv.MAX</t>
  </si>
  <si>
    <t>All-target dark magic attack for 260%.</t>
  </si>
  <si>
    <t>Detonating Flash Lv.MAX</t>
  </si>
  <si>
    <t>All-target light physical attack for 260%.</t>
  </si>
  <si>
    <t>Dragonic Burst Lv.MAX</t>
  </si>
  <si>
    <t>All-target dark physical attack for 270%.</t>
  </si>
  <si>
    <t>Drago Breaker Lv.MAX</t>
  </si>
  <si>
    <t>Single-target light magic attack for 435%.</t>
  </si>
  <si>
    <t>Drago Buster Lv.MAX</t>
  </si>
  <si>
    <t>All-target wind magic attack for 270%.</t>
  </si>
  <si>
    <t>Drago Driver Lv.MAX</t>
  </si>
  <si>
    <t>All-target earth physical attack for 270%.</t>
  </si>
  <si>
    <t>Present Explosion Lv.MAX</t>
  </si>
  <si>
    <t>Belzebuth Lv.MAX</t>
  </si>
  <si>
    <t>All-target dark magic attack for 270%.</t>
  </si>
  <si>
    <t>Eternal Dragon Empress Lv.MAX</t>
  </si>
  <si>
    <t>Increases all allies' water ATK at start of battle by 16%. Increases all allies' space ATK at start of battle by 8%.</t>
  </si>
  <si>
    <t>Falling Lightning Lv.MAX</t>
  </si>
  <si>
    <t>Increases all allies' dark ATK at start of battle by 13%. Increases all allies' space ATK at start of battle by 5%.</t>
  </si>
  <si>
    <t>Fury of the Gods Lv.MAX</t>
  </si>
  <si>
    <t>All-target space physical attack for 270%.</t>
  </si>
  <si>
    <t>Grand Blaster Lv.MAX</t>
  </si>
  <si>
    <t>Single-target earth magic attack for 420%.</t>
  </si>
  <si>
    <t>Guildmaster's Lead Lv.MAX</t>
  </si>
  <si>
    <t>Increases all allies' wind ATK at start of battle by 13%. Increases all allies' dark ATK at start of battle by 5%.</t>
  </si>
  <si>
    <t>Happy Happy Happy Lv.MAX</t>
  </si>
  <si>
    <t>Increases all allies' light ATK at start of battle by 13%. Increases all allies' water ATK at start of battle by 5%.</t>
  </si>
  <si>
    <t>Haze: Thunder of Heaven and Earth Lv.MAX</t>
  </si>
  <si>
    <t>Single-target light physical attack for 450%.</t>
  </si>
  <si>
    <t>Healthy Food Master Lv.MAX</t>
  </si>
  <si>
    <t>Heat Slasher Lv.MAX</t>
  </si>
  <si>
    <t>Heavy Blow Lv.MAX</t>
  </si>
  <si>
    <t>Single-target fire physical attack for 420%.</t>
  </si>
  <si>
    <t>Hell Flare Lv.MAX</t>
  </si>
  <si>
    <t>All-target fire magic attack for 270%.</t>
  </si>
  <si>
    <t>Heroic Braver Lv.MAX</t>
  </si>
  <si>
    <t>Single-target light physical attack for 420%.</t>
  </si>
  <si>
    <t>Jewelcraft Lv.MAX</t>
  </si>
  <si>
    <t>Lab Results Lv.MAX</t>
  </si>
  <si>
    <t>Increases all allies' space ATK at start of battle by 13%. Increases all allies' wind ATK at start of battle by 5%.</t>
  </si>
  <si>
    <t>Leopard Fang Flaming Palm Lv.MAX</t>
  </si>
  <si>
    <t>Muscle Strike Lv.MAX</t>
  </si>
  <si>
    <t>Single-target wind physical attack for 420%.</t>
  </si>
  <si>
    <t>Ogre Guillotine Lv.Max</t>
  </si>
  <si>
    <t>Peek Into the Future Lv.MAX</t>
  </si>
  <si>
    <t>Feelings Concealed Lv.Max</t>
  </si>
  <si>
    <t>Increases all allies' light ATK at start of battle by 16%. Increases all allies' earth ATK at start of battle by 8%.</t>
  </si>
  <si>
    <t>Pure Emotion Lv.1/Lv.10</t>
  </si>
  <si>
    <t>Increases all allies' guard rate by 60%/80% (Turns: 3). Decreases the skill cost by 20 for vanguard allies (Cannot go below each skill's initial cost). Increases Soul of Secrets secret skill gauge increase by 20% (Turns: 3).</t>
  </si>
  <si>
    <t>Prank Illusion Lv.MAX</t>
  </si>
  <si>
    <t>Puppet Rondo Lv.MAX</t>
  </si>
  <si>
    <t>Single-target space magic attack for 420%.</t>
  </si>
  <si>
    <t>Purple Iron Hammer Lv.MAX</t>
  </si>
  <si>
    <t>All-target space physical attack for 260%.</t>
  </si>
  <si>
    <t>Quake Slash Lv.MAX</t>
  </si>
  <si>
    <t>Single-target earth physical attack for 435%.</t>
  </si>
  <si>
    <t>Reeling Slicer Lv.MAX</t>
  </si>
  <si>
    <t>Single-target water physical attack for 450%.</t>
  </si>
  <si>
    <t>Sealing Zone Lv.MAX</t>
  </si>
  <si>
    <t>Single-target space magic attack for 435%.</t>
  </si>
  <si>
    <t>Shadow Disruption Lv.MAX</t>
  </si>
  <si>
    <t>Single-target wind physical attack for 435%.</t>
  </si>
  <si>
    <t>Shredding Darkness Lv.MAX</t>
  </si>
  <si>
    <t>Single-target dark physical attack for 435%.</t>
  </si>
  <si>
    <t>Slashing Flurry Lv.MAX</t>
  </si>
  <si>
    <t>Single-target wind magic attack for 435%.</t>
  </si>
  <si>
    <t>Solar Rain Lv.MAX</t>
  </si>
  <si>
    <t>All-target light magic attack for 260%.</t>
  </si>
  <si>
    <t>Holy Circle Lv.MAX</t>
  </si>
  <si>
    <t>All-target wind physical attack for 260%.</t>
  </si>
  <si>
    <t>Sonic Impact Lv.MAX</t>
  </si>
  <si>
    <t>Single-target water physical attack for 435%.</t>
  </si>
  <si>
    <t>Sonic Wolf Lv. MAX</t>
  </si>
  <si>
    <t>Sophisticated Armor Lv.MAX</t>
  </si>
  <si>
    <t>Increases all allies' earth ATK at start of battle by 13%. Increases all allies' fire ATK at start of battle by 5%.</t>
  </si>
  <si>
    <t>Spinning Rush Lv.MAX</t>
  </si>
  <si>
    <t>Spirit Engineering Crystal Lv.MAX</t>
  </si>
  <si>
    <t>Increases all allies' earth ATK at start of battle by 16%. Increases all allies' water ATK at start of battle by 8%.</t>
  </si>
  <si>
    <t>Spirit Slayer Lv.MAX</t>
  </si>
  <si>
    <t>Single-target fire physical attack for 435%.</t>
  </si>
  <si>
    <t>Drago-Slash Lv.MAX</t>
  </si>
  <si>
    <t>Single-target space physical attack for 470%.</t>
  </si>
  <si>
    <t>Sudden Slice Lv.MAX</t>
  </si>
  <si>
    <t>Single-target space physical attack for 435%.</t>
  </si>
  <si>
    <t>Swimming Calamity Lv.MAX</t>
  </si>
  <si>
    <t>Increases all allies' space ATK at start of battle by 16%. Increases all allies' wind ATK at start of battle by 8%.</t>
  </si>
  <si>
    <t>Terrifying Winds Lv.MAX</t>
  </si>
  <si>
    <t>Increases all allies' water ATK at start of battle by 13%.</t>
  </si>
  <si>
    <t>Three Evils of the Forge Lv.MAX</t>
  </si>
  <si>
    <t>All-target earth physical attack for 260%.</t>
  </si>
  <si>
    <t>Luminus Storm Lv.MAX</t>
  </si>
  <si>
    <t>Tough Business Lv.MAX</t>
  </si>
  <si>
    <t>Increases all allies' water ATK at start of battle by 13%. Increases all allies' light ATK at start of battle by 5%.</t>
  </si>
  <si>
    <t>Unending Thirst Lv.MAX</t>
  </si>
  <si>
    <t>Training of the Maid Lv.MAX</t>
  </si>
  <si>
    <t>Increases all allies' wind ATK at start of battle by 16%. Increases all allies' water ATK at start of battle by 8%.</t>
  </si>
  <si>
    <t>Vortex Crash Lv.MAX</t>
  </si>
  <si>
    <t>All-target water physical attack for 260%.</t>
  </si>
  <si>
    <t>Dark Flame Flash</t>
  </si>
  <si>
    <t>Ornamental Spiral Lv.MAX</t>
  </si>
  <si>
    <t>Water Blade Torrent Lv.MAX</t>
  </si>
  <si>
    <t>All-target water magic attack for 260%.</t>
  </si>
  <si>
    <t>Phoenix Blast Lv.MAX</t>
  </si>
  <si>
    <t>Final Waltz Lv.MAX</t>
  </si>
  <si>
    <t>Single-target dark physical attack for 450%.</t>
  </si>
  <si>
    <t>Flare Smash Lv.MAX</t>
  </si>
  <si>
    <t>Air Suppression Lv.MAX</t>
  </si>
  <si>
    <t>Demon's Blaze Lv.MAX</t>
  </si>
  <si>
    <t>All-target fire magic attack for 290%.</t>
  </si>
  <si>
    <t>Special Cooking Lv.MAX</t>
  </si>
  <si>
    <t>All-target light magic attack for 270%.</t>
  </si>
  <si>
    <t>Disintegration Lv.MAX</t>
  </si>
  <si>
    <t>New Dawn Lv.MAX</t>
  </si>
  <si>
    <t>Confection Burst Lv.MAX</t>
  </si>
  <si>
    <t>Punishment Blast Lv.Max</t>
  </si>
  <si>
    <t>Sacred Power Lv.1/Lv.10</t>
  </si>
  <si>
    <t>65/55</t>
  </si>
  <si>
    <t>Battle</t>
  </si>
  <si>
    <t>Increases all allies' light ATK by 40%/50% (Turns: 1)</t>
  </si>
  <si>
    <t>Eccentric Force Lv.1/Lv.10</t>
  </si>
  <si>
    <t>25/15</t>
  </si>
  <si>
    <t>Changes Soul of Divine Protection x into Soul of Secrets. Increases all Soul of Secrets gauges' increase by 3%/5% (Max: 100%</t>
  </si>
  <si>
    <t>Destiny Rendezvous Lv.1/Lv.10</t>
  </si>
  <si>
    <t>35/25</t>
  </si>
  <si>
    <t>Changes Soul of Skills x2 into Soul of Secrets. Increases all Soul of Secrets gauges' increase by 5%/10% (Turns: 1).</t>
  </si>
  <si>
    <t>It's a Date Lv.1/Lv.10</t>
  </si>
  <si>
    <t>Descreases all targets' critical damage by 20%/30% (Turns: 2).</t>
  </si>
  <si>
    <t>Brilliant Dawn Lv.1/Lv.10</t>
  </si>
  <si>
    <t>Changes Soul of Skills x2 into Soul of Divine Protection. Increases all Soul of Divine Protection gauges' increase by 5%/10% (Turns: 1).</t>
  </si>
  <si>
    <t>Prayer of Plenty Lv.1/Lv.10</t>
  </si>
  <si>
    <t>Recovers all allies from Poison. Increases own poison evasion rate by 5%/10% (Turns: 3).</t>
  </si>
  <si>
    <t>Ruthless Flash Lv.1/Lv.10</t>
  </si>
  <si>
    <t>Increase all allies' DEF by 35%/40% (Turns: 1). Increases own all attribute resistance by 20% (Turns: 3).</t>
  </si>
  <si>
    <t>Usurper Lv.1/Lv10</t>
  </si>
  <si>
    <t>40/30</t>
  </si>
  <si>
    <t>Changes Soul of Skills and Soul of Divine Protection x1 each into Soul of Secrets. Increases Soul of Secrets secret skill gauge increase until the end of battle by 3%/5% (Max: 100%).</t>
  </si>
  <si>
    <t>Sunbeam Lv.1/Lv.10</t>
  </si>
  <si>
    <t>Heals the ally with the lowest percentage of HP by 40%/45% of their max HP.</t>
  </si>
  <si>
    <t>Elegant Light Lv.1/Lv.10</t>
  </si>
  <si>
    <t>Decreases a single target's ATK by 15%/20% (Turns: 1).</t>
  </si>
  <si>
    <t>All of Creation Lv.1/Lv.10</t>
  </si>
  <si>
    <t xml:space="preserve">Battle </t>
  </si>
  <si>
    <t>Increases all allies' ATK by 35%/40% (Turns: 1).</t>
  </si>
  <si>
    <t>Crowd Work Lv.1/Lv.10</t>
  </si>
  <si>
    <t>Increases all allies' critical rate by 15%/25% (Turns: 1).</t>
  </si>
  <si>
    <t>Rapid Service Lv.1/Lv.10</t>
  </si>
  <si>
    <t>Change Soul of Secrets x2 to Soul of Skills. Increases all Soul of Skills gauges' increase by 5% (Turns: 1).</t>
  </si>
  <si>
    <t>Sacred Guidance Lv.1/Lv.10</t>
  </si>
  <si>
    <t>Decreases all targets' pierce power by 15% (Turns:2). Increases Soul of Skills damage until the end of battle by 5% (Max: 100%).</t>
  </si>
  <si>
    <t>Destructive Strike Lv.1/Lv.10</t>
  </si>
  <si>
    <t>Decrease all targets' DEF by 25%/30% (Turns: 2).</t>
  </si>
  <si>
    <t>Dragon Smash Lv.1/Lv.10</t>
  </si>
  <si>
    <t>Increases activating Soul of Combos damage by 50％/60% (Turns: 1). Decreases all targets' pierce resistance by 10％ (Turns: 1).</t>
  </si>
  <si>
    <t>Battle Rush Lv.1/Lv.10</t>
  </si>
  <si>
    <t>Decreases a single target's DEF by 10%/15% (Turns: 1). Increases own critical rate by 15% (Turns: 1).</t>
  </si>
  <si>
    <t>Dark Tactics Lv.1/Lv.10</t>
  </si>
  <si>
    <t>Increases all allies' stun evasion rate by 90%/100% (Turns: 1).</t>
  </si>
  <si>
    <t>Dragon Power Lv.1/Lv.10</t>
  </si>
  <si>
    <t>Increases activating Soul of Combos damage by 60%/70% (Turns: 1). Increases own critical damage by 20% (Turns: 2).</t>
  </si>
  <si>
    <t>Indigo Charge Lv.1/Lv.10</t>
  </si>
  <si>
    <t>Increases all allies' pierce rate by 80%/100% (Turns: 1). Increases all allies' pierce power by 20% (Turns: 2).</t>
  </si>
  <si>
    <t>Keigoku Lv.1/Lv.10</t>
  </si>
  <si>
    <t>Decreases all targets' DEF by 25%/30% (Turns: 1). Increases all allies' critical rate by 30% (Turns: 1).</t>
  </si>
  <si>
    <t>Dragon Thrash Lv.1/Lv.10</t>
  </si>
  <si>
    <t>Increases all allies' critical resistance by 40%/50% (Turns: 1). Increases own critical rate by 15% (Turns: 1).</t>
  </si>
  <si>
    <t>Dragon Orb Lv.1/Lv.10</t>
  </si>
  <si>
    <t>Changes Soul of Secrets x2 into Soul of Divine Protection. Increases all Soul of Divine Protection gauges' increase by 5%/10% (Turns: 1).</t>
  </si>
  <si>
    <t>Supporting Wave Lv.1/Lv.10</t>
  </si>
  <si>
    <t>Increases all allies' ATK by 15%/20% (Turns: 1).</t>
  </si>
  <si>
    <t>Forge Result Lv.1/Lv.10</t>
  </si>
  <si>
    <t>Increases all allies' ATK by 20%/25% (Turns: 1).</t>
  </si>
  <si>
    <t>Hydro Combat Lv.1/Lv.10</t>
  </si>
  <si>
    <t>50/40</t>
  </si>
  <si>
    <t>Decreases a single target's Secret Skill Gauge by 5%/15%.</t>
  </si>
  <si>
    <t>Sweet Spirit Lv.1/Lv.10</t>
  </si>
  <si>
    <t>Heals all allies' by 25%/30% of their max HP.</t>
  </si>
  <si>
    <t>Blessing Lv.1/Lv.10</t>
  </si>
  <si>
    <t>Dark Ogre Lv.1/Lv.10</t>
  </si>
  <si>
    <t>Unlock Expertise Lv.1/Lv.10</t>
  </si>
  <si>
    <t>Increases own critical rate by 80％/100% (Turns: 1). Increases own critical damage by 15％ (Turns: 2).</t>
  </si>
  <si>
    <t>Chancellor's Prestige Lv.1/Lv.10</t>
  </si>
  <si>
    <t>Increases all allies' stun evasion rate by 90％/100% (Turns: 1). Increases Soul of Divine Protection damage by 10％ (Turns: 1).</t>
  </si>
  <si>
    <t>Glowing Future Lv.1/Lv.10</t>
  </si>
  <si>
    <t>Recovers all allies from Stun. Increases own stun evasion rate by 5%/10% (Turns: 2).</t>
  </si>
  <si>
    <t>Heal Assist Lv.1/Lv.10</t>
  </si>
  <si>
    <t>Heal all allies' HP by 15%/20% of their max HP. Increases Soul of Divine Protection damage until the end of the battle by 5% (Max: 100%).</t>
  </si>
  <si>
    <t>Hidden Hand Lv.1/Lv.10</t>
  </si>
  <si>
    <t>Changes Soul of Secrets x2 into Soul of Skills. Increases all Soul of Skills gauges' increase by 5%/10% (Turns: 1).</t>
  </si>
  <si>
    <t>Keen Smell Lv.1/Lv.10</t>
  </si>
  <si>
    <t>Increases all allies' pierce rate by 10%/20% (Turns: 1). Increases all allies' guard penetration by 30% (Turns: 1).</t>
  </si>
  <si>
    <t>Gift of Magic Lv.1/Lv.10</t>
  </si>
  <si>
    <t>Increases all allies' DEF by 20％/25% (Turns: 3). Increases all allies' max HP by 30％ (Turns: 3).</t>
  </si>
  <si>
    <t>Happiness Illuminate Lv.1/Lv.10</t>
  </si>
  <si>
    <t>Increases all allies' guard power by 15％/25% (Turns: 1). Increases Soul of Skills damage until the end of battle by 5％.</t>
  </si>
  <si>
    <t>Light Beyond Lv.1/Lv.10</t>
  </si>
  <si>
    <t>Heals all allies' by 15%/20% of their max HP.</t>
  </si>
  <si>
    <t>Lord of Catastrophe Lv.1/Lv.10</t>
  </si>
  <si>
    <t>Increases all allies' guard penetration by 40%/50% (Turns: 1).</t>
  </si>
  <si>
    <t>Dragon Princess's Aura Lv.1/Lv.10</t>
  </si>
  <si>
    <t>Increases own pierce rate by 80% (Turns: 1). Increases own pierce power by 15% (Turns: 1).</t>
  </si>
  <si>
    <t>Beyond Compare Lv.1/Lv.10</t>
  </si>
  <si>
    <t>Increases all allies' critical rate by 30% (Turns: 1). Decreases a single target's guard power by 25% (Turns: 1).</t>
  </si>
  <si>
    <t>Pump Up Lv.1/Lv.10</t>
  </si>
  <si>
    <t>Self-regeneration Lv.1/Lv.10</t>
  </si>
  <si>
    <t>Shadow Rush Lv.1/Lv.10</t>
  </si>
  <si>
    <t>Increases all allies' guard penetration by 40%/50% (Turns: 1). Increases all allies' pierce rate by 10% (Turns: 1).</t>
  </si>
  <si>
    <t>Siege Lv.1/Lv.10</t>
  </si>
  <si>
    <t>Analyze Weakness Lv.1/Lv.10</t>
  </si>
  <si>
    <t>Increases all allies' stun evasion rate by 90%/100% (Turns: 1). Increases own critical rate by 10% (Turns: 1).</t>
  </si>
  <si>
    <t>Change Dragon Magic Lv.1/Lv.10</t>
  </si>
  <si>
    <t>Degenerate Lv.1/Lv.10</t>
  </si>
  <si>
    <t>Changes Soul of Divine Protection x2 into Soul of Secrets. Increases all Soul of Secrets gauges' increase by 5%/10% (Turns: 1).</t>
  </si>
  <si>
    <t>Divination Lv.1/Lv.10</t>
  </si>
  <si>
    <t>Dragon's Magic's Call Lv.1/Lv.10</t>
  </si>
  <si>
    <t>Increases all allies' DEF by 20%/25% (Turns: 1).</t>
  </si>
  <si>
    <t>Homura Lv.1/Lv.10</t>
  </si>
  <si>
    <t>Increases all allies' stun evasion rate by 90%/100% (Turns: 1). Increases own critical rate by 15% (Turns: 1).</t>
  </si>
  <si>
    <t>Nightmare Strike Lv.1/Lv.10</t>
  </si>
  <si>
    <t>Heals all allies' by 20%/25% of their max HP. Increases Soul of Skills damage until the end of battle by 5% (Max: 100%).</t>
  </si>
  <si>
    <t>Dark Allure Lv.1/Lv.10</t>
  </si>
  <si>
    <t>Changes Soul of Protection and Soul of Secrets x1 each into Soul of Skills. Increases all Soul of Skills gauges' increase by 5%/10% (Turns: 1).</t>
  </si>
  <si>
    <t>Magic Sense Lv.1/Lv.10</t>
  </si>
  <si>
    <t>Increases all allies' DEF by 20%/25% (Turns: 2).</t>
  </si>
  <si>
    <t>Bright Eye Lv.1/Lv.10</t>
  </si>
  <si>
    <t>Contemplation Lv.1/Lv.10</t>
  </si>
  <si>
    <t>Changes Soul of Divine Protection x2 into Soul of Skills. Increases all Soul of Skills gauges' increase by 5%/10% (Turns: 1).</t>
  </si>
  <si>
    <t>Enlightenment Lv.1/Lv.10</t>
  </si>
  <si>
    <t>Faust Lv.1/Lv.10</t>
  </si>
  <si>
    <t>Decreases a single target's critical damage by 10％/20% (Turns: 3).</t>
  </si>
  <si>
    <t>Flint Lv.1/Lv.10</t>
  </si>
  <si>
    <t>Increases all allies' pierce resistance by 40%/50% (Turns: 2).</t>
  </si>
  <si>
    <t>Free Thread Lv.1/Lv.10</t>
  </si>
  <si>
    <t>Oracle's Card Lv.1/Lv.10</t>
  </si>
  <si>
    <t>Pendulum Swing Lv.1/Lv.10</t>
  </si>
  <si>
    <t>Sad Russian Doll Lv.1/Lv.10</t>
  </si>
  <si>
    <t>Chance to stun a single target: 10%/30% (Turns: 1).</t>
  </si>
  <si>
    <t>Search Change Lv.1/Lv.10</t>
  </si>
  <si>
    <t>Changes Soul of Divine Protection x2 into Soul of Secrets. Increases all Soul of Secrets gauges' increase by 5%/10% (turns: 1).</t>
  </si>
  <si>
    <t>Shield Field Lv.1/Lv.10</t>
  </si>
  <si>
    <t>Increases all allies' counter power by 10%/20% (Turns: 2).</t>
  </si>
  <si>
    <t>Small Chance Lv.1/Lv.10</t>
  </si>
  <si>
    <t>Thrill of the Hunt Lv.1/Lv.10</t>
  </si>
  <si>
    <t>Vengeance Flourishing Lv.1/Lv.10</t>
  </si>
  <si>
    <t>Willow Talisman Lv.1/Lv.10</t>
  </si>
  <si>
    <t>Sublimate Lv.1/Lv.10</t>
  </si>
  <si>
    <t>Hard Mist Lv.1/Lv.10</t>
  </si>
  <si>
    <t>Decreases all targets' pierce power by 10%/20% (Turns: 3).</t>
  </si>
  <si>
    <t>Advance Attack Lv.1/Lv.10</t>
  </si>
  <si>
    <t>Increases all allies' poison evasion rate by 90%/100% (Turns: 1).</t>
  </si>
  <si>
    <t>Anti-magic Wave Lv.1/Lv.10</t>
  </si>
  <si>
    <t>Decreases a single target's pierce resistance by 10%/20% (Turns: 2).</t>
  </si>
  <si>
    <t>Battle Stations Lv.1/Lv.10</t>
  </si>
  <si>
    <t>Decreases a single target's guard rate by 20%/30% (Turns: 1).</t>
  </si>
  <si>
    <t>Blunt Strike Lv.1/Lv.10</t>
  </si>
  <si>
    <t>Chance to poison a single target: 60%/80% (Turns: 3).</t>
  </si>
  <si>
    <t>Breezy Reflection Lv.1/Lv.10</t>
  </si>
  <si>
    <t>Decreases all targets' counterattack resistance by 10%/20% (Turns: 2).</t>
  </si>
  <si>
    <t>Chaotic Beat Lv.1/Lv.10</t>
  </si>
  <si>
    <t>Decreases a single target's counterattack rate by 25%/35% (Turns: 1).</t>
  </si>
  <si>
    <t>Concentrated Bonds Lv.1/Lv.10</t>
  </si>
  <si>
    <t>Redraws soul in hand. Increases all Soul of Divine Protection gauges' increase by 5%/10% (Turns: 1).</t>
  </si>
  <si>
    <t>Cradle Barrier Lv.1/Lv.10</t>
  </si>
  <si>
    <t>Increases all allies' pierce resistance by 40%/50% (Turns: 1).</t>
  </si>
  <si>
    <t>Dynamic Cooking Lv.1/Lv.10</t>
  </si>
  <si>
    <t>Heals self by 20%/25% of own max HP. Increases Soul of Skills damage until the end of battle by 5% (Max: 100%).</t>
  </si>
  <si>
    <t>Destructive Cleaning Lv.1/Lv.10</t>
  </si>
  <si>
    <t>Increases all allies' pierce resistance by 20%/25% (Turns: 2).</t>
  </si>
  <si>
    <t>Devotion Lv.1/Lv.10</t>
  </si>
  <si>
    <t>Increases own ATK by 20%/25% (Turns: 1). Decreases all targets' dark resistance by 10% (Turns: 1).</t>
  </si>
  <si>
    <t>Dancing Swords Lv.1/Lv.10</t>
  </si>
  <si>
    <t>Increases own ATK by 15%/20% (Turns: 1).</t>
  </si>
  <si>
    <t>Draconic Frenzy Lv.1/Lv.10</t>
  </si>
  <si>
    <t>Increases all allies' DEF by 15%/20% (Turns: 3). Increases all allies' guard rate by 10% (Turns: 1).</t>
  </si>
  <si>
    <t>Fair and Square Lv.1/Lv.10</t>
  </si>
  <si>
    <t>Increases all allies' critical resistance by 40%/50% (Turns: 1).</t>
  </si>
  <si>
    <t>Top of Calamity Lv.1/Lv.10</t>
  </si>
  <si>
    <t>Increases all allies' critical rate by 80%/100% (Turns: 1). Chance to seal Critical Resistance UP on all targets: 100% (Turns: 1).</t>
  </si>
  <si>
    <t>Draconic Racquet Lv.1</t>
  </si>
  <si>
    <t>Changes Soul of Skills x1 into Soul of Divine Protection. Increases all Soul of Divine Protection gauges' increase by 5%/10% (Turns: 1).</t>
  </si>
  <si>
    <t>Furious Shake Lv.1/Lv.10</t>
  </si>
  <si>
    <t>Increases own guard penetration by 60%/70% (Turns: 1).</t>
  </si>
  <si>
    <t>Gardener Combat Lv.1/Lv.10</t>
  </si>
  <si>
    <t>Guardian Lv.1/Lv.10</t>
  </si>
  <si>
    <t>Increases all allies' DEF by 25%/30% (Turns: 1).</t>
  </si>
  <si>
    <t>Soul Manipulation Lv.1/Lv.10</t>
  </si>
  <si>
    <t>Have a Harp Lv.1/Lv.10</t>
  </si>
  <si>
    <t>Heaven's Eye Lv.1/Lv.10</t>
  </si>
  <si>
    <t>Decreases a single target's counterattack rate by 30%/40% (Turns: 1).</t>
  </si>
  <si>
    <t>Heroes Haki Lv.1/Lv.10</t>
  </si>
  <si>
    <t>Increases own ATK by 20%/25% (Turns: 1). Increases own critical rate by 20% (Turns: 1).</t>
  </si>
  <si>
    <t>Increased Momentum Lv.1/Lv.10</t>
  </si>
  <si>
    <t>Increases all allies' DEF by 20%/25% (Turns: 1). Increases Soul of Divine Protection damage until the end of battle by 5% (Max: 100%).</t>
  </si>
  <si>
    <t>Leopard's Claw Lv.1/Lv.10</t>
  </si>
  <si>
    <t>Decreases a single target's critical resistance by 15%/25% (Turns: 2).</t>
  </si>
  <si>
    <t>Lion Dance Lv.1/Lv.10</t>
  </si>
  <si>
    <t>Increases own critical rate by 80%/100% (Turns: 1).</t>
  </si>
  <si>
    <t>Macho Armor Lv.1/Lv.10</t>
  </si>
  <si>
    <t>Increases own guard rate by 30%/50% (Turns: 3). Increases own DEF by 30% (Turns: 1).</t>
  </si>
  <si>
    <t>Magnum Opus Lv.1/Lv.10</t>
  </si>
  <si>
    <t>Changes Soul of Secrets x1 into Soul of Divine Protection. Increases all Soul of Divine Protection gauges' increase by 5%/10% (Turns: 1).</t>
  </si>
  <si>
    <t>Mind Veil Lv.1/Lv.10</t>
  </si>
  <si>
    <t>Decreases a single target's critical damage by 10%/20% (Turns: 3).</t>
  </si>
  <si>
    <t>Ogre Hero Lv.1/Lv.10</t>
  </si>
  <si>
    <t>Increases own ATK by 25%/30% (Turns: 1). Increases Soul of Secrets damage by 10% (Turns: 1).</t>
  </si>
  <si>
    <t>Positive Position Lv.1/Lv.10</t>
  </si>
  <si>
    <t>Raging Blue Flames Lv.1/Lv.10</t>
  </si>
  <si>
    <t>Repair Equipment Lv.1/Lv.10</t>
  </si>
  <si>
    <t>Changes Soul of Divine Protection x1 into Soul of Secrets. Increases all Soul of Secrets gauges' increase by 5%/10% (Turns: 1).</t>
  </si>
  <si>
    <t>Rhapsodic Inspiration Lv.1/Lv.10</t>
  </si>
  <si>
    <t>Decreases a single target's ATK by 10%/15% (Turns: 1). Decreases a single target's pierce power by 10% (Turns: 1).</t>
  </si>
  <si>
    <t>Shooting Star Lv.1/Lv.10</t>
  </si>
  <si>
    <t>Decreases a single target's DEF by 5%/10% (Turns: 2).</t>
  </si>
  <si>
    <t>Spear Swing Lv.1/Lv.10</t>
  </si>
  <si>
    <t>Speed Sharpen Lv.1/Lv.10</t>
  </si>
  <si>
    <t>Support of the Spirits Lv.1/Lv.10</t>
  </si>
  <si>
    <t>Support Stance Lv.1/Lv.10</t>
  </si>
  <si>
    <t>Increases all allies' max HP by 10%/20% (Turns: 3).</t>
  </si>
  <si>
    <t>Symphony of the Dead Lv.1/Lv.10</t>
  </si>
  <si>
    <t>Chance to poison a single target: 40%/60% (Turns: 3).</t>
  </si>
  <si>
    <t>Telepathy Lv.1/Lv.10</t>
  </si>
  <si>
    <t>Increases own critical damage by 10%/20% (Turns: 3). Increases own DEF by 20% (Turns: 1).</t>
  </si>
  <si>
    <t>The Figurine's Curse Lv.1/Lv.10</t>
  </si>
  <si>
    <t>Decreases a single target's counterattack rate by 20%/30% (Turns: 1).</t>
  </si>
  <si>
    <t>Trembling Glare Lv.1/Lv.10</t>
  </si>
  <si>
    <t>Decreases a single target's guard power by 10%/20% (Turns: 3).</t>
  </si>
  <si>
    <t>War Hero Lv.1/Lv.10</t>
  </si>
  <si>
    <t>Decreases a single target's pierce power by 10%/20% (Turns: 3).</t>
  </si>
  <si>
    <t>Water Control Lv.1/Lv.10</t>
  </si>
  <si>
    <t>Whisper Lv.1/Lv.10</t>
  </si>
  <si>
    <t>Brave Contact Lv.1/Lv.10</t>
  </si>
  <si>
    <t>Increases own critical damage by 15％/25% (Turns: 2)Increases own counter power by 10％ (Turns: 2)</t>
  </si>
  <si>
    <t>Hunter's Shadow Lv.1/Lv.10</t>
  </si>
  <si>
    <t>Changes Soul of Secrets x2 into Soul of Divine ProtectionIncreases all Soul of Divine Protection gauges' increase by 5％/10% (Turns: 1).</t>
  </si>
  <si>
    <t>Charge Forth Lv.1/Lv.10</t>
  </si>
  <si>
    <t>Heals all allies' by 55%/60% of their max HP.</t>
  </si>
  <si>
    <t>Linked Operations Lv.1/Lv10</t>
  </si>
  <si>
    <t>Increases all allies' wind ATK by 5%/15% (Turns: 1).</t>
  </si>
  <si>
    <t>God of Abyss Lv.1/Lv.10</t>
  </si>
  <si>
    <t>Chance to seal DEF UP on all targets: 80％/100% (Turns: 1).</t>
  </si>
  <si>
    <t>Set Ablaze Lv.1/Lv.10</t>
  </si>
  <si>
    <t>Increases Activating Soul of Combos damage by 40％/50% (Turns: 1)Decreases all targets' critical resistance by 20％ (Turns: 1).</t>
  </si>
  <si>
    <t>Wild Run Lv.1/Lv.10</t>
  </si>
  <si>
    <t>Conquest Difficulty</t>
  </si>
  <si>
    <t>Drop</t>
  </si>
  <si>
    <t>Drop Rate</t>
  </si>
  <si>
    <t>Drop Qty</t>
  </si>
  <si>
    <t>Stamina</t>
  </si>
  <si>
    <t>Avg Stamina / Drop (Lower is better)</t>
  </si>
  <si>
    <t>Normal</t>
  </si>
  <si>
    <t>ALL Magicore</t>
  </si>
  <si>
    <t>Expert</t>
  </si>
  <si>
    <t>Master</t>
  </si>
  <si>
    <t>Bronze Blacksmith's Hammer</t>
  </si>
  <si>
    <t>Giant Grindstone</t>
  </si>
  <si>
    <t>Beginner</t>
  </si>
  <si>
    <t>Giant Magic Feather</t>
  </si>
  <si>
    <t>Higher-Quality Magic Fang</t>
  </si>
  <si>
    <t>Higher-Quality Magic Hide</t>
  </si>
  <si>
    <t>Highest-Quality Magic Fang</t>
  </si>
  <si>
    <t>Highest-Quality Magic Hide</t>
  </si>
  <si>
    <t>Large Grindstone</t>
  </si>
  <si>
    <t>Large Magic Feather</t>
  </si>
  <si>
    <t>Magic Ore</t>
  </si>
  <si>
    <t>Silver Blacksmith's Hammer</t>
  </si>
  <si>
    <t>Small Grindstone</t>
  </si>
  <si>
    <t>Map</t>
  </si>
  <si>
    <t>Charybdis Flash (Expert 1)</t>
  </si>
  <si>
    <t>Benimaru, the Crimson Ogre Warrior Body and Spirit Empowerment</t>
  </si>
  <si>
    <t>Charybdis Flash (Normal)</t>
  </si>
  <si>
    <t>Charybdis Flash (Expert 2)</t>
  </si>
  <si>
    <t>Charybdis Flash (Beginner)</t>
  </si>
  <si>
    <t>Charybdis Flash (Expert 3)</t>
  </si>
  <si>
    <t>Benimaru, the Crimson Ogre Warrior Body and Spirit Enhancement</t>
  </si>
  <si>
    <t>Benimaru, the Crimson Ogre Warrior Body and Spirit Superempowerment</t>
  </si>
  <si>
    <t>Benimaru, the Crimson Ogre Warrior Strong Defense Empowerment</t>
  </si>
  <si>
    <t>Benimaru, the Crimson Ogre Warrior Strong Defense Enhancement</t>
  </si>
  <si>
    <t>Benimaru, the Crimson Ogre Warrior Strong Defense Superempowerment</t>
  </si>
  <si>
    <t>Mysterious Lightstone (Average)</t>
  </si>
  <si>
    <t>Perfect Striking (Tier 3)</t>
  </si>
  <si>
    <t>Perfect Striking</t>
  </si>
  <si>
    <t>Perfect Technique (Tier 2)</t>
  </si>
  <si>
    <t>Perfect Technique</t>
  </si>
  <si>
    <t>Perfect Workmanship (Tier 1)</t>
  </si>
  <si>
    <t>Perfect Workmanship</t>
  </si>
  <si>
    <t>RECOMMENDED REROLL COMBOS</t>
  </si>
  <si>
    <t>Updated Dec 1, 2021</t>
  </si>
  <si>
    <t>SPACE TEAM</t>
  </si>
  <si>
    <t>EARTH TEAM (Less recommended)</t>
  </si>
  <si>
    <t>WIND TEAM</t>
  </si>
  <si>
    <t>Battle (Either works)</t>
  </si>
  <si>
    <t>Battle (Any works)</t>
  </si>
  <si>
    <t xml:space="preserve">5☆ </t>
  </si>
  <si>
    <t>LIGHT TEAM</t>
  </si>
  <si>
    <t>FIRE TEAM</t>
  </si>
  <si>
    <t>DARK TEAM</t>
  </si>
  <si>
    <t>WATER TEAM</t>
  </si>
  <si>
    <t>WORKS ON ANY TEAM</t>
  </si>
  <si>
    <t>Healer</t>
  </si>
  <si>
    <t>ATK/DEF Buff</t>
  </si>
  <si>
    <t>Heal/Disrupt</t>
  </si>
  <si>
    <t>Ult Buff</t>
  </si>
  <si>
    <t>Damage Type</t>
  </si>
  <si>
    <t>Damage Formula</t>
  </si>
  <si>
    <t>{0.4*Attack*(100%+Physical/Magical atk bonus)*(100%+Elemental Dmg bonus)-0.2*Enemy Def*(100%+Elemental res)*(100%+Physical/Magical atk res)}*(100%+Normal attack orb Dmg bonus)</t>
  </si>
  <si>
    <t>Ult/Rainbow</t>
  </si>
  <si>
    <t>{0.4*Attack*(100%+Physical/Magical atk bonus)*(100%+Elemental Dmg bonus)-0.2*Enemy Def*(100%+Elemental res)*(100%+Physical/Magical atk res)}*Ult multiplier*(100%+Ult Dmg bonus)</t>
  </si>
  <si>
    <t xml:space="preserve">Crit </t>
  </si>
  <si>
    <t>Normal dmg*(130%+Crit dmg-Crit res)</t>
  </si>
  <si>
    <t xml:space="preserve">Pierce </t>
  </si>
  <si>
    <t>(Normal dmg+Attack*0.06)*(100%+Pierce power-Pierce res)</t>
  </si>
  <si>
    <t xml:space="preserve">Guard </t>
  </si>
  <si>
    <t>Normal dmg*(50%+Guard penetration-Guard power)</t>
  </si>
  <si>
    <t xml:space="preserve">Super Guard </t>
  </si>
  <si>
    <t>Normal dmg*0.1</t>
  </si>
  <si>
    <t xml:space="preserve">Crit + Pierce </t>
  </si>
  <si>
    <t>{Normal dmg*(130%+Crit dmg-Crit res)+Attack*0.06)}*(100%+Pierce power-Pierce res)</t>
  </si>
  <si>
    <t xml:space="preserve">Elemental Res </t>
  </si>
  <si>
    <t>Total dmg*0.7</t>
  </si>
  <si>
    <t xml:space="preserve">Elemental Weakness </t>
  </si>
  <si>
    <t>Total dmg*1.35</t>
  </si>
  <si>
    <t>Damage Calculator:</t>
  </si>
  <si>
    <t>https://docs.google.com/spreadsheets/d/1Ky3IvYEukI_M91VahMWgEp7o_x2zVMhLc1mfu3hpU6U/edit#gid=998747486</t>
  </si>
  <si>
    <t xml:space="preserve">Credits: </t>
  </si>
  <si>
    <t>Original work by: https://forum.gamer.com.tw/C.php?bsn=70913&amp;snA=761&amp;last=1#down</t>
  </si>
  <si>
    <r>
      <rPr>
        <color theme="0"/>
      </rPr>
      <t xml:space="preserve">Translation by: </t>
    </r>
    <r>
      <rPr>
        <color theme="0"/>
        <u/>
      </rPr>
      <t>https://www.reddit.com/r/IsekaiMemories/comments/r1v69f/damage_calc_of_isekai_memories/</t>
    </r>
  </si>
  <si>
    <t>Formula fixed by Meow</t>
  </si>
  <si>
    <t>ID</t>
  </si>
  <si>
    <t>Class</t>
  </si>
  <si>
    <t>Special Attribute</t>
  </si>
  <si>
    <t>1☆ ATK Max</t>
  </si>
  <si>
    <t>2☆ ATK Max</t>
  </si>
  <si>
    <t>3☆ ATK Max</t>
  </si>
  <si>
    <t>4☆ ATK Max</t>
  </si>
  <si>
    <t>5☆ ATK Max</t>
  </si>
  <si>
    <t>6☆ ATK Max</t>
  </si>
  <si>
    <t>1☆ DEF Max</t>
  </si>
  <si>
    <t>2☆ DEF Max</t>
  </si>
  <si>
    <t>3☆ DEF Max</t>
  </si>
  <si>
    <t>4☆ DEF Max</t>
  </si>
  <si>
    <t>5☆ DEF Max</t>
  </si>
  <si>
    <t>6☆ DEF Max</t>
  </si>
  <si>
    <t>1☆ HP Max</t>
  </si>
  <si>
    <t>2☆ HP Max</t>
  </si>
  <si>
    <t>3☆ HP Max</t>
  </si>
  <si>
    <t>4☆ HP Max</t>
  </si>
  <si>
    <t>5☆ HP Max</t>
  </si>
  <si>
    <t>Odachi of Swift Wind</t>
  </si>
  <si>
    <t>Weapon</t>
  </si>
  <si>
    <t>When equipped by a wind character, increases ATK by 10%</t>
  </si>
  <si>
    <t>Odachi of Icy Water</t>
  </si>
  <si>
    <t>When equipped by a water character, increases ATK by 10%</t>
  </si>
  <si>
    <t>Odachi of Blazing Flames</t>
  </si>
  <si>
    <t>When equipped by a fire character, increases ATK by 10%</t>
  </si>
  <si>
    <t>Odachi of Firm Ground</t>
  </si>
  <si>
    <t>When equipped by an earth character, increases ATK by 10%</t>
  </si>
  <si>
    <t>Odachi of Empty Space</t>
  </si>
  <si>
    <t>When equipped by a space character, increases ATK by 10%</t>
  </si>
  <si>
    <t>Odachi of Heavenly Light</t>
  </si>
  <si>
    <t>When equipped by a light character, increases ATK by 10%</t>
  </si>
  <si>
    <t>Odachi of Shadowy Twilight</t>
  </si>
  <si>
    <t>When equipped by a dark character, increases ATK by 10%</t>
  </si>
  <si>
    <t>Ninja Sword</t>
  </si>
  <si>
    <t>Wakizashi</t>
  </si>
  <si>
    <t>The Crimson Ogre Warrior's Sword</t>
  </si>
  <si>
    <t>When equipped by Benimaru, the Crimson Ogre Warrior, increases ATK by 20%</t>
  </si>
  <si>
    <t>Chokken of Swift Wind</t>
  </si>
  <si>
    <t>Chokken of Icy Water</t>
  </si>
  <si>
    <t>Chokken of Blazing Flames</t>
  </si>
  <si>
    <t>Chokken of Firm Ground</t>
  </si>
  <si>
    <t>Chokken of Empty Space</t>
  </si>
  <si>
    <t>Chokken of Heavenly Light</t>
  </si>
  <si>
    <t>Chokken of Shadowy Twilight</t>
  </si>
  <si>
    <t>Longsword</t>
  </si>
  <si>
    <t>Shortsword</t>
  </si>
  <si>
    <t>Rimuru's Sword</t>
  </si>
  <si>
    <t>When equipped by a space character, increases ATK by 5%</t>
  </si>
  <si>
    <t>Greatsword of Swift Wind</t>
  </si>
  <si>
    <t>Greatsword of Icy Water</t>
  </si>
  <si>
    <t>Greatsword of Blazing Flames</t>
  </si>
  <si>
    <t>Greatsword of Firm Ground</t>
  </si>
  <si>
    <t>Greatsword of Empty Space</t>
  </si>
  <si>
    <t>Greatsword of Heavenly Light</t>
  </si>
  <si>
    <t>Greatsword of Shadowy Twilight</t>
  </si>
  <si>
    <t>Buster Sword</t>
  </si>
  <si>
    <t>Claymore</t>
  </si>
  <si>
    <t>Hoko of Swift Wind</t>
  </si>
  <si>
    <t>Hoko of Icy Water</t>
  </si>
  <si>
    <t>Hoko of Blazing Flames</t>
  </si>
  <si>
    <t>Hoko of Firm Ground</t>
  </si>
  <si>
    <t>Hoko of Empty Space</t>
  </si>
  <si>
    <t>Hoko of Heavenly Light</t>
  </si>
  <si>
    <t>Hoko of Shadowy Twilight</t>
  </si>
  <si>
    <t>Trident</t>
  </si>
  <si>
    <t>Spear</t>
  </si>
  <si>
    <t>Battlehammer of Swift Wind</t>
  </si>
  <si>
    <t>Battlehammer of Icy Water</t>
  </si>
  <si>
    <t>Battlehammer of Blazing Flames</t>
  </si>
  <si>
    <t>Battlehammer of Firm Ground</t>
  </si>
  <si>
    <t>Battlehammer of Empty Space</t>
  </si>
  <si>
    <t>Battlehammer of Heavenly Light</t>
  </si>
  <si>
    <t>Battlehammer of Shadowy Twilight</t>
  </si>
  <si>
    <t>Large Hammer</t>
  </si>
  <si>
    <t>Warhammer</t>
  </si>
  <si>
    <t>Holiday Battle Axe</t>
  </si>
  <si>
    <t>When equipped by Shion, the Bold Servant, increases ATK by 20%</t>
  </si>
  <si>
    <t>Claws of Swift Wind</t>
  </si>
  <si>
    <t>Claws of Icy Water</t>
  </si>
  <si>
    <t>Claws of Blazing Flames</t>
  </si>
  <si>
    <t>Claws of Firm Ground</t>
  </si>
  <si>
    <t>Claws of Empty Space</t>
  </si>
  <si>
    <t>Claws of Heavenly Light</t>
  </si>
  <si>
    <t>Claws of Shadowy Twilight</t>
  </si>
  <si>
    <t>Iron Fist</t>
  </si>
  <si>
    <t>Knuckleduster</t>
  </si>
  <si>
    <t>Tome of Swift Wind</t>
  </si>
  <si>
    <t>Tome of Icy Water</t>
  </si>
  <si>
    <t>Tome of Blazing Flames</t>
  </si>
  <si>
    <t>Tome of Firm Ground</t>
  </si>
  <si>
    <t>Tome of Empty Space</t>
  </si>
  <si>
    <t>Tome of Heavenly Light</t>
  </si>
  <si>
    <t>Tome of Shadowy Twilight</t>
  </si>
  <si>
    <t>Book of Spirit Magic</t>
  </si>
  <si>
    <t>Book of Elemental Magic</t>
  </si>
  <si>
    <t>Ultramarine Bangle</t>
  </si>
  <si>
    <t>Accessory</t>
  </si>
  <si>
    <t>Increases stun evasion rate by 10%</t>
  </si>
  <si>
    <t>Verdant Green Necklace</t>
  </si>
  <si>
    <t>Increases poison evasion rate by 10%</t>
  </si>
  <si>
    <t>Large Broach</t>
  </si>
  <si>
    <t>Silver Bracelet</t>
  </si>
  <si>
    <t>Mantle of Swift Wind</t>
  </si>
  <si>
    <t>Armor</t>
  </si>
  <si>
    <t>When equipped by a wind character, increases DEF by 10%</t>
  </si>
  <si>
    <t>Mantle of Icy Water</t>
  </si>
  <si>
    <t>When equipped by a water character, increases DEF by 10%</t>
  </si>
  <si>
    <t>Mantle of Blazing Flames</t>
  </si>
  <si>
    <t>When equipped by a fire character, increases DEF by 10%</t>
  </si>
  <si>
    <t>Mantle of Firm Ground</t>
  </si>
  <si>
    <t>When equipped by an earth character, increases DEF by 10%</t>
  </si>
  <si>
    <t>Mantle of Empty Space</t>
  </si>
  <si>
    <t>When equipped by a space character, increases DEF by 10%</t>
  </si>
  <si>
    <t>Mantle of Heavenly Light</t>
  </si>
  <si>
    <t>When equipped by a light character, increases DEF by 10%</t>
  </si>
  <si>
    <t>Mantle of Shadowy Twilight</t>
  </si>
  <si>
    <t>When equipped by a dark character, increases DEF by 10%</t>
  </si>
  <si>
    <t>Sorcerer's Robe</t>
  </si>
  <si>
    <t>Iron Plate</t>
  </si>
  <si>
    <t>The Crimson Ogre Warrior's Surcoat</t>
  </si>
  <si>
    <t>When equipped by Benimaru, the Crimson Ogre Warrior, increases DEF by 20%</t>
  </si>
  <si>
    <t>Holiday Maid Uniform</t>
  </si>
  <si>
    <t>When equipped by Shion, the Bold Servant, increases DEF by 20%</t>
  </si>
  <si>
    <t>Tutorial Text from Game Files</t>
  </si>
  <si>
    <t>Parallel Processing enables you to automatically clear a set number of quests while you do something else.</t>
  </si>
  <si>
    <t>Note: Parallel Processing continues in the background even if you close the game.</t>
  </si>
  <si>
    <t>If you want to clear quests more quickly, use a troop with more EP to shorten the time.</t>
  </si>
  <si>
    <t>If you do not currently fulfill the requirements to do Parallel Processing, tap to see what you are missing.</t>
  </si>
  <si>
    <t>Forged equipment can become stronger by leveling up.</t>
  </si>
  <si>
    <t>When it reaches the max level, equipment can be evolved, which increases its rarity and raises the level up limit.</t>
  </si>
  <si>
    <t>You can also reforge the equipment multiple times to raise its status as high as possible.</t>
  </si>
  <si>
    <t>Use materials collected in the main story and events to forge equipment.</t>
  </si>
  <si>
    <t>When you're low on materials, disassemble equipment that you no longer need for their materials.</t>
  </si>
  <si>
    <t>Equipment produces an effect when equipped to characters.</t>
  </si>
  <si>
    <t>When you're done forging a piece of equipment, don't forget to equip it.</t>
  </si>
  <si>
    <t>Protection characters can use the skill Divine Protection, which has a permanent effect during battle, and also increase the status of all battle characters in both the vanguard and rearguard of your troop.</t>
  </si>
  <si>
    <t>The stronger the protection character, the greater the status increase, so train them well.</t>
  </si>
  <si>
    <t>Activating each type of soul increases a different gauge.</t>
  </si>
  <si>
    <t>Fill up the Secret Skill Gauge with the Soul of Secrets. Use the gauge to unleash your Secret Skill.</t>
  </si>
  <si>
    <t>You can make combos with every type of soul and do massive damage to the enemy, so don't hesitate to use them.</t>
  </si>
  <si>
    <t>There are 3 types of souls that you can use against enemies in battle.</t>
  </si>
  <si>
    <t>Choose cards of the same type or character and attack the enemy.</t>
  </si>
  <si>
    <t>Use the 'Build Nation' function to develop the Goblin village into a town and then a nation.</t>
  </si>
  <si>
    <t>As the town becomes more advanced, you'll earn Magicrystals and other useful rewards, such as Training Quests and larger party limits.</t>
  </si>
  <si>
    <t>Building a Symbol of Protection will boost the stats of your protection characters.</t>
  </si>
  <si>
    <t>Assigning protection characters to a Symbol will further increase its effect.</t>
  </si>
  <si>
    <t>Construct a laboratory to produce healing potions at regular intervals.</t>
  </si>
  <si>
    <t>Use healing potions to recover stamina so you can go on quests.</t>
  </si>
  <si>
    <t>Construct magic devices to raise the stats for battle characters of each attribute.</t>
  </si>
  <si>
    <t>There are 7 types of magic device: Fire, Water, Earth, Wind, Space, Light, and Dark.</t>
  </si>
  <si>
    <t>Only protection characters can be appointed to magic devices. Doing so enhances the stat increases for battle characters.</t>
  </si>
  <si>
    <t>Construct a Gold Coin Mint to get Gold Coins at regular intervals.</t>
  </si>
  <si>
    <t>Gold Coins can be used to construct and level up facilities.</t>
  </si>
  <si>
    <t>Construct a digsite to generate magistones at regular intervals.</t>
  </si>
  <si>
    <t>Magistones are used to release abilities.</t>
  </si>
  <si>
    <t>There are 5 types of magistone digsites: HP, Attack, Defense, Training, and Protection.</t>
  </si>
  <si>
    <t>Construct buildings to increase your max number of Sworn Friends.</t>
  </si>
  <si>
    <t>Request and approve Sworn Friends in the 'Other' menu.</t>
  </si>
  <si>
    <t>By forming Sworn Friendships with other chancellors, you can request aid to shorten the construction time of facilities currently under construction.</t>
  </si>
  <si>
    <t>Plus, when you send aid to a Sworn Friend, you receive Proofs of Sworn Friendship that can be used at the Bazaar. Form lots of Sworn Friendships and help out all your friends.</t>
  </si>
  <si>
    <t>To raise up your Central Office past level 4, you need to increase your Total Facility Level.</t>
  </si>
  <si>
    <t>Increase your population while constructing and levelling up buildings to expand your town and raise your Central Office Level.</t>
  </si>
  <si>
    <t>Each time you level up your Central Office, you can further increase the size of your town, the amount of items you can collect, and your max population, as well as receive all sorts of other benefits.</t>
  </si>
  <si>
    <t>When you request aid, your Sworn Friends can help you by shortening your facilities' construction time.</t>
  </si>
  <si>
    <t>Tap a facility that is currently under construction or levelling up to bring up the menu and select 'Request Aid'.</t>
  </si>
  <si>
    <t>When your Sworn Friends send aid, the construction time is shortened.</t>
  </si>
  <si>
    <t>You can request aid from each Sworn Friend once per day.</t>
  </si>
  <si>
    <t>Tap Rimuru on the Home screen to change between slime and human form.</t>
  </si>
  <si>
    <t>Interact with citizens in your preferred form.</t>
  </si>
  <si>
    <t>Each character has an attribute.</t>
  </si>
  <si>
    <t>If you attack a character with an attribute that you have an advantage over, you will deal increased damage.</t>
  </si>
  <si>
    <t>Pay attention to your enemies' attributes and choose characters wisely to deal more damage.</t>
  </si>
  <si>
    <t>You can check attribute strengths and weaknesses during battle from the menu.</t>
  </si>
  <si>
    <t>A combo is executed by selecting multiple souls and unleashing an attack. The higher the combo, the more damage each hit does, and the more each hit fills your gauge.</t>
  </si>
  <si>
    <t>A four card combo or higher will increase damage.</t>
  </si>
  <si>
    <t>A card combo of five or more will allow your characters to attack all at once.</t>
  </si>
  <si>
    <t>If a speech balloon button appears over a townsperson when you approach, tap it to speak with them.</t>
  </si>
  <si>
    <t>Stroll around town and speak with three different people.</t>
  </si>
  <si>
    <t>Constructing a forge allows you to produce new equipment, enhance them, and disassemble them.</t>
  </si>
  <si>
    <t>Equip your characters to increase their stats.</t>
  </si>
  <si>
    <t>When you construct food facilities, they will produce food after a certain amount of time.</t>
  </si>
  <si>
    <t>The food produced can be gifted to other characters in order to increase your bond.</t>
  </si>
  <si>
    <t>Construct houses and increase your population.</t>
  </si>
  <si>
    <t>Once your population reaches a certain level, you can level up your Mayor's House to 2.</t>
  </si>
  <si>
    <t>By raising your Mayor's House to level 2, you can increase the size of your town, the amount of items you can collect, your max population, as well as all sorts of other benefits.</t>
  </si>
  <si>
    <t>Further level up the Mayor's House to renovate it into the Central Office. This will expand your realm and greatly alter the appearance of your facilities.</t>
  </si>
  <si>
    <t>When you complete a Bingo mission, you can receive an achievement reward, a line bingo reward, or a completion reward.</t>
  </si>
  <si>
    <t>At the beginner Bingo, you can win a 5* battle character version of Shuna wearing a special outfit.</t>
  </si>
  <si>
    <t>Note: If you already have a character, you will get character-specific memory stones.</t>
  </si>
  <si>
    <t>Complete your bingo, awaken Shuna, and put her in your team!</t>
  </si>
  <si>
    <t>You can accept requests from</t>
  </si>
  <si>
    <t>different characters in the Quest List.</t>
  </si>
  <si>
    <t>Fulfilling these requests will earn you rewards and increase your</t>
  </si>
  <si>
    <t>Bond level with that character.</t>
  </si>
  <si>
    <t>Characters will appear at random in the town.</t>
  </si>
  <si>
    <t>You can approach and speak with them, thereby strengthening your bond with that character once per day.</t>
  </si>
  <si>
    <t>Leveling up your Bond with a character provides increased stats and various other benefits.</t>
  </si>
  <si>
    <t>Event quests are where you can take on quests that are available for a limited amount of time.</t>
  </si>
  <si>
    <t>There are bits of story that you can only see in event quests, so be sure not to miss one!</t>
  </si>
  <si>
    <t>Training Quests allow you to collect items and materials used to power up your characters.</t>
  </si>
  <si>
    <t>Daily Quests can only be challenged once per day, but you can get a lot of enhancement materials using Predator. Be sure to check in and try them out every day.</t>
  </si>
  <si>
    <t>Characters can be assigned to different facilities to increase their output.</t>
  </si>
  <si>
    <t>Characters with a better affinity for a facility will enhance it more than others.</t>
  </si>
  <si>
    <t>You can interact with a selected character.</t>
  </si>
  <si>
    <t>Giving food items will increase your Bond level, providing stat boosts  and various other benefits.</t>
  </si>
  <si>
    <t>You can also check the character's profile, and change their outfits by selecting Change Style.</t>
  </si>
  <si>
    <t>Note: Some outfits can be worn during Interaction and on your home screen.</t>
  </si>
  <si>
    <t>Set a rearguard character so that you can swap out members participating in a battle from the top right corner of the battle screen.</t>
  </si>
  <si>
    <t>Select one character each from the vanguard and rearguard to swap places.</t>
  </si>
  <si>
    <t>Once a character is moved to rearguard, that character cannot be swapped again until the turn ends.</t>
  </si>
  <si>
    <t>Setting a rearguard character allows you to switch characters in the heat of battle.</t>
  </si>
  <si>
    <t>Assign the max amount of characters to get the most firepower and take on difficult quests.</t>
  </si>
  <si>
    <t>Set a support character to raise the</t>
  </si>
  <si>
    <t>stats of your battle characters.</t>
  </si>
  <si>
    <t>When the attributes of your  support characters and battle characters match, a Same Attribute Boost is applied and increases your stats further.</t>
  </si>
  <si>
    <t>You can assign characters to your troop formation as you see fit by tapping a character and swapping places with another character.</t>
  </si>
  <si>
    <t>The support slots and rearguard slots are unlocked as you increase the population of your town.</t>
  </si>
  <si>
    <t>Use the 'Recommendation' button whenever you are unsure of how to set up your formation.</t>
  </si>
  <si>
    <t>Select information to ask the Great Sage a question, and you will get an appropriate answer.</t>
  </si>
  <si>
    <t>You can get helpful info about recommended quests, enhanceable characters, constructable facilities, and more.</t>
  </si>
  <si>
    <t>You can ask the Great Sage at any time, so be sure to use this function to your advantage.</t>
  </si>
  <si>
    <t>Raising a skill to a certain level causes it to evolve and increases its rarity.</t>
  </si>
  <si>
    <t>-Lv. 1 to 3: Common Skills (Silver)</t>
  </si>
  <si>
    <t>-Lv. 4 to 6: Extra Skills (Gold)</t>
  </si>
  <si>
    <t>-Lv. 7 to 10: Unique Skills (Rainbow)</t>
  </si>
  <si>
    <t>Each time a battle character's skill is evolved, the points required to activate the skill is reduced, making it easier to activate skills during battle.</t>
  </si>
  <si>
    <t>Enhancement skills must have the same rarity as the skill they are used to enhance.</t>
  </si>
  <si>
    <t>The more difficult a Predator quest, the more likely it is to reward you with enhancement skills with a high rarity.</t>
  </si>
  <si>
    <t>Use materials obtained during training quests to obtain abilities, as well as raise character stats, power up Secret Skills, and enhance Divine Protection.</t>
  </si>
  <si>
    <t>Each character has five levels of Ability Release, and releasing all the abilities at one level unlocks the next level.</t>
  </si>
  <si>
    <t>You can unlock your level cap, as well as earn and strengthen traits by awakening characters.</t>
  </si>
  <si>
    <t>When you awaken a character five times, it increases that character's rarity.</t>
  </si>
  <si>
    <t>When you recruit characters, you can get character-specific memory and contract stones that can be used to awaken them</t>
  </si>
  <si>
    <t>You can also get memory stone and contract stone shards from events.</t>
  </si>
  <si>
    <t>As long as the character type (Battle/Protection) and rarity match the character, you can use these materials to awaken that character.</t>
  </si>
  <si>
    <t>Some theory crafting. Everything tested. Mono/Duo elemental teams are still looking to be the best. All teams made by Meeracoat (Rimuru Tempest#0001).</t>
  </si>
  <si>
    <r>
      <rPr>
        <rFont val="Montserrat"/>
        <color rgb="FFFFFFFF"/>
        <sz val="12.0"/>
      </rPr>
      <t xml:space="preserve">Most teams should have the following: 2-3 Main DPS, 1-2 Soul Converters, 1-2 Supports/(De)Buffers.  (Depending on Content and Team, not every team can or should follow this </t>
    </r>
    <r>
      <rPr>
        <rFont val="Montserrat"/>
        <b/>
        <color rgb="FFFFFFFF"/>
        <sz val="12.0"/>
      </rPr>
      <t>general</t>
    </r>
    <r>
      <rPr>
        <rFont val="Montserrat"/>
        <color rgb="FFFFFFFF"/>
        <sz val="12.0"/>
      </rPr>
      <t xml:space="preserve"> rule.</t>
    </r>
  </si>
  <si>
    <t>CURRENTLY OUTDATED (if it has X CONQUEST as a title then it is up to date)</t>
  </si>
  <si>
    <t>LIGHT CONQUEST (Dark Team)</t>
  </si>
  <si>
    <t>Change everything to Blue and buff it along with Ults.</t>
  </si>
  <si>
    <t>Protector</t>
  </si>
  <si>
    <t>Vanguard</t>
  </si>
  <si>
    <t>Rearguard</t>
  </si>
  <si>
    <t>Alternatives</t>
  </si>
  <si>
    <t>The plan is to change everything to Blue and buff it with Rimuru for nice dmg, this will also allow you to spam your protector meaning loads of SS Gauge increases (which you will be buffing the dmg of those Ults with Milim) as well as even more changing Green to Blue and just repeating itself. You spam high dmg Blue Souls and high dmg Ults basically with this team. For Light Conquest though replace Rimuru for 3* Alice for the Stun. Might be able to do Expert without Stun.</t>
  </si>
  <si>
    <t>She is switched in when you are ready to buff Ults.</t>
  </si>
  <si>
    <t>She is switched in to convert Orange souls to Blue Souls.</t>
  </si>
  <si>
    <t>Can replace Dark Milim if you don't have her. Also converts Orange to Blue.</t>
  </si>
  <si>
    <t>Can replace Wind Milim as Veldora also buffs Ult. It is a weaker buff though.</t>
  </si>
  <si>
    <t>Can replace DL Rimuru as Souei also buffs Blue souls. Is a weaker buff though starting out, better for very long fights.</t>
  </si>
  <si>
    <t>LIGHT TEAM MAIN w/ Earth</t>
  </si>
  <si>
    <t>Basically Ramiris with Gazel as the main DPS.</t>
  </si>
  <si>
    <t>Some Party Unit Ideas</t>
  </si>
  <si>
    <t>Light team w/ earth seems very defensive oriented as nearly every unit besides Gazel Dwargo use defensive or support skills/passives. Could make for an interesting counterattack team comp.</t>
  </si>
  <si>
    <t>Treyni for mad heals.</t>
  </si>
  <si>
    <t>SPACE TEAM MAIN w/ Wind</t>
  </si>
  <si>
    <t>Basically Charybdis with Rimuru and/or units that use Space.</t>
  </si>
  <si>
    <t>This team can accumulate skill souls fast. Rimuru supports the team with very thicc ATK and DEF buffs. Good balance of DPS and survivability and access to plenty of skill usage it seems.</t>
  </si>
  <si>
    <t>FIRE TEAM MAIN w/ Light</t>
  </si>
  <si>
    <t>Basically Ifrit with Benimaru or Shizue and fire/light supporters.</t>
  </si>
  <si>
    <t>Some Main Units</t>
  </si>
  <si>
    <t xml:space="preserve">Team supports Benimaru or Shizue as they do the bulk of the damage. Gazel is another source of reliable DPS. </t>
  </si>
  <si>
    <t>WATER TEAM MAIN w/ Space</t>
  </si>
  <si>
    <t>Milim with Rimuru [Chancellor].</t>
  </si>
  <si>
    <t>Kind of bizarre how every water unit and even Space Rimuru wants to boost your DEF. You'll need a good DPS with single target nuke on this team.</t>
  </si>
  <si>
    <t>EARTH TEAM MAIN w/ Water</t>
  </si>
  <si>
    <t>Basically Colossus with... any 5* Earth or Water lol</t>
  </si>
  <si>
    <t>Pure Earth team seems to lack some damage. Very defensive. Colossus' skill super boosts team counterattack rate. Make sure you have Treyni or Rimuru [Harmonizer] for healing.</t>
  </si>
  <si>
    <t>DARK TEAM MAIN w/ Fire</t>
  </si>
  <si>
    <t>Basically Orc with Beretta or Shion or Diablo.</t>
  </si>
  <si>
    <t>High DPS somewhat low sustain team comp. Plenty of units convert Soul of Skill into Soul of Secret. Not shown above, but Diablo and Veldora also works on this team.</t>
  </si>
  <si>
    <t>Stage Name</t>
  </si>
  <si>
    <t>First Clear Reward</t>
  </si>
  <si>
    <t>Beginner Chapter 1-5</t>
  </si>
  <si>
    <t>Ranga 4☆</t>
  </si>
  <si>
    <t>Beginner Chapter 2-7</t>
  </si>
  <si>
    <t>Kaijin (Protection) 4☆</t>
  </si>
  <si>
    <t>Beginner Chapter 3-5</t>
  </si>
  <si>
    <t>Salamander (Protection) 4☆</t>
  </si>
  <si>
    <t>Beginner Chapter 3-8</t>
  </si>
  <si>
    <t>Rimuru [Swordsmanship Forge] 4☆</t>
  </si>
  <si>
    <t>Beginner Chapter 5-1</t>
  </si>
  <si>
    <t>Benimaru [Valiant Kijin] 4☆, Shion [Ardent Attendant] 4☆, Shuna [Excellent Tailor] 4☆, Kurobe [Steel Heart of Forge] 4☆, Souei [Instant Spy] 4☆</t>
  </si>
  <si>
    <t>Beginner Chapter 7-2</t>
  </si>
  <si>
    <t>Geld 4☆</t>
  </si>
  <si>
    <t>Beginner Chapter 7-8</t>
  </si>
  <si>
    <t>Vesta (Protection) 4☆</t>
  </si>
  <si>
    <t>Beginner Chapter 7-10</t>
  </si>
  <si>
    <t>Milim 4☆</t>
  </si>
  <si>
    <t>Beginner Chapter 8-4</t>
  </si>
  <si>
    <t>Fuze (Protection) 4☆</t>
  </si>
  <si>
    <t>Beginner Chapter 8-10</t>
  </si>
  <si>
    <t>Trya 4☆</t>
  </si>
  <si>
    <t>Beginner Chapter 9-8</t>
  </si>
  <si>
    <t>Kenya Misaki 3☆</t>
  </si>
  <si>
    <t>Beginner Chapter 9-9</t>
  </si>
  <si>
    <t>Chloe Aubert 4☆</t>
  </si>
  <si>
    <t>Beginner Chapter 9-11</t>
  </si>
  <si>
    <t>Alice Rondo 3☆</t>
  </si>
  <si>
    <t>Beginner Chapter 9-13</t>
  </si>
  <si>
    <t>Sky Dragon (Protection) 4☆</t>
  </si>
  <si>
    <t>Beginner Chapter 9-14</t>
  </si>
  <si>
    <t>Gard Mjolmire (Protection) 4☆</t>
  </si>
  <si>
    <t>Beginner Chapter 10-4</t>
  </si>
  <si>
    <t>Light Spirit (Protection) 4☆</t>
  </si>
  <si>
    <r>
      <rPr>
        <rFont val="Montserrat"/>
        <b/>
        <color rgb="FFFFFFFF"/>
        <sz val="12.0"/>
      </rPr>
      <t>EP Calculation by Meeracoat:</t>
    </r>
    <r>
      <rPr>
        <rFont val="Montserrat"/>
        <color rgb="FFFFFFFF"/>
        <sz val="12.0"/>
      </rPr>
      <t xml:space="preserve">
HP + (ATK x 5) + (DEF x 2.5) + Non-Stat Bonuses = Total EP</t>
    </r>
  </si>
  <si>
    <t>From right to left: Soul of Skills, Divine Protection, Secrets</t>
  </si>
  <si>
    <t>Combo - ATK DOWN (5☆ Awaken x1)</t>
  </si>
  <si>
    <t>When the enemy makes a combo attack, decreases all targets' ATK by 5% for the next turn.</t>
  </si>
  <si>
    <t>Combo - ATK DOWN (5☆ Awaken x3)</t>
  </si>
  <si>
    <t>When the enemy makes a combo attack, decreases all targets' ATK by 8% for the next turn.</t>
  </si>
  <si>
    <t>Combo - Pierce Resistance DOWN (5☆ Awaken x1)</t>
  </si>
  <si>
    <t>When the enemy makes a combo attack, decreases all target's pierce resistance by 6% for the next turn.</t>
  </si>
  <si>
    <t>Combo - Pierce Resistance DOWN (5☆ Awaken x3)</t>
  </si>
  <si>
    <t>When the enemy makes a combo attack, decreases all target's pierce resistance by 9% for the next turn.</t>
  </si>
  <si>
    <t>Combo - Pierce Resistance DOWN 2 (5☆ Awaken x1)</t>
  </si>
  <si>
    <t>When the enemy makes a combo attack, increases all allies' pierce resistance by 10% at the start of the next turn.</t>
  </si>
  <si>
    <t>Combo - Pierce Resistance DOWN 2 (5☆ Awaken x3)</t>
  </si>
  <si>
    <t>When the enemy makes a combo attack, increases all allies' pierce resistance by 15% at the start of the next turn.</t>
  </si>
  <si>
    <t>Soul Combo - ATK UP (5☆ Awaken x1)</t>
  </si>
  <si>
    <t>When you unleash a 6 combo attack with Soul of Skills, increases own ATK by 5% for the next turn (available in support formation).</t>
  </si>
  <si>
    <t>Soul Combo - ATK UP (5☆ Awaken x3)</t>
  </si>
  <si>
    <t>When you unleash a 6 combo attack with Soul of Skills, increases own ATK by 8% for the next turn (available in support formation).</t>
  </si>
  <si>
    <t>Effect - Critical Rate UP (5☆ Awaken x1)</t>
  </si>
  <si>
    <t>When 1 or more enemies are affected by DEF DOWN, increases own critical rate by 6% at start of battle (available in support formation).</t>
  </si>
  <si>
    <t>Effect - Critical Rate UP (5☆ Awaken x3)</t>
  </si>
  <si>
    <t>When 1 or more enemies are affected by DEF DOWN, increases own critical rate by 9% at start of battle (available in support formation).</t>
  </si>
  <si>
    <t>Effect - Critical Rate UP 2 (5☆ Awaken x1)</t>
  </si>
  <si>
    <t>When affected by Guard Rate UP, increases own critical rate by 7% at start of turn (available in support formation).</t>
  </si>
  <si>
    <t>Effect - Critical Rate UP 2 (5☆ Awaken x3)</t>
  </si>
  <si>
    <t>When affected by Guard Rate UP, increases own critical rate by 11% at start of turn (available in support formation).</t>
  </si>
  <si>
    <t>Effect - Critical Resistance DOWN (5☆ Awaken x1)</t>
  </si>
  <si>
    <t>When 1 or more enemies are affected by Guard Rate UP, decreases all targets' critical resistance by 7% at start of turn.</t>
  </si>
  <si>
    <t>Effect - Critical Resistance DOWN (5☆ Awaken x3)</t>
  </si>
  <si>
    <t>When 1 or more enemies are affected by Guard Rate UP, decreases all targets' critical resistance by 11% at start of turn.</t>
  </si>
  <si>
    <t>Effect - Critical Resistance DOWN 2 (5☆ Awaken x1)</t>
  </si>
  <si>
    <t>When 1 or more enemies are affected by ATK UP, decreases all targets' critical resistance by 7% at start of turn.</t>
  </si>
  <si>
    <t>Effect - Critical Resistance DOWN 2 (5☆ Awaken x3)</t>
  </si>
  <si>
    <t>When 1 or more enemies are affected by ATK UP, decreases all targets' critical resistance by 11% at start of turn.</t>
  </si>
  <si>
    <t>Effect - Dark Resistance (5☆ Awaken x1)</t>
  </si>
  <si>
    <t>When 1 or more enemies are affected by ATK UP, increases all allies' dark resistance by at start of turn.</t>
  </si>
  <si>
    <t>Effect - Dark Resistance (5☆ Awaken x3)</t>
  </si>
  <si>
    <t>Effect - DEF DOWN (5☆ Awaken x1)</t>
  </si>
  <si>
    <t>When 1 or more enemies are affected by Guard Rate UP, decreases all targets' DEF by 4% at start of turn.</t>
  </si>
  <si>
    <t>Effect - DEF DOWN (5☆ Awaken x3)</t>
  </si>
  <si>
    <t>When 1 or more enemies are affected by Guard Rate UP, decreases all targets' DEF by 6% at start of turn.</t>
  </si>
  <si>
    <t>Effect - DEF DOWN 2 (5☆ Awaken x1)</t>
  </si>
  <si>
    <t>When 1 or more allies are affected by ATK DOWN, decrease all targets' DEF by 4% at start of turn.</t>
  </si>
  <si>
    <t>Effect - DEF DOWN 2 (5☆ Awaken x3)</t>
  </si>
  <si>
    <t>When 1 or more allies are affected by ATK DOWN, decrease all targets' DEF by 6% at start of turn.</t>
  </si>
  <si>
    <t>Effect - DEF UP (5☆ Awaken x1)</t>
  </si>
  <si>
    <t>When affected by Pierce Resistance UP, increases own DEF by 7% at the start of turn (available in support formation).</t>
  </si>
  <si>
    <t>Effect - DEF UP (5☆ Awaken x3)</t>
  </si>
  <si>
    <t>When affected by Pierce Resistance UP, increases own DEF by 11% at the start of turn (available in support formation).</t>
  </si>
  <si>
    <t>Effect - DEF UP 2 (5☆ Awaken x1)</t>
  </si>
  <si>
    <t>When affected by Critical Resistance UP, increases own DEF by 7% at start of the turn (available in support formation).</t>
  </si>
  <si>
    <t>Effect - DEF UP 2 (5☆ Awaken x3)</t>
  </si>
  <si>
    <t>When affected by Critical Resistance UP, increases own DEF by 11% at start of the turn (available in support formation).</t>
  </si>
  <si>
    <t>Effect - Guard Power UP (5☆ Awaken x1)</t>
  </si>
  <si>
    <t>When affected by Guard Rate UP, increases own guard power by 6% at start of turn (available in support formation).</t>
  </si>
  <si>
    <t>Effect - Guard Power UP (5☆ Awaken x3)</t>
  </si>
  <si>
    <t>When affected by Guard Rate UP, increases own guard power by 9% at start of turn (available in support formation).</t>
  </si>
  <si>
    <t>Effect - Guard Rate UP (5☆ Awaken x1)</t>
  </si>
  <si>
    <t>When affected by Critical Resistance UP, increases own guard rate by 8% at start of turn (available in support formation).</t>
  </si>
  <si>
    <t>Effect - Guard Rate UP (5☆ Awaken x3)</t>
  </si>
  <si>
    <t>When affected by Critical Resistance UP, increases own guard rate by 12% at start of turn (available in support formation).</t>
  </si>
  <si>
    <t>Effect - Light Resistance (5☆ Awaken x1)</t>
  </si>
  <si>
    <t>When 1 or more enemies are affected by ATK UP, increases all allies' light resistance by 7% at start of turn.</t>
  </si>
  <si>
    <t>Effect - Light Resistance (5☆ Awaken x3)</t>
  </si>
  <si>
    <t>When 1 or more enemies are affected by ATK UP, increases all allies' light resistance by 11% at start of turn.</t>
  </si>
  <si>
    <t>Effect - Pierce Power UP (5☆ Awaken x1)</t>
  </si>
  <si>
    <t>When 1 or more vanguard are affected by Critical Rate UP, increases own pierce power by 5% at start of turn (available in support formation).</t>
  </si>
  <si>
    <t>Effect - Pierce Power UP (5☆ Awaken x3)</t>
  </si>
  <si>
    <t>When 1 or more vanguard are affected by Critical Rate UP, increases own pierce power by 8% at start of turn (available in support formation).</t>
  </si>
  <si>
    <t>Effect - Pierce Power UP 2 (5☆ Awaken x1)</t>
  </si>
  <si>
    <t>When 1 or more enemies are affected by Pierce Resistance DOWN, increases own pierce power by 5% at start of turn (available in support formation).</t>
  </si>
  <si>
    <t>Effect - Pierce Power UP 2 (5☆ Awaken x3)</t>
  </si>
  <si>
    <t>When 1 or more enemies are affected by Pierce Resistance DOWN, increases own pierce power by 8% at start of turn (available in support formation).</t>
  </si>
  <si>
    <t>Effect - Pierce Rate UP (5☆ Awaken x1)</t>
  </si>
  <si>
    <t>When affected by counterattack rate UP, increases own pierce rate by 7% at start of turn (available in support formation).</t>
  </si>
  <si>
    <t>Effect - Pierce Rate UP (5☆ Awaken x3)</t>
  </si>
  <si>
    <t>When affected by counterattack rate UP, increases own pierce rate by 11% at start of turn (available in support formation).</t>
  </si>
  <si>
    <t>Effect - Pierce Resistance DOWN (5☆ Awaken x1)</t>
  </si>
  <si>
    <t>When 1 or more enemies are affected by DEF UP, decreases all targets' pierce resistance by 7% at start of turn.</t>
  </si>
  <si>
    <t>Effect - Pierce Resistance DOWN (5☆ Awaken x3)</t>
  </si>
  <si>
    <t>When 1 or more enemies are affected by DEF UP, decreases all targets' pierce resistance by 11% at start of turn.</t>
  </si>
  <si>
    <t>Effect - Pierce Resistance DOWN 2 (5☆ Awaken x1)</t>
  </si>
  <si>
    <t>When 1 or more enemies are affected by Critical Rate UP, decreases all targets' pierce resistance by 7% at start of turn.</t>
  </si>
  <si>
    <t>Effect - Pierce Resistance DOWN 2 (5☆ Awaken x3)</t>
  </si>
  <si>
    <t>When 1 or more enemies are affected by Critical Rate UP, decreases all targets' pierce resistance by 11% at start of turn.</t>
  </si>
  <si>
    <t>HP - ATK UP (5☆ Awaken x1)</t>
  </si>
  <si>
    <t>When all 3 vanguard have 75% or more HP, increases all allies' ATK by 4% at start of turn.</t>
  </si>
  <si>
    <t>HP - ATK UP (5☆ Awaken x3)</t>
  </si>
  <si>
    <t>When all 3 vanguard have 75% or more HP, increases all allies' ATK by 6% at start of turn.</t>
  </si>
  <si>
    <t>HP - ATK UP 2 (5☆ Awaken x1)</t>
  </si>
  <si>
    <t>When all 3 vanguard have 50% or more HP, increases all allies' ATK by 3% at start of turn.</t>
  </si>
  <si>
    <t>HP - ATK UP 2 (5☆ Awaken x3)</t>
  </si>
  <si>
    <t>When all 3 vanguard have 50% or more HP, increases all allies' ATK by 5% at start of turn.</t>
  </si>
  <si>
    <t>HP - Counterattack Resistance (5☆ Awaken x1)</t>
  </si>
  <si>
    <t>When 3 vanguard have max HP, increases all allies' counterattack resistance by 20% at start of turn.</t>
  </si>
  <si>
    <t>HP - Counterattack Resistance (5☆ Awaken x3)</t>
  </si>
  <si>
    <t>When 3 vanguard have max HP, increases all allies' counterattack resistance by 30% at start of turn.</t>
  </si>
  <si>
    <t>HP - Critical Damage UP (5☆ Awaken x1)</t>
  </si>
  <si>
    <t>When you have 50% or lower HP, increases own critical damage by 5% at start of turn (available in support formation).</t>
  </si>
  <si>
    <t>HP - Critical Damage UP (5☆ Awaken x3)</t>
  </si>
  <si>
    <t>When you have 50% or lower HP, increases own critical damage by 8% at start of turn (available in support formation).</t>
  </si>
  <si>
    <t>HP - Critical Damage UP 2 (5☆ Awaken x1)</t>
  </si>
  <si>
    <t>When you have 50% or higher HP, increases own critical damage by 5% at start of turn (available in support formation).</t>
  </si>
  <si>
    <t>HP - Critical Damage UP 2 (5☆ Awaken x3)</t>
  </si>
  <si>
    <t>When you have 50% or higher HP, increases own critical damage by 8% at start of turn (available in support formation).</t>
  </si>
  <si>
    <t>HP - Critical Rate UP (5☆ Awaken x1)</t>
  </si>
  <si>
    <t>When 3 vanguard have 50% or lower HP, increases all allies' critical rate by 8% at start of turn.</t>
  </si>
  <si>
    <t>HP - Critical Rate UP (5☆ Awaken x3)</t>
  </si>
  <si>
    <t>When 3 vanguard have 50% or lower HP, increases all allies' critical rate by 12% at start of turn.</t>
  </si>
  <si>
    <t>HP - Critical Rate UP 2 (5☆ Awaken x1)</t>
  </si>
  <si>
    <t>When you have 50% or lower HP, increases own critical rate by 6% at start of turn (available in support formation).</t>
  </si>
  <si>
    <t>HP - Critical Rate UP 2 (5☆ Awaken x3)</t>
  </si>
  <si>
    <t>When you have 50% or lower HP, increases own critical rate by 9% at start of turn (available in support formation).</t>
  </si>
  <si>
    <t>HP - Critical Resistance (5☆ Awaken x1)</t>
  </si>
  <si>
    <t>When 3 vanguard have 50% or more HP, increases all allies' critical resistance by 10% at start of turn.</t>
  </si>
  <si>
    <t>HP - Critical Resistance (5☆ Awaken x3)</t>
  </si>
  <si>
    <t>When 3 vanguard have 50% or more HP, increases all allies' critical resistance by 15% at start of turn.</t>
  </si>
  <si>
    <t>HP - DEF DOWN (5☆ Awaken x1)</t>
  </si>
  <si>
    <t>When 3 vanguard have 75% or more HP, decreases all targets' DEF by 4% at start of turn.</t>
  </si>
  <si>
    <t>HP - DEF DOWN (5☆ Awaken x3)</t>
  </si>
  <si>
    <t>When 3 vanguard have 75% or more HP, decreases all targets' DEF by 6% at start of turn.</t>
  </si>
  <si>
    <t>When 3 vanguard have 50% or more HP, decreases all targets' DEF by 3% at start of turn.</t>
  </si>
  <si>
    <t>When 3 vanguard have 50% or more HP, decreases all targets' DEF by 5% at start of turn.</t>
  </si>
  <si>
    <t>HP - DEF UP (5☆ Awaken x1)</t>
  </si>
  <si>
    <t>When you have 50% or lower HP, increases own DEF by 6% at start of turn (available in support formation).</t>
  </si>
  <si>
    <t>HP - DEF UP (5☆ Awaken x3)</t>
  </si>
  <si>
    <t>When you have 50% or lower HP, increases own DEF by 9% at start of turn (available in support formation).</t>
  </si>
  <si>
    <t>HP - DEF UP 2 (5☆ Awaken x1)</t>
  </si>
  <si>
    <t>When you have max HP, increases own DEF by 7% at start of turn (available in support formation).</t>
  </si>
  <si>
    <t>HP - DEF UP 2 (5☆ Awaken x3)</t>
  </si>
  <si>
    <t>When you have max HP, increases own DEF by 11% at start of turn (available in support formation).</t>
  </si>
  <si>
    <t>HP - DEF UP 3 (5☆ Awaken x1)</t>
  </si>
  <si>
    <t>When 3 vanguard have max HP, increases all allies' DEF by 10% at start of turn.</t>
  </si>
  <si>
    <t>HP - DEF UP 3 (5☆ Awaken x3)</t>
  </si>
  <si>
    <t>When 3 vanguard have max HP, increases all allies' DEF by 15% at start of turn.</t>
  </si>
  <si>
    <t>HP - Enhance Counterattack Rate (5☆ Awaken x1)</t>
  </si>
  <si>
    <t>When you have 50% or higher HP, increases own counterattack rate by 6% at start of turn (available in support formation).</t>
  </si>
  <si>
    <t>HP - Enhance Counterattack Rate (5☆ Awaken x3)</t>
  </si>
  <si>
    <t>When you have 50% or higher HP, increases own counterattack rate by 9% at start of turn (available in support formation).</t>
  </si>
  <si>
    <t>HP - Guard Power UP (5☆ Awaken x1)</t>
  </si>
  <si>
    <t>When you have max HP, increases own guard power by 6% at start of turn (available in support formation).</t>
  </si>
  <si>
    <t>HP - Guard Power UP (5☆ Awaken x3)</t>
  </si>
  <si>
    <t>When you have max HP, increases own guard power by 9% at start of turn (available in support formation).</t>
  </si>
  <si>
    <t>HP - Lash Out (5☆ Awaken x1)</t>
  </si>
  <si>
    <t>When you have 75% or higher HP, increasess own counter power by 4% at start of turn (available in support formation).</t>
  </si>
  <si>
    <t>HP - Lash Out (5☆ Awaken x3)</t>
  </si>
  <si>
    <t>When you have 75% or higher HP, increasess own counter power by 6% at start of turn (available in support formation).</t>
  </si>
  <si>
    <t>HP - Pierce Power UP (5☆ Awaken x1)</t>
  </si>
  <si>
    <t>When you have max HP, increases own pierce power by 6% at start of turn (available in support formation).</t>
  </si>
  <si>
    <t>HP - Pierce Power UP (5☆ Awaken x3)</t>
  </si>
  <si>
    <t>When you have max HP, increases own pierce power by 9% at start of turn (available in support formation).</t>
  </si>
  <si>
    <t>HP - Pierce Power UP 2 (5☆ Awaken x1)</t>
  </si>
  <si>
    <t>When you have 75% or more HP, increases own pierce power by 8% at start of turn (available in support formation).</t>
  </si>
  <si>
    <t>HP - Pierce Power UP 2 (5☆ Awaken x3)</t>
  </si>
  <si>
    <t>When you have 75% or more HP, increases own pierce power by 12% at start of turn (available in support formation).</t>
  </si>
  <si>
    <t>HP - Pierce Rate Up (5☆ Awaken x1)</t>
  </si>
  <si>
    <t>When you have 50% or lower HP, increases own pierce rate by 7% at start of turn (available in support formation).</t>
  </si>
  <si>
    <t>HP - Pierce Rate Up (5☆ Awaken x3)</t>
  </si>
  <si>
    <t>When you have 50% or lower HP, increases own pierce rate by 11% at start of turn (available in support formation).</t>
  </si>
  <si>
    <t>HP - Pierce Rate Up 2 (5☆ Awaken x1)</t>
  </si>
  <si>
    <t>When you have max HP, increases own pierce rate by 8% at start of turn (available in support formation).</t>
  </si>
  <si>
    <t>HP - Pierce Rate Up 2 (5☆ Awaken x3)</t>
  </si>
  <si>
    <t>When you have max HP, increases own pierce rate by 12% at start of turn (available in support formation).</t>
  </si>
  <si>
    <t>HP - Pierce Resistance (5☆ Awaken x1)</t>
  </si>
  <si>
    <t>When 3 vanguard have 50% or more HP, increases all allies' pierce resistance by 10% at the start of turn.</t>
  </si>
  <si>
    <t>HP - Pierce Resistance (5☆ Awaken x3)</t>
  </si>
  <si>
    <t>When 3 vanguard have 50% or more HP, increases all allies' pierce resistance by 15% at the start of turn.</t>
  </si>
  <si>
    <t>HP - Pierce Resistance 2 (5☆ Awaken x1)</t>
  </si>
  <si>
    <t>When you have max HP, increases own pierce resistance by 6% at start of turn (available in support formation).</t>
  </si>
  <si>
    <t>HP - Pierce Resistance 2 (5☆ Awaken x3)</t>
  </si>
  <si>
    <t>When you have max HP, increases own pierce resistance by 9% at start of turn (available in support formation).</t>
  </si>
  <si>
    <t>HP - Pierce Resistance DOWN (5☆ Awaken x1)</t>
  </si>
  <si>
    <t>When 3 vanguard have 50% or lower HP, decreases all targets' pierce resistance by 5% at start of turn.</t>
  </si>
  <si>
    <t>HP - Pierce Resistance DOWN (5☆ Awaken x3)</t>
  </si>
  <si>
    <t>When 3 vanguard have 50% or lower HP, decreases all targets' pierce resistance by 8% at start of turn.</t>
  </si>
  <si>
    <t>Secret Skill - ATK DOWN (5☆ Awaken x1)</t>
  </si>
  <si>
    <t>When the enemy activates secret skill, decreases all targets' ATK by 6% for the next turn.</t>
  </si>
  <si>
    <t>Secret Skill - ATK DOWN (5☆ Awaken x3)</t>
  </si>
  <si>
    <t>When the enemy activates secret skill, decreases all targets' ATK by 9% for the next turn.</t>
  </si>
  <si>
    <t>When you unleash a 6 combo attack with Soul of Secrets, increases own ATK by 5% for the next turn (available in support formation).</t>
  </si>
  <si>
    <t>When you unleash a 6 combo attack with Soul of Secrets, increases own ATK by 8% for the next turn (available in support formation).</t>
  </si>
  <si>
    <t>Soul Combo - ATK DOWN (5☆ Awaken x1)</t>
  </si>
  <si>
    <t>When you unleash a 6 combo attack with Soul of Divine Protection, decreases all targets' ATK by 5% for the next turn (available in support formation).</t>
  </si>
  <si>
    <t>Soul Combo - ATK DOWN (5☆ Awaken x3)</t>
  </si>
  <si>
    <t>When you unleash a 6 combo attack with Soul of Divine Protection, decreases all targets' ATK by 8% for the next turn (available in support formation).</t>
  </si>
  <si>
    <t>Soul Combo - DEF UP (5☆ Awaken x1)</t>
  </si>
  <si>
    <t>When you unleash a 6 combo attack with Soul of Secrets, increase all targets' DEF by 12% for the next turn (available in support formation).</t>
  </si>
  <si>
    <t>Soul Combo - DEF UP (5☆ Awaken x3)</t>
  </si>
  <si>
    <t>When you unleash a 6 combo attack with Soul of Secrets, increase all targets' DEF by 18% for the next turn (available in support formation).</t>
  </si>
  <si>
    <t>Soul Combo - Critical Damage UP (5☆ Awaken x1)</t>
  </si>
  <si>
    <t>When you unleash a 5+ combo attack with Soul of Secrets, increases own critical damage by 6% for the next turn (available in support formation).</t>
  </si>
  <si>
    <t>Soul Combo - Critical Damage UP (5☆ Awaken x3)</t>
  </si>
  <si>
    <t>When you unleash a 5+ combo attack with Soul of Secrets, increases own critical damage by 9% for the next turn (available in support formation).</t>
  </si>
  <si>
    <t>Soul Combo - Critical Rate UP (5☆ Awaken x1)</t>
  </si>
  <si>
    <t>When you unleash a 6 combo attack with Soul of Divine Protection, increases own critical rate by 12% for the next turn (available in support formation).</t>
  </si>
  <si>
    <t>Soul Combo - Critical Rate UP (5☆ Awaken x3)</t>
  </si>
  <si>
    <t>When you unleash a 6 combo attack with Soul of Divine Protection, increases own critical rate by 18% for the next turn (available in support formation).</t>
  </si>
  <si>
    <t>Soul Combo - Guard Rate DOWN (5★ Awaken x1)</t>
  </si>
  <si>
    <t>When you unleash a 6 combo attack with Soul of Divine Protection, decreases all targets' guard rate by 7% for the next turn (available in support formation)</t>
  </si>
  <si>
    <t>Soul Combo - Guard Rate DOWN (5★ Awaken x3)</t>
  </si>
  <si>
    <t>When you unleash a 6 combo attack with Soul of Divine Protection, decreases all targets' guard rate by 11% for the next turn (available in support formation)</t>
  </si>
  <si>
    <t>Soul Combo - Enhance Counterattack Rate (5☆ Awaken x1)</t>
  </si>
  <si>
    <t>When you unleash a 5+ combo attack with Soul of Divine Protection, increases own counterattack rate by 6% for the next turn (available in support formation).</t>
  </si>
  <si>
    <t>Soul Combo - Enhance Counterattack Rate (5☆ Awaken x3)</t>
  </si>
  <si>
    <t>When you unleash a 5+ combo attack with Soul of Divine Protection, increases own counterattack rate by 9% for the next turn (available in support formation).</t>
  </si>
  <si>
    <t>Soul Combo - Enhance Counterattack Rate 2 (5☆ Awaken x1)</t>
  </si>
  <si>
    <t>When you unleash a 4+ combo attack with Soul of Skills, increases own counterattack rate by 4% for the next turn (available in support formation).</t>
  </si>
  <si>
    <t>Soul Combo - Enhance Counterattack Rate 2 (5☆ Awaken x3)</t>
  </si>
  <si>
    <t>When you unleash a 4+ combo attack with Soul of Skills, increases own counterattack rate by 6% for the next turn (available in support formation).</t>
  </si>
  <si>
    <t>Soul Combo - Guard Rate UP (5☆ Awaken x1)</t>
  </si>
  <si>
    <t>When you unleash a 4+ combo attack with Soul of Skills, increases own guard rate by 6% for the next turn (available in support formation).</t>
  </si>
  <si>
    <t>Soul Combo - Guard Rate UP (5☆ Awaken x3)</t>
  </si>
  <si>
    <t>When you unleash a 4+ combo attack with Soul of Skills, increases own guard rate by 9% for the next turn (available in support formation).</t>
  </si>
  <si>
    <t>Soul Combo - Counter Power DOWN (5☆ Awaken x1)</t>
  </si>
  <si>
    <t>When you unleash a 5+ combo attack with Soul of Divine Protection, decreases all targets' counter power by 8% for the next turn (available in support formation).</t>
  </si>
  <si>
    <t>Soul Combo - Counter Power DOWN (5☆ Awaken x3)</t>
  </si>
  <si>
    <t>When you unleash a 5+ combo attack with Soul of Divine Protection, decreases all targets' counter power by 12% for the next turn (available in support formation).</t>
  </si>
  <si>
    <t>Soul Combo - Pierce Power UP (5☆ Awaken x1)</t>
  </si>
  <si>
    <t>When you unleash a 4+ combo attack with Soul of Skills, increases own pierce power by 4% for the next turn (available in support formation).</t>
  </si>
  <si>
    <t>Soul Combo - Pierce Power UP (5☆ Awaken x3)</t>
  </si>
  <si>
    <t>When you unleash a 4+ combo attack with Soul of Skills, increases own pierce power by 6% for the next turn (available in support formation).</t>
  </si>
  <si>
    <t>Soul Combo - Pierce Power UP 2 (5☆ Awaken x1)</t>
  </si>
  <si>
    <t>When you unleash a 5+ combo attack with Soul of Secrets, increases own pierce power by 6% for the next turn (available in support formation).</t>
  </si>
  <si>
    <t>Soul Combo - Pierce Power UP 2 (5☆ Awaken x3)</t>
  </si>
  <si>
    <t>When you unleash a 5+ combo attack with Soul of Secrets, increases own pierce power by 9% for the next turn (available in support formation).</t>
  </si>
  <si>
    <t>Soul Combo - Pierce Rate UP (5☆ Awaken x1)</t>
  </si>
  <si>
    <t>When you unleash a 4+ combo attack with Soul of Secrets, increases own pierce rate by 5% for the next turn (available in support formation).</t>
  </si>
  <si>
    <t>Soul Combo - Pierce Rate UP (5☆ Awaken x3)</t>
  </si>
  <si>
    <t>When you unleash a 4+ combo attack with Soul of Secrets, increases own pierce rate by 8% for the next turn (available in support formation).</t>
  </si>
  <si>
    <t>Troop - Evade Poison (5☆ Awaken x1)</t>
  </si>
  <si>
    <t>When your troop contains 3 or more battle characters, increases own poison evasion rate by 40% during battle (available in support formation).</t>
  </si>
  <si>
    <t>Troop - Evade Poison (5☆ Awaken x3)</t>
  </si>
  <si>
    <t>When your troop contains 3 or more battle characters, increases own poison evasion rate by 60% during battle (available in support formation).</t>
  </si>
  <si>
    <t>Troop - Evade Poison 2 (5☆ Awaken x1)</t>
  </si>
  <si>
    <t>When your troop contains 3 or more battle characters, increases all allies' poison evasion rate by 10% during battle.</t>
  </si>
  <si>
    <t>Troop - Evade Poison 2 (5☆ Awaken x3)</t>
  </si>
  <si>
    <t>When your troop contains 3 or more battle characters, increases all allies' poison evasion rate by 15% during battle.</t>
  </si>
  <si>
    <t>Troop - Guard Rate UP (5☆ Awaken x1)</t>
  </si>
  <si>
    <t>When your troop contains 3 or more battle characters, increases own guard rate by 3% during battle (available in support formation).</t>
  </si>
  <si>
    <t>Troop - Guard Rate UP (5☆ Awaken x3)</t>
  </si>
  <si>
    <t>When your troop contains 3 or more battle characters, increases own guard rate by 5% during battle (available in support formation).</t>
  </si>
  <si>
    <t>Troop - Pierce Power UP (5☆ Awaken x1)</t>
  </si>
  <si>
    <t>When your troop contains 3 or more battle characters, increases own pierce power by 3% during battle (available in support formation).</t>
  </si>
  <si>
    <t>Troop - Pierce Power UP (5☆ Awaken x3)</t>
  </si>
  <si>
    <t>When your troop contains 3 or more battle characters, increases own pierce power by 5% during battle (available in support formation).</t>
  </si>
  <si>
    <t>Troop - Pierce Rate UP (5☆ Awaken x1)</t>
  </si>
  <si>
    <t>When your troop contains 3 or more battle characters, increases own pierce rate by 3% during battle (available in support formation).</t>
  </si>
  <si>
    <t>Troop - Pierce Rate UP (5☆ Awaken x3)</t>
  </si>
  <si>
    <t>When your troop contains 3 or more battle characters, increases own pierce rate by 5% during battle (available in support formation).</t>
  </si>
  <si>
    <t>Troop - Protection UP (5☆ Awaken x1)</t>
  </si>
  <si>
    <t>When your troop contains 3 or more battle characters, increases protection gauge by 4 every 3 turns (available in support formation).</t>
  </si>
  <si>
    <t>Troop - Protection UP (5☆ Awaken x3)</t>
  </si>
  <si>
    <t>When your troop contains 3 or more battle characters, increases protection gauge by 6 every 3 turns (available in support formation).</t>
  </si>
  <si>
    <t>When your troop contains 3 or more battle characters, increases protection gauge by 7 at the start of battle (available in support formation).</t>
  </si>
  <si>
    <t>When your troop contains 3 or more battle characters, increases protection gauge by 11 at the start of battle (available in support formation).</t>
  </si>
  <si>
    <t>Troop - Protection UP 2 (5☆ Awaken x1)</t>
  </si>
  <si>
    <t>When your troop contains 3 or more battle characters, increases protection gauge by 7 every 3 turns (available in support formation).</t>
  </si>
  <si>
    <t>Troop - Protection UP 2 (5☆ Awaken x3)</t>
  </si>
  <si>
    <t>When your troop contains 3 or more battle characters, increases protection gauge by 11 every 3 turns (available in support formation).</t>
  </si>
  <si>
    <t>Troop - Secret Skill UP (5☆ Awaken x1)</t>
  </si>
  <si>
    <t>When your troop contains 3 or more battle characters, increases own Secret Skill Gauge by 12% at the start of battle (available in support formation).</t>
  </si>
  <si>
    <t>Troop - Secret Skill UP (5☆ Awaken x3)</t>
  </si>
  <si>
    <t>When your troop contains 3 or more battle characters, increases own Secret Skill Gauge by 18% at the start of battle (available in support formation).</t>
  </si>
  <si>
    <t>Troop - Secret Skill UP 2 (5☆ Awaken x1)</t>
  </si>
  <si>
    <t>When your troop contains 3 or more battle characters, increases own Secret Skill Gauge by 5% every 3 turns (available in support formation).</t>
  </si>
  <si>
    <t>Troop - Secret Skill UP 2 (5☆ Awaken x3)</t>
  </si>
  <si>
    <t>When your troop contains 3 or more battle characters, increases own Secret Skill Gauge by 8% every 3 turns (available in support formation).</t>
  </si>
  <si>
    <t>Troop - Secret Skill UP 3 (5☆ Awaken x1)</t>
  </si>
  <si>
    <t>When your troop contains 3 or more battle characters, increases own Secret Skill Gauge by 5% at start of battle (Turns: 3) (available in support formation).</t>
  </si>
  <si>
    <t>Troop - Secret Skill UP 3 (5☆ Awaken x3)</t>
  </si>
  <si>
    <t>When your troop contains 3 or more battle characters, increases own Secret Skill Gauge by 8% at start of battle (Turns: 3) (available in support formation).</t>
  </si>
  <si>
    <t>Troop - Skill UP (5☆ Awaken x1)</t>
  </si>
  <si>
    <t>When your troop contains 3 or more battle characters, increases skill points by 4 at the start of the battle (available in support formation).</t>
  </si>
  <si>
    <t>Troop - Skill UP (5☆ Awaken x3)</t>
  </si>
  <si>
    <t>When your troop contains 3 or more battle characters, increases skill points by 6 at the start of the battle (available in support formation).</t>
  </si>
  <si>
    <t>Waves</t>
  </si>
  <si>
    <t>Magicule</t>
  </si>
  <si>
    <t>Gold Coins</t>
  </si>
  <si>
    <t>Mission 1</t>
  </si>
  <si>
    <t>Mission 2</t>
  </si>
  <si>
    <t>Mission 3</t>
  </si>
  <si>
    <t>Notes</t>
  </si>
  <si>
    <t>Beginner Chapter 1-1</t>
  </si>
  <si>
    <t>400 Gold Coins</t>
  </si>
  <si>
    <t>3 Magicrystals</t>
  </si>
  <si>
    <t>1 Magicrystals</t>
  </si>
  <si>
    <t>Beginner Chapter 1-2</t>
  </si>
  <si>
    <t>Beginner Chapter 1-3</t>
  </si>
  <si>
    <t>Beginner Chapter 1-4</t>
  </si>
  <si>
    <t>Predator</t>
  </si>
  <si>
    <t>Beginner Chapter 2-1</t>
  </si>
  <si>
    <t>500 Gold Coins</t>
  </si>
  <si>
    <t>Beginner Chapter 2-2</t>
  </si>
  <si>
    <t>Beginner Chapter 2-3</t>
  </si>
  <si>
    <t>Beginner Chapter 2-4</t>
  </si>
  <si>
    <t>Beginner Chapter 2-5</t>
  </si>
  <si>
    <t>Beginner Chapter 2-6</t>
  </si>
  <si>
    <t>5 Magicrystals</t>
  </si>
  <si>
    <t>Kaijin (P) 4☆</t>
  </si>
  <si>
    <t>Beginner Chapter 3-1</t>
  </si>
  <si>
    <t>600 Gold Coins</t>
  </si>
  <si>
    <t>Beginner Chapter 3-2</t>
  </si>
  <si>
    <t>Beginner Chapter 3-3</t>
  </si>
  <si>
    <t>Beginner Chapter 3-4</t>
  </si>
  <si>
    <t>Salamander (P) 4☆</t>
  </si>
  <si>
    <t>Beginner Chapter 3-6</t>
  </si>
  <si>
    <t>Beginner Chapter 3-7</t>
  </si>
  <si>
    <t>Rimuru 4☆ [Swordsmanship Forge]</t>
  </si>
  <si>
    <t>Beginner Chapter 4-1</t>
  </si>
  <si>
    <t>700 Gold Coins</t>
  </si>
  <si>
    <t>Beginner Chapter 4-2</t>
  </si>
  <si>
    <t>Beginner Chapter 4-3</t>
  </si>
  <si>
    <t>Beginner Chapter 4-4</t>
  </si>
  <si>
    <t>Beginner Chapter 4-5</t>
  </si>
  <si>
    <t>Benimaru 4☆, Shion 4☆, Shuna 4☆, Kurobe 4☆</t>
  </si>
  <si>
    <t>Vesta (P) 4☆</t>
  </si>
  <si>
    <t>Fuze (P) 4☆</t>
  </si>
  <si>
    <t>Sky Dragon (P) 4☆</t>
  </si>
  <si>
    <t>Gard Mjolmire (P) 4☆</t>
  </si>
  <si>
    <t>Beginner Level Up Quest 1</t>
  </si>
  <si>
    <t>30000 Magicules</t>
  </si>
  <si>
    <t>Beginner Level Up Quest 2</t>
  </si>
  <si>
    <t>45000 Magicules</t>
  </si>
  <si>
    <t>Beginner Level Up Quest 3</t>
  </si>
  <si>
    <t>60000 Magicules</t>
  </si>
  <si>
    <t>Beginner Gold Quest 1</t>
  </si>
  <si>
    <t>10000 Gold Coins</t>
  </si>
  <si>
    <t>Beginner Gold Quest 2</t>
  </si>
  <si>
    <t>25000 Gold Coins</t>
  </si>
  <si>
    <t>Fierce Attack Enhancement</t>
  </si>
  <si>
    <t>10 Fierce Attack Enhancement</t>
  </si>
  <si>
    <t>Strong Defense Enhancement</t>
  </si>
  <si>
    <t>10 Strong Defense Enhancement</t>
  </si>
  <si>
    <t>Normal Chapter 1-1</t>
  </si>
  <si>
    <t>Normal Chapter 1-2</t>
  </si>
  <si>
    <t>Normal Chapter 1-3</t>
  </si>
  <si>
    <t>Normal Chapter 1-4</t>
  </si>
  <si>
    <t>Stamina Recovery</t>
  </si>
  <si>
    <t>Gacha Ticket</t>
  </si>
  <si>
    <t>[Character] Shuna, Pink Ogre of Heavenly Light Memory Stone</t>
  </si>
  <si>
    <t>5☆ Guaranteed Recruit Ticket</t>
  </si>
  <si>
    <t>Magicrystals</t>
  </si>
  <si>
    <t>List of Available Buffs in Game Data</t>
  </si>
  <si>
    <t>Combo Multiplier</t>
  </si>
  <si>
    <t>Poison Evasion Rate</t>
  </si>
  <si>
    <t>Stun Evasion Rate</t>
  </si>
  <si>
    <t>Time Damage Resistance</t>
  </si>
  <si>
    <t>Dark Damage Resistance</t>
  </si>
  <si>
    <t>Light Damage Resistance</t>
  </si>
  <si>
    <t>Fire Damage Resistance</t>
  </si>
  <si>
    <t>Water Damage Resistance</t>
  </si>
  <si>
    <t>Wind Damage Resistance</t>
  </si>
  <si>
    <t>Space Damage Resistance</t>
  </si>
  <si>
    <t>Earth Damage Resistance</t>
  </si>
  <si>
    <t>Guard Effect</t>
  </si>
  <si>
    <t>Counterattack Damage Resistance</t>
  </si>
  <si>
    <t>Pierce Damage Resistance</t>
  </si>
  <si>
    <t>Critical Damage Resistance</t>
  </si>
  <si>
    <t>All-Target Attack Damage Resistance</t>
  </si>
  <si>
    <t>Single-Target Attack Damage Resistance</t>
  </si>
  <si>
    <t>Magic Attack Damage Resistance</t>
  </si>
  <si>
    <t>Physical Attack Damage Resistance</t>
  </si>
  <si>
    <t>Time Damage</t>
  </si>
  <si>
    <t>Dark Damage</t>
  </si>
  <si>
    <t>Light Damage</t>
  </si>
  <si>
    <t>Fire Damage</t>
  </si>
  <si>
    <t>Water Damage</t>
  </si>
  <si>
    <t>Wind Damage</t>
  </si>
  <si>
    <t>Space Damage</t>
  </si>
  <si>
    <t>Earth Damage</t>
  </si>
  <si>
    <t>Guard Penetration Damage</t>
  </si>
  <si>
    <t>Counterattack Damage</t>
  </si>
  <si>
    <t>Pierce Damage</t>
  </si>
  <si>
    <t>Critical Damage</t>
  </si>
  <si>
    <t>All Target Attack Damage</t>
  </si>
  <si>
    <t>Single Target Attack Damage</t>
  </si>
  <si>
    <t>Magic Attack Damage/5w</t>
  </si>
  <si>
    <t>Physical Attack Damage</t>
  </si>
  <si>
    <t>Time Resistance</t>
  </si>
  <si>
    <t>Dark Resistance</t>
  </si>
  <si>
    <t>Light Resistance</t>
  </si>
  <si>
    <t>Fire Resistance</t>
  </si>
  <si>
    <t>Water Resistance</t>
  </si>
  <si>
    <t>Wind Resistance</t>
  </si>
  <si>
    <t>Space Resistance</t>
  </si>
  <si>
    <t>Earth Resistance</t>
  </si>
  <si>
    <t>Super Guard Power</t>
  </si>
  <si>
    <t>Counterattack Resistance</t>
  </si>
  <si>
    <t>Pierce Resistance</t>
  </si>
  <si>
    <t>Critical Resistance</t>
  </si>
  <si>
    <t>All-Target Attack Resistance</t>
  </si>
  <si>
    <t>Single-Target Attack Resistance</t>
  </si>
  <si>
    <t>Magic Attack Resistance</t>
  </si>
  <si>
    <t>Physical Attack Resistance</t>
  </si>
  <si>
    <t>Time ATK</t>
  </si>
  <si>
    <t>Dark ATK</t>
  </si>
  <si>
    <t>Light ATK</t>
  </si>
  <si>
    <t>Fire ATK</t>
  </si>
  <si>
    <t>Water ATK</t>
  </si>
  <si>
    <t>Wind ATK</t>
  </si>
  <si>
    <t>Space ATK</t>
  </si>
  <si>
    <t>Earth ATK</t>
  </si>
  <si>
    <t>Super Guard Penetration</t>
  </si>
  <si>
    <t>Guard Penetration</t>
  </si>
  <si>
    <t>All Target ATK</t>
  </si>
  <si>
    <t>Single Target ATK</t>
  </si>
  <si>
    <t>M-ATK</t>
  </si>
  <si>
    <t>Miss Rate</t>
  </si>
  <si>
    <t>Evasion Rate</t>
  </si>
  <si>
    <t>Charm Rate</t>
  </si>
  <si>
    <t>Super Counter Rate</t>
  </si>
  <si>
    <t>Counterattack Rate</t>
  </si>
  <si>
    <t>Super Guard Rate</t>
  </si>
  <si>
    <t>Critical Rate</t>
  </si>
  <si>
    <t>DEF</t>
  </si>
  <si>
    <t>ATK</t>
  </si>
  <si>
    <t>HP</t>
  </si>
  <si>
    <t>outdated and wont be updated since theres no need for this</t>
  </si>
  <si>
    <t>Food</t>
  </si>
  <si>
    <t>Affection (Boosted)</t>
  </si>
  <si>
    <t>Location</t>
  </si>
  <si>
    <t>Characters (All costumes and variations)</t>
  </si>
  <si>
    <t>Nations of Monster Hot Pot</t>
  </si>
  <si>
    <t>Missions, Packs</t>
  </si>
  <si>
    <t>All</t>
  </si>
  <si>
    <t>Super Sized Bull Meat Set</t>
  </si>
  <si>
    <t>36 (54)</t>
  </si>
  <si>
    <t>Missions</t>
  </si>
  <si>
    <t>Ranga</t>
  </si>
  <si>
    <t>Gobta</t>
  </si>
  <si>
    <t>Gazel</t>
  </si>
  <si>
    <t>Gelmud</t>
  </si>
  <si>
    <t>Garm</t>
  </si>
  <si>
    <t>Kaijin</t>
  </si>
  <si>
    <t>Veldora</t>
  </si>
  <si>
    <t>Orc</t>
  </si>
  <si>
    <t>Salamander</t>
  </si>
  <si>
    <t>Sky Dragon</t>
  </si>
  <si>
    <t>Premium Fruit</t>
  </si>
  <si>
    <t>Benimaru</t>
  </si>
  <si>
    <t>Shuna</t>
  </si>
  <si>
    <t>Milim</t>
  </si>
  <si>
    <t>Chloe Aubert</t>
  </si>
  <si>
    <t>Alice Rondo</t>
  </si>
  <si>
    <t>Ramiris</t>
  </si>
  <si>
    <t>Psychic Elf</t>
  </si>
  <si>
    <t>Haruna</t>
  </si>
  <si>
    <t>Potato Salad with Fruit</t>
  </si>
  <si>
    <t>Megaladon Sashimi</t>
  </si>
  <si>
    <t>Rice Ball Box Lunch</t>
  </si>
  <si>
    <t>Rice Ball Set</t>
  </si>
  <si>
    <t>30 (45)</t>
  </si>
  <si>
    <t>Deerbull Shishkabob Assortment</t>
  </si>
  <si>
    <t>High- Quality Fruit</t>
  </si>
  <si>
    <t>Healthy Mini Salad</t>
  </si>
  <si>
    <t>Five Sashimi Plate</t>
  </si>
  <si>
    <t>Rice Ball</t>
  </si>
  <si>
    <t>20 (30)</t>
  </si>
  <si>
    <t>Deerbull Shishkabob</t>
  </si>
  <si>
    <t>Fresh Fruit</t>
  </si>
  <si>
    <t>Salad Sticks</t>
  </si>
  <si>
    <t>Sashimi</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</si>
</sst>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 d, yyyy"/>
    <numFmt numFmtId="165" formatCode="0.000"/>
    <numFmt numFmtId="166" formatCode="0.0"/>
  </numFmts>
  <fonts count="61">
    <font>
      <sz val="10.0"/>
      <color rgb="FF000000"/>
      <name val="Arial"/>
    </font>
    <font>
      <b/>
      <sz val="12.0"/>
      <color rgb="FFFFFFFF"/>
      <name val="Montserrat"/>
    </font>
    <font>
      <b/>
      <sz val="18.0"/>
      <color rgb="FFFFFFFF"/>
      <name val="Montserrat"/>
    </font>
    <font>
      <b/>
      <sz val="14.0"/>
      <color rgb="FFFFFFFF"/>
      <name val="Montserrat"/>
    </font>
    <font>
      <sz val="12.0"/>
      <color rgb="FFFFFFFF"/>
      <name val="Montserrat"/>
    </font>
    <font>
      <sz val="12.0"/>
      <color theme="0"/>
      <name val="Montserrat"/>
    </font>
    <font>
      <b/>
      <u/>
      <sz val="12.0"/>
      <color rgb="FFFFFFFF"/>
      <name val="Montserrat"/>
    </font>
    <font>
      <sz val="12.0"/>
      <color rgb="FF6AA84F"/>
      <name val="Montserrat"/>
    </font>
    <font>
      <sz val="12.0"/>
      <color rgb="FFD9EAD3"/>
      <name val="Montserrat"/>
    </font>
    <font>
      <sz val="12.0"/>
      <color rgb="FFB6D7A8"/>
      <name val="Montserrat"/>
    </font>
    <font>
      <sz val="12.0"/>
      <color rgb="FF93C47D"/>
      <name val="Montserrat"/>
    </font>
    <font>
      <sz val="12.0"/>
      <color rgb="FF16113A"/>
      <name val="Montserrat"/>
    </font>
    <font>
      <b/>
      <u/>
      <sz val="12.0"/>
      <color rgb="FFFFFFFF"/>
      <name val="Montserrat"/>
    </font>
    <font>
      <sz val="10.0"/>
      <color rgb="FFFFFFFF"/>
      <name val="Montserrat"/>
    </font>
    <font>
      <sz val="11.0"/>
      <color rgb="FFFFFFFF"/>
      <name val="Montserrat"/>
    </font>
    <font>
      <b/>
      <sz val="12.0"/>
      <color theme="0"/>
      <name val="Montserrat"/>
    </font>
    <font>
      <b/>
      <sz val="9.0"/>
      <color rgb="FFFFFFFF"/>
      <name val="Montserrat"/>
    </font>
    <font>
      <b/>
      <sz val="12.0"/>
      <color rgb="FF00FF00"/>
      <name val="Montserrat"/>
    </font>
    <font>
      <b/>
      <sz val="12.0"/>
      <color rgb="FFE06666"/>
      <name val="Montserrat"/>
    </font>
    <font>
      <b/>
      <sz val="12.0"/>
      <color rgb="FF00FFFF"/>
      <name val="Montserrat"/>
    </font>
    <font>
      <sz val="14.0"/>
      <color rgb="FFFFFFFF"/>
      <name val="Montserrat"/>
    </font>
    <font>
      <sz val="12.0"/>
      <color rgb="FF00FF00"/>
      <name val="Montserrat"/>
    </font>
    <font>
      <sz val="12.0"/>
      <color rgb="FFE06666"/>
      <name val="Montserrat"/>
    </font>
    <font>
      <sz val="12.0"/>
      <color rgb="FF00FFFF"/>
      <name val="Montserrat"/>
    </font>
    <font>
      <u/>
      <sz val="11.0"/>
      <color rgb="FF1155CC"/>
      <name val="Montserrat"/>
    </font>
    <font>
      <sz val="12.0"/>
      <color theme="1"/>
      <name val="Montserrat"/>
    </font>
    <font>
      <sz val="11.0"/>
      <color theme="0"/>
      <name val="Montserrat"/>
    </font>
    <font>
      <sz val="11.0"/>
      <color theme="1"/>
      <name val="Montserrat"/>
    </font>
    <font>
      <sz val="10.0"/>
      <color theme="0"/>
      <name val="Montserrat"/>
    </font>
    <font>
      <sz val="12.0"/>
      <color rgb="FF3D85C6"/>
      <name val="Montserrat"/>
    </font>
    <font>
      <sz val="12.0"/>
      <color rgb="FFF1C232"/>
      <name val="Montserrat"/>
    </font>
    <font>
      <sz val="12.0"/>
      <color rgb="FF8E7CC3"/>
      <name val="Montserrat"/>
    </font>
    <font>
      <sz val="12.0"/>
      <color rgb="FFFFFF00"/>
      <name val="Montserrat"/>
    </font>
    <font>
      <sz val="12.0"/>
      <color rgb="FFDD7E6B"/>
      <name val="Montserrat"/>
    </font>
    <font>
      <sz val="9.0"/>
      <color rgb="FFFFFFFF"/>
      <name val="Montserrat"/>
    </font>
    <font>
      <b/>
      <sz val="12.0"/>
      <color rgb="FFCC0000"/>
      <name val="Montserrat"/>
    </font>
    <font/>
    <font>
      <color theme="1"/>
      <name val="Arial"/>
    </font>
    <font>
      <sz val="18.0"/>
      <color rgb="FFFF9900"/>
      <name val="Montserrat"/>
    </font>
    <font>
      <sz val="18.0"/>
      <color rgb="FF00FF00"/>
      <name val="Montserrat"/>
    </font>
    <font>
      <sz val="18.0"/>
      <color rgb="FF6FA8DC"/>
      <name val="Montserrat"/>
    </font>
    <font>
      <b/>
      <sz val="24.0"/>
      <color rgb="FFFFFFFF"/>
      <name val="Montserrat"/>
    </font>
    <font>
      <b/>
      <color rgb="FFFFFFFF"/>
      <name val="Montserrat"/>
    </font>
    <font>
      <color rgb="FFFFFFFF"/>
      <name val="Montserrat"/>
    </font>
    <font>
      <sz val="12.0"/>
      <color rgb="FFFFFFFF"/>
      <name val="Arial"/>
    </font>
    <font>
      <b/>
      <sz val="11.0"/>
      <color rgb="FFFFFFFF"/>
      <name val="Montserrat"/>
    </font>
    <font>
      <sz val="8.0"/>
      <color rgb="FFFFFFFF"/>
      <name val="Montserrat"/>
    </font>
    <font>
      <b/>
      <sz val="12.0"/>
      <color theme="0"/>
      <name val="Arial"/>
    </font>
    <font>
      <color theme="0"/>
      <name val="Arial"/>
    </font>
    <font>
      <b/>
      <color theme="0"/>
      <name val="Montserrat"/>
    </font>
    <font>
      <color theme="0"/>
      <name val="Montserrat"/>
    </font>
    <font>
      <b/>
      <color theme="0"/>
      <name val="Arial"/>
    </font>
    <font>
      <u/>
      <color theme="0"/>
    </font>
    <font>
      <u/>
      <color theme="0"/>
      <name val="Arial"/>
    </font>
    <font>
      <u/>
      <color theme="0"/>
    </font>
    <font>
      <u/>
      <color theme="0"/>
    </font>
    <font>
      <b/>
      <sz val="12.0"/>
      <color rgb="FFEA4335"/>
      <name val="Montserrat"/>
    </font>
    <font>
      <b/>
      <sz val="10.0"/>
      <color rgb="FFFFFFFF"/>
      <name val="Montserrat"/>
    </font>
    <font>
      <color rgb="FFFFFFFF"/>
      <name val="Arial"/>
    </font>
    <font>
      <sz val="12.0"/>
      <color theme="0"/>
      <name val="Arial"/>
    </font>
    <font>
      <color rgb="FF16113A"/>
      <name val="Arial"/>
    </font>
  </fonts>
  <fills count="9">
    <fill>
      <patternFill patternType="none"/>
    </fill>
    <fill>
      <patternFill patternType="lightGray"/>
    </fill>
    <fill>
      <patternFill patternType="solid">
        <fgColor rgb="FF272953"/>
        <bgColor rgb="FF272953"/>
      </patternFill>
    </fill>
    <fill>
      <patternFill patternType="solid">
        <fgColor rgb="FF16113A"/>
        <bgColor rgb="FF16113A"/>
      </patternFill>
    </fill>
    <fill>
      <patternFill patternType="solid">
        <fgColor theme="5"/>
        <bgColor theme="5"/>
      </patternFill>
    </fill>
    <fill>
      <patternFill patternType="solid">
        <fgColor rgb="FF666666"/>
        <bgColor rgb="FF666666"/>
      </patternFill>
    </fill>
    <fill>
      <patternFill patternType="solid">
        <fgColor rgb="FF4A86E8"/>
        <bgColor rgb="FF4A86E8"/>
      </patternFill>
    </fill>
    <fill>
      <patternFill patternType="solid">
        <fgColor theme="1"/>
        <bgColor theme="1"/>
      </patternFill>
    </fill>
    <fill>
      <patternFill patternType="solid">
        <fgColor theme="0"/>
        <bgColor theme="0"/>
      </patternFill>
    </fill>
  </fills>
  <borders count="29">
    <border/>
    <border>
      <left style="medium">
        <color rgb="FFFFFFFF"/>
      </left>
      <top style="medium">
        <color rgb="FFFFFFFF"/>
      </top>
      <bottom style="medium">
        <color rgb="FFFFFFFF"/>
      </bottom>
    </border>
    <border>
      <top style="medium">
        <color rgb="FFFFFFFF"/>
      </top>
      <bottom style="medium">
        <color rgb="FFFFFFFF"/>
      </bottom>
    </border>
    <border>
      <right style="medium">
        <color rgb="FFFFFFFF"/>
      </right>
      <top style="medium">
        <color rgb="FFFFFFFF"/>
      </top>
      <bottom style="medium">
        <color rgb="FFFFFFFF"/>
      </bottom>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rder>
    <border>
      <right style="medium">
        <color rgb="FFFFFFFF"/>
      </right>
    </border>
    <border>
      <left style="medium">
        <color rgb="FFFFFFFF"/>
      </left>
      <bottom style="medium">
        <color rgb="FFFFFFFF"/>
      </bottom>
    </border>
    <border>
      <bottom style="medium">
        <color rgb="FFFFFFFF"/>
      </bottom>
    </border>
    <border>
      <right style="medium">
        <color rgb="FFFFFFFF"/>
      </right>
      <bottom style="medium">
        <color rgb="FFFFFFFF"/>
      </bottom>
    </border>
    <border>
      <right/>
    </border>
    <border>
      <left style="medium">
        <color rgb="FFFFFFFF"/>
      </left>
      <right style="medium">
        <color rgb="FFFFFFFF"/>
      </right>
      <top style="medium">
        <color rgb="FFFFFFFF"/>
      </top>
      <bottom style="medium">
        <color rgb="FFFFFFFF"/>
      </bottom>
    </border>
    <border>
      <left style="medium">
        <color rgb="FFFFFFFF"/>
      </left>
      <right style="medium">
        <color rgb="FFFFFFFF"/>
      </right>
    </border>
    <border>
      <left style="medium">
        <color rgb="FFFFFFFF"/>
      </left>
      <right style="medium">
        <color rgb="FFFFFFFF"/>
      </right>
      <bottom style="medium">
        <color rgb="FFFFFFFF"/>
      </bottom>
    </border>
    <border>
      <left style="medium">
        <color rgb="FFFFFFFF"/>
      </left>
      <right style="medium">
        <color rgb="FFFFFFFF"/>
      </right>
      <top style="medium">
        <color rgb="FFFFFFFF"/>
      </top>
    </border>
    <border>
      <left style="thin">
        <color rgb="FFFFFFFF"/>
      </left>
      <right style="thin">
        <color rgb="FFFFFFFF"/>
      </right>
      <top style="thin">
        <color rgb="FFFFFFFF"/>
      </top>
    </border>
    <border>
      <top style="thin">
        <color rgb="FFFFFFFF"/>
      </top>
    </border>
    <border>
      <right style="thin">
        <color rgb="FFFFFFFF"/>
      </right>
      <top style="thin">
        <color rgb="FFFFFFFF"/>
      </top>
    </border>
    <border>
      <left style="thin">
        <color rgb="FFFFFFFF"/>
      </left>
      <right style="thin">
        <color rgb="FFFFFFFF"/>
      </right>
    </border>
    <border>
      <right style="thin">
        <color rgb="FFFFFFFF"/>
      </right>
    </border>
    <border>
      <left style="thin">
        <color rgb="FFFFFFFF"/>
      </left>
      <right style="thin">
        <color rgb="FFFFFFFF"/>
      </right>
      <bottom style="thin">
        <color rgb="FFFFFFFF"/>
      </bottom>
    </border>
    <border>
      <bottom style="thin">
        <color rgb="FFFFFFFF"/>
      </bottom>
    </border>
    <border>
      <left style="thin">
        <color rgb="FFFFFFFF"/>
      </left>
    </border>
    <border>
      <left style="thin">
        <color rgb="FFFFFFFF"/>
      </left>
      <top style="thin">
        <color rgb="FFFFFFFF"/>
      </top>
    </border>
    <border>
      <left style="thin">
        <color rgb="FFFFFFFF"/>
      </left>
      <bottom style="thin">
        <color rgb="FFFFFFFF"/>
      </bottom>
    </border>
    <border>
      <right style="thin">
        <color rgb="FFFFFFFF"/>
      </right>
      <bottom style="thin">
        <color rgb="FFFFFFFF"/>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48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3" fontId="2" numFmtId="0" xfId="0" applyAlignment="1" applyFill="1" applyFont="1">
      <alignment horizontal="center" readingOrder="0" shrinkToFit="0" wrapText="1"/>
    </xf>
    <xf borderId="0" fillId="3" fontId="1" numFmtId="0" xfId="0" applyAlignment="1" applyFont="1">
      <alignment readingOrder="0" shrinkToFit="0" wrapText="1"/>
    </xf>
    <xf borderId="0" fillId="2" fontId="3" numFmtId="0" xfId="0" applyAlignment="1" applyFont="1">
      <alignment horizontal="center" readingOrder="0" shrinkToFit="0" wrapText="1"/>
    </xf>
    <xf borderId="0" fillId="3" fontId="4" numFmtId="0" xfId="0" applyFont="1"/>
    <xf borderId="0" fillId="2" fontId="4" numFmtId="0" xfId="0" applyAlignment="1" applyFont="1">
      <alignment horizontal="center"/>
    </xf>
    <xf borderId="0" fillId="3" fontId="5" numFmtId="0" xfId="0" applyFont="1"/>
    <xf borderId="0" fillId="2" fontId="4" numFmtId="0" xfId="0" applyAlignment="1" applyFont="1">
      <alignment horizontal="center" readingOrder="0"/>
    </xf>
    <xf borderId="0" fillId="2" fontId="6" numFmtId="0" xfId="0" applyAlignment="1" applyFont="1">
      <alignment horizontal="center" readingOrder="0"/>
    </xf>
    <xf borderId="0" fillId="2" fontId="7" numFmtId="0" xfId="0" applyAlignment="1" applyFont="1">
      <alignment horizontal="center" readingOrder="0" shrinkToFit="0" wrapText="1"/>
    </xf>
    <xf borderId="0" fillId="3" fontId="8" numFmtId="0" xfId="0" applyFont="1"/>
    <xf borderId="0" fillId="3" fontId="4" numFmtId="0" xfId="0" applyAlignment="1" applyFont="1">
      <alignment readingOrder="0"/>
    </xf>
    <xf borderId="0" fillId="2" fontId="9" numFmtId="0" xfId="0" applyAlignment="1" applyFont="1">
      <alignment readingOrder="0"/>
    </xf>
    <xf borderId="0" fillId="3" fontId="4" numFmtId="0" xfId="0" applyAlignment="1" applyFont="1">
      <alignment readingOrder="0"/>
    </xf>
    <xf borderId="0" fillId="3" fontId="4" numFmtId="0" xfId="0" applyAlignment="1" applyFont="1">
      <alignment readingOrder="0"/>
    </xf>
    <xf borderId="0" fillId="2" fontId="1" numFmtId="0" xfId="0" applyAlignment="1" applyFont="1">
      <alignment readingOrder="0"/>
    </xf>
    <xf borderId="0" fillId="2" fontId="10" numFmtId="0" xfId="0" applyAlignment="1" applyFont="1">
      <alignment readingOrder="0"/>
    </xf>
    <xf borderId="0" fillId="3" fontId="4" numFmtId="0" xfId="0" applyFont="1"/>
    <xf borderId="0" fillId="3" fontId="4" numFmtId="0" xfId="0" applyAlignment="1" applyFont="1">
      <alignment readingOrder="0" shrinkToFit="0" wrapText="1"/>
    </xf>
    <xf borderId="0" fillId="3" fontId="8" numFmtId="0" xfId="0" applyFont="1"/>
    <xf borderId="0" fillId="3" fontId="11" numFmtId="0" xfId="0" applyFont="1"/>
    <xf borderId="0" fillId="3" fontId="4" numFmtId="0" xfId="0" applyAlignment="1" applyFont="1">
      <alignment horizontal="center"/>
    </xf>
    <xf borderId="0" fillId="2" fontId="4" numFmtId="0" xfId="0" applyAlignment="1" applyFont="1">
      <alignment horizontal="left" readingOrder="0" shrinkToFit="0" wrapText="1"/>
    </xf>
    <xf borderId="0" fillId="2" fontId="12" numFmtId="0" xfId="0" applyAlignment="1" applyFont="1">
      <alignment readingOrder="0"/>
    </xf>
    <xf borderId="0" fillId="2" fontId="1" numFmtId="0" xfId="0" applyAlignment="1" applyFont="1">
      <alignment readingOrder="0" shrinkToFit="0" wrapText="1"/>
    </xf>
    <xf borderId="0" fillId="2" fontId="1" numFmtId="0" xfId="0" applyAlignment="1" applyFont="1">
      <alignment readingOrder="0" shrinkToFit="0" wrapText="1"/>
    </xf>
    <xf borderId="0" fillId="2" fontId="4" numFmtId="0" xfId="0" applyAlignment="1" applyFont="1">
      <alignment readingOrder="0"/>
    </xf>
    <xf borderId="0" fillId="2" fontId="4" numFmtId="0" xfId="0" applyAlignment="1" applyFont="1">
      <alignment readingOrder="0" shrinkToFit="0" wrapText="1"/>
    </xf>
    <xf borderId="0" fillId="2" fontId="4" numFmtId="0" xfId="0" applyAlignment="1" applyFont="1">
      <alignment readingOrder="0" shrinkToFit="0" wrapText="1"/>
    </xf>
    <xf borderId="0" fillId="3" fontId="8" numFmtId="0" xfId="0" applyAlignment="1" applyFont="1">
      <alignment readingOrder="0" shrinkToFit="0" wrapText="1"/>
    </xf>
    <xf borderId="0" fillId="2" fontId="8" numFmtId="0" xfId="0" applyAlignment="1" applyFont="1">
      <alignment readingOrder="0" shrinkToFit="0" wrapText="1"/>
    </xf>
    <xf borderId="0" fillId="2" fontId="4" numFmtId="0" xfId="0" applyFont="1"/>
    <xf borderId="0" fillId="2" fontId="4" numFmtId="0" xfId="0" applyAlignment="1" applyFont="1">
      <alignment readingOrder="0" shrinkToFit="0" wrapText="1"/>
    </xf>
    <xf borderId="0" fillId="3" fontId="1" numFmtId="0" xfId="0" applyAlignment="1" applyFont="1">
      <alignment readingOrder="0" shrinkToFit="0" vertical="center" wrapText="1"/>
    </xf>
    <xf borderId="0" fillId="3" fontId="1" numFmtId="0" xfId="0" applyAlignment="1" applyFont="1">
      <alignment horizontal="left" readingOrder="0" shrinkToFit="0" vertical="center" wrapText="1"/>
    </xf>
    <xf borderId="0" fillId="3" fontId="4" numFmtId="0" xfId="0" applyAlignment="1" applyFont="1">
      <alignment readingOrder="0" shrinkToFit="0" vertical="center" wrapText="1"/>
    </xf>
    <xf borderId="0" fillId="3" fontId="5" numFmtId="0" xfId="0" applyAlignment="1" applyFont="1">
      <alignment horizontal="center" shrinkToFit="0" vertical="center" wrapText="1"/>
    </xf>
    <xf borderId="0" fillId="3" fontId="4" numFmtId="164" xfId="0" applyAlignment="1" applyFont="1" applyNumberFormat="1">
      <alignment horizontal="left" readingOrder="0" shrinkToFit="0" vertical="center" wrapText="1"/>
    </xf>
    <xf borderId="0" fillId="3" fontId="4" numFmtId="0" xfId="0" applyAlignment="1" applyFont="1">
      <alignment horizontal="left" readingOrder="0" shrinkToFit="0" vertical="center" wrapText="1"/>
    </xf>
    <xf borderId="0" fillId="3" fontId="5" numFmtId="0" xfId="0" applyAlignment="1" applyFont="1">
      <alignment shrinkToFit="0" vertical="center" wrapText="1"/>
    </xf>
    <xf borderId="0" fillId="3" fontId="4" numFmtId="0" xfId="0" applyAlignment="1" applyFont="1">
      <alignment horizontal="center" readingOrder="0" shrinkToFit="0" vertical="center" wrapText="1"/>
    </xf>
    <xf borderId="0" fillId="3" fontId="13" numFmtId="0" xfId="0" applyAlignment="1" applyFont="1">
      <alignment readingOrder="0" shrinkToFit="0" vertical="center" wrapText="1"/>
    </xf>
    <xf borderId="0" fillId="3" fontId="14" numFmtId="0" xfId="0" applyAlignment="1" applyFont="1">
      <alignment readingOrder="0" shrinkToFit="0" vertical="center" wrapText="1"/>
    </xf>
    <xf borderId="0" fillId="3" fontId="4" numFmtId="164" xfId="0" applyAlignment="1" applyFont="1" applyNumberFormat="1">
      <alignment horizontal="center" readingOrder="0" shrinkToFit="0" vertical="center" wrapText="1"/>
    </xf>
    <xf borderId="0" fillId="3" fontId="15" numFmtId="0" xfId="0" applyAlignment="1" applyFont="1">
      <alignment readingOrder="0" shrinkToFit="0" vertical="center" wrapText="1"/>
    </xf>
    <xf borderId="0" fillId="3" fontId="15" numFmtId="0" xfId="0" applyAlignment="1" applyFont="1">
      <alignment horizontal="center" readingOrder="0" shrinkToFit="0" vertical="center" wrapText="1"/>
    </xf>
    <xf borderId="0" fillId="3" fontId="1" numFmtId="0" xfId="0" applyAlignment="1" applyFont="1">
      <alignment horizontal="center" readingOrder="0" shrinkToFit="0" vertical="center" wrapText="1"/>
    </xf>
    <xf borderId="0" fillId="3" fontId="16" numFmtId="0" xfId="0" applyAlignment="1" applyFont="1">
      <alignment horizontal="center" readingOrder="0" shrinkToFit="0" vertical="center" wrapText="1"/>
    </xf>
    <xf borderId="0" fillId="3" fontId="17"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3" fontId="19" numFmtId="0" xfId="0" applyAlignment="1" applyFont="1">
      <alignment horizontal="center" readingOrder="0" shrinkToFit="0" vertical="center" wrapText="1"/>
    </xf>
    <xf borderId="0" fillId="3" fontId="1" numFmtId="165" xfId="0" applyAlignment="1" applyFont="1" applyNumberFormat="1">
      <alignment horizontal="center" readingOrder="0" shrinkToFit="0" vertical="center" wrapText="1"/>
    </xf>
    <xf borderId="0" fillId="4" fontId="15" numFmtId="0" xfId="0" applyAlignment="1" applyFill="1" applyFont="1">
      <alignment horizontal="center" readingOrder="0" shrinkToFit="0" vertical="center" wrapText="1"/>
    </xf>
    <xf borderId="0" fillId="4" fontId="1" numFmtId="166" xfId="0" applyAlignment="1" applyFont="1" applyNumberFormat="1">
      <alignment horizontal="center" readingOrder="0" shrinkToFit="0" vertical="center" wrapText="1"/>
    </xf>
    <xf borderId="0" fillId="4" fontId="1" numFmtId="0" xfId="0" applyAlignment="1" applyFont="1">
      <alignment horizontal="center" readingOrder="0" shrinkToFit="0" vertical="center" wrapText="1"/>
    </xf>
    <xf borderId="0" fillId="4" fontId="1" numFmtId="2" xfId="0" applyAlignment="1" applyFont="1" applyNumberFormat="1">
      <alignment horizontal="center" readingOrder="0" shrinkToFit="0" vertical="center" wrapText="1"/>
    </xf>
    <xf borderId="0" fillId="3" fontId="1" numFmtId="0" xfId="0" applyAlignment="1" applyFont="1">
      <alignment readingOrder="0" shrinkToFit="0" vertical="center" wrapText="1"/>
    </xf>
    <xf borderId="0" fillId="3" fontId="1" numFmtId="9" xfId="0" applyAlignment="1" applyFont="1" applyNumberFormat="1">
      <alignment readingOrder="0" shrinkToFit="0" vertical="center" wrapText="1"/>
    </xf>
    <xf borderId="0" fillId="4" fontId="1" numFmtId="0" xfId="0" applyAlignment="1" applyFont="1">
      <alignment readingOrder="0" shrinkToFit="0" vertical="center" wrapText="1"/>
    </xf>
    <xf borderId="0" fillId="3" fontId="1" numFmtId="0" xfId="0" applyAlignment="1" applyFont="1">
      <alignment shrinkToFit="0" vertical="center" wrapText="1"/>
    </xf>
    <xf borderId="0" fillId="3" fontId="5" numFmtId="0" xfId="0" applyAlignment="1" applyFont="1">
      <alignment readingOrder="0" shrinkToFit="0" vertical="center" wrapText="1"/>
    </xf>
    <xf borderId="0" fillId="3" fontId="5" numFmtId="0" xfId="0" applyAlignment="1" applyFont="1">
      <alignment horizontal="center" shrinkToFit="0" vertical="center" wrapText="1"/>
    </xf>
    <xf borderId="0" fillId="2" fontId="20" numFmtId="0" xfId="0" applyAlignment="1" applyFont="1">
      <alignment horizontal="center" readingOrder="0" shrinkToFit="0" vertical="center" wrapText="1"/>
    </xf>
    <xf borderId="0" fillId="3" fontId="4" numFmtId="0" xfId="0" applyAlignment="1" applyFont="1">
      <alignment horizontal="center" readingOrder="0" vertical="center"/>
    </xf>
    <xf borderId="0" fillId="3" fontId="21"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3" fontId="23" numFmtId="0" xfId="0" applyAlignment="1" applyFont="1">
      <alignment horizontal="center" readingOrder="0" shrinkToFit="0" vertical="center" wrapText="1"/>
    </xf>
    <xf borderId="0" fillId="3" fontId="5" numFmtId="165" xfId="0" applyAlignment="1" applyFont="1" applyNumberFormat="1">
      <alignment horizontal="center" readingOrder="0" shrinkToFit="0" vertical="center" wrapText="1"/>
    </xf>
    <xf borderId="0" fillId="3" fontId="5" numFmtId="166" xfId="0" applyAlignment="1" applyFont="1" applyNumberFormat="1">
      <alignment horizontal="center" readingOrder="0" shrinkToFit="0" vertical="center" wrapText="1"/>
    </xf>
    <xf borderId="0" fillId="3" fontId="4" numFmtId="166" xfId="0" applyAlignment="1" applyFont="1" applyNumberFormat="1">
      <alignment horizontal="center" readingOrder="0" shrinkToFit="0" vertical="center" wrapText="1"/>
    </xf>
    <xf borderId="0" fillId="3" fontId="4" numFmtId="2" xfId="0" applyAlignment="1" applyFont="1" applyNumberFormat="1">
      <alignment horizontal="center" readingOrder="0" shrinkToFit="0" vertical="center" wrapText="1"/>
    </xf>
    <xf borderId="0" fillId="3" fontId="4" numFmtId="0" xfId="0" applyAlignment="1" applyFont="1">
      <alignment horizontal="center" readingOrder="0" shrinkToFit="0" vertical="center" wrapText="1"/>
    </xf>
    <xf borderId="0" fillId="3" fontId="13" numFmtId="0" xfId="0" applyAlignment="1" applyFont="1">
      <alignment readingOrder="0" shrinkToFit="0" vertical="center" wrapText="1"/>
    </xf>
    <xf borderId="0" fillId="2" fontId="13" numFmtId="0" xfId="0" applyAlignment="1" applyFont="1">
      <alignment readingOrder="0" shrinkToFit="0" vertical="center" wrapText="1"/>
    </xf>
    <xf borderId="0" fillId="2" fontId="4" numFmtId="9" xfId="0" applyAlignment="1" applyFont="1" applyNumberFormat="1">
      <alignment horizontal="center" readingOrder="0" shrinkToFit="0" vertical="center" wrapText="1"/>
    </xf>
    <xf borderId="0" fillId="2" fontId="4" numFmtId="0" xfId="0" applyAlignment="1" applyFont="1">
      <alignment horizontal="center" readingOrder="0" shrinkToFit="0" vertical="center" wrapText="1"/>
    </xf>
    <xf borderId="0" fillId="3" fontId="14" numFmtId="0" xfId="0" applyAlignment="1" applyFont="1">
      <alignment readingOrder="0" shrinkToFit="0" vertical="center" wrapText="1"/>
    </xf>
    <xf borderId="0" fillId="3" fontId="24" numFmtId="2" xfId="0" applyAlignment="1" applyFont="1" applyNumberFormat="1">
      <alignment horizontal="center" readingOrder="0" shrinkToFit="0" vertical="center" wrapText="1"/>
    </xf>
    <xf borderId="0" fillId="3" fontId="5" numFmtId="0" xfId="0" applyAlignment="1" applyFont="1">
      <alignment shrinkToFit="0" vertical="center" wrapText="1"/>
    </xf>
    <xf borderId="0" fillId="3" fontId="25" numFmtId="0" xfId="0" applyAlignment="1" applyFont="1">
      <alignment vertical="center"/>
    </xf>
    <xf borderId="0" fillId="2" fontId="15" numFmtId="0" xfId="0" applyAlignment="1" applyFont="1">
      <alignment horizontal="center" readingOrder="0" shrinkToFit="0" vertical="center" wrapText="1"/>
    </xf>
    <xf borderId="0" fillId="3" fontId="5" numFmtId="0" xfId="0" applyAlignment="1" applyFont="1">
      <alignment horizontal="center" readingOrder="0" shrinkToFit="0" vertical="center" wrapText="1"/>
    </xf>
    <xf borderId="0" fillId="2" fontId="5" numFmtId="0" xfId="0" applyAlignment="1" applyFont="1">
      <alignment readingOrder="0" shrinkToFit="0" vertical="center" wrapText="1"/>
    </xf>
    <xf borderId="0" fillId="2" fontId="21" numFmtId="0" xfId="0" applyAlignment="1" applyFont="1">
      <alignment horizontal="center" readingOrder="0" shrinkToFit="0" vertical="center" wrapText="1"/>
    </xf>
    <xf borderId="0" fillId="2" fontId="22"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2" fontId="14" numFmtId="0" xfId="0" applyAlignment="1" applyFont="1">
      <alignment readingOrder="0" shrinkToFit="0" vertical="center" wrapText="1"/>
    </xf>
    <xf borderId="0" fillId="2" fontId="5" numFmtId="0" xfId="0" applyAlignment="1" applyFont="1">
      <alignment shrinkToFit="0" vertical="center" wrapText="1"/>
    </xf>
    <xf borderId="0" fillId="2" fontId="25" numFmtId="0" xfId="0" applyAlignment="1" applyFont="1">
      <alignment vertical="center"/>
    </xf>
    <xf borderId="0" fillId="2" fontId="5" numFmtId="0" xfId="0" applyAlignment="1" applyFont="1">
      <alignment horizontal="center" shrinkToFit="0" vertical="center" wrapText="1"/>
    </xf>
    <xf borderId="0" fillId="2" fontId="5" numFmtId="0" xfId="0" applyAlignment="1" applyFont="1">
      <alignment horizontal="center" readingOrder="0" shrinkToFit="0" vertical="center" wrapText="1"/>
    </xf>
    <xf borderId="0" fillId="3" fontId="25" numFmtId="0" xfId="0" applyAlignment="1" applyFont="1">
      <alignment horizontal="center" vertical="center"/>
    </xf>
    <xf borderId="0" fillId="3" fontId="26" numFmtId="0" xfId="0" applyAlignment="1" applyFont="1">
      <alignment shrinkToFit="0" vertical="center" wrapText="1"/>
    </xf>
    <xf borderId="0" fillId="3" fontId="27" numFmtId="0" xfId="0" applyAlignment="1" applyFont="1">
      <alignment vertical="center"/>
    </xf>
    <xf borderId="0" fillId="0" fontId="5" numFmtId="0" xfId="0" applyAlignment="1" applyFont="1">
      <alignment readingOrder="0" shrinkToFit="0" vertical="center" wrapText="1"/>
    </xf>
    <xf borderId="0" fillId="3" fontId="28" numFmtId="0" xfId="0" applyAlignment="1" applyFont="1">
      <alignment readingOrder="0" shrinkToFit="0" vertical="center" wrapText="1"/>
    </xf>
    <xf borderId="0" fillId="0" fontId="4" numFmtId="0" xfId="0" applyAlignment="1" applyFont="1">
      <alignment horizontal="center" readingOrder="0" shrinkToFit="0" vertical="center" wrapText="1"/>
    </xf>
    <xf borderId="0" fillId="3" fontId="21" numFmtId="0" xfId="0" applyAlignment="1" applyFont="1">
      <alignment horizontal="center" readingOrder="0" vertical="center"/>
    </xf>
    <xf borderId="0" fillId="3" fontId="22" numFmtId="0" xfId="0" applyAlignment="1" applyFont="1">
      <alignment horizontal="center" readingOrder="0" vertical="center"/>
    </xf>
    <xf borderId="0" fillId="3" fontId="23" numFmtId="0" xfId="0" applyAlignment="1" applyFont="1">
      <alignment horizontal="center" readingOrder="0" vertical="center"/>
    </xf>
    <xf borderId="0" fillId="3" fontId="26" numFmtId="0" xfId="0" applyAlignment="1" applyFont="1">
      <alignment readingOrder="0" shrinkToFit="0" vertical="center" wrapText="1"/>
    </xf>
    <xf borderId="0" fillId="3" fontId="14" numFmtId="0" xfId="0" applyAlignment="1" applyFont="1">
      <alignment readingOrder="0" vertical="center"/>
    </xf>
    <xf borderId="0" fillId="3" fontId="15" numFmtId="0" xfId="0" applyAlignment="1" applyFont="1">
      <alignment horizontal="left" readingOrder="0" shrinkToFit="0" vertical="center" wrapText="1"/>
    </xf>
    <xf borderId="0" fillId="4" fontId="15" numFmtId="165" xfId="0" applyAlignment="1" applyFont="1" applyNumberFormat="1">
      <alignment horizontal="center" readingOrder="0" shrinkToFit="0" vertical="center" wrapText="1"/>
    </xf>
    <xf borderId="0" fillId="3" fontId="1" numFmtId="0" xfId="0" applyAlignment="1" applyFont="1">
      <alignment horizontal="left" readingOrder="0" shrinkToFit="0" vertical="center" wrapText="1"/>
    </xf>
    <xf borderId="0" fillId="3" fontId="5" numFmtId="0" xfId="0" applyAlignment="1" applyFont="1">
      <alignment horizontal="left" readingOrder="0" shrinkToFit="0" vertical="center" wrapText="1"/>
    </xf>
    <xf borderId="0" fillId="3" fontId="20" numFmtId="0" xfId="0" applyAlignment="1" applyFont="1">
      <alignment horizontal="center" readingOrder="0" shrinkToFit="0" vertical="center" wrapText="1"/>
    </xf>
    <xf borderId="0" fillId="3" fontId="4" numFmtId="165" xfId="0" applyAlignment="1" applyFont="1" applyNumberFormat="1">
      <alignment horizontal="center" readingOrder="0" shrinkToFit="0" vertical="center" wrapText="1"/>
    </xf>
    <xf borderId="0" fillId="3" fontId="29" numFmtId="0" xfId="0" applyAlignment="1" applyFont="1">
      <alignment horizontal="left" readingOrder="0" shrinkToFit="0" vertical="center" wrapText="1"/>
    </xf>
    <xf borderId="0" fillId="3" fontId="23" numFmtId="0" xfId="0" applyAlignment="1" applyFont="1">
      <alignment horizontal="left" readingOrder="0" shrinkToFit="0" vertical="center" wrapText="1"/>
    </xf>
    <xf borderId="0" fillId="3" fontId="13" numFmtId="0" xfId="0" applyAlignment="1" applyFont="1">
      <alignment horizontal="left" readingOrder="0" shrinkToFit="0" vertical="center" wrapText="1"/>
    </xf>
    <xf borderId="0" fillId="3" fontId="30" numFmtId="0" xfId="0" applyAlignment="1" applyFont="1">
      <alignment horizontal="left" readingOrder="0" shrinkToFit="0" vertical="center" wrapText="1"/>
    </xf>
    <xf borderId="0" fillId="3" fontId="21" numFmtId="0" xfId="0" applyAlignment="1" applyFont="1">
      <alignment horizontal="left" readingOrder="0" shrinkToFit="0" vertical="center" wrapText="1"/>
    </xf>
    <xf borderId="0" fillId="3" fontId="31" numFmtId="0" xfId="0" applyAlignment="1" applyFont="1">
      <alignment horizontal="left" readingOrder="0" shrinkToFit="0" vertical="center" wrapText="1"/>
    </xf>
    <xf borderId="0" fillId="3" fontId="32" numFmtId="0" xfId="0" applyAlignment="1" applyFont="1">
      <alignment horizontal="left" readingOrder="0" shrinkToFit="0" vertical="center" wrapText="1"/>
    </xf>
    <xf borderId="0" fillId="3" fontId="33" numFmtId="0" xfId="0" applyAlignment="1" applyFont="1">
      <alignment horizontal="left" readingOrder="0" shrinkToFit="0" vertical="center" wrapText="1"/>
    </xf>
    <xf borderId="0" fillId="3" fontId="34" numFmtId="0" xfId="0" applyAlignment="1" applyFont="1">
      <alignment horizontal="left" readingOrder="0" shrinkToFit="0" vertical="center" wrapText="1"/>
    </xf>
    <xf borderId="0" fillId="3" fontId="4" numFmtId="0" xfId="0" applyAlignment="1" applyFont="1">
      <alignment horizontal="left" readingOrder="0" shrinkToFit="0" vertical="center" wrapText="1"/>
    </xf>
    <xf borderId="0" fillId="3" fontId="35" numFmtId="0" xfId="0" applyAlignment="1" applyFont="1">
      <alignment horizontal="center" readingOrder="0" shrinkToFit="0" vertical="center" wrapText="1"/>
    </xf>
    <xf borderId="0" fillId="3" fontId="15" numFmtId="0" xfId="0" applyAlignment="1" applyFont="1">
      <alignment horizontal="center" readingOrder="0" shrinkToFit="0" vertical="center" wrapText="1"/>
    </xf>
    <xf borderId="1" fillId="3" fontId="1" numFmtId="0" xfId="0" applyAlignment="1" applyBorder="1" applyFont="1">
      <alignment horizontal="center" readingOrder="0" shrinkToFit="0" vertical="center" wrapText="1"/>
    </xf>
    <xf borderId="2" fillId="0" fontId="36" numFmtId="0" xfId="0" applyBorder="1" applyFont="1"/>
    <xf borderId="3" fillId="0" fontId="36" numFmtId="0" xfId="0" applyBorder="1" applyFont="1"/>
    <xf borderId="0" fillId="3" fontId="1" numFmtId="0" xfId="0" applyAlignment="1" applyFont="1">
      <alignment horizontal="center" readingOrder="0" shrinkToFit="0" vertical="center" wrapText="1"/>
    </xf>
    <xf borderId="4" fillId="3" fontId="1" numFmtId="0" xfId="0" applyAlignment="1" applyBorder="1" applyFont="1">
      <alignment horizontal="center" readingOrder="0" shrinkToFit="0" vertical="center" wrapText="1"/>
    </xf>
    <xf borderId="5" fillId="3" fontId="1" numFmtId="0" xfId="0" applyAlignment="1" applyBorder="1" applyFont="1">
      <alignment horizontal="center" readingOrder="0" shrinkToFit="0" vertical="center" wrapText="1"/>
    </xf>
    <xf borderId="6" fillId="3" fontId="1" numFmtId="0" xfId="0" applyAlignment="1" applyBorder="1" applyFont="1">
      <alignment horizontal="center" readingOrder="0" shrinkToFit="0" vertical="center" wrapText="1"/>
    </xf>
    <xf borderId="5" fillId="3" fontId="15" numFmtId="0" xfId="0" applyAlignment="1" applyBorder="1" applyFont="1">
      <alignment horizontal="center" readingOrder="0" shrinkToFit="0" vertical="center" wrapText="1"/>
    </xf>
    <xf borderId="6" fillId="3" fontId="15" numFmtId="0" xfId="0" applyAlignment="1" applyBorder="1" applyFont="1">
      <alignment horizontal="center" readingOrder="0" shrinkToFit="0" vertical="center" wrapText="1"/>
    </xf>
    <xf borderId="0" fillId="3" fontId="4" numFmtId="0" xfId="0" applyAlignment="1" applyFont="1">
      <alignment shrinkToFit="0" vertical="center" wrapText="1"/>
    </xf>
    <xf borderId="7" fillId="3" fontId="13" numFmtId="0" xfId="0" applyAlignment="1" applyBorder="1" applyFont="1">
      <alignment shrinkToFit="0" vertical="center" wrapText="1"/>
    </xf>
    <xf borderId="0" fillId="3" fontId="37" numFmtId="0" xfId="0" applyAlignment="1" applyFont="1">
      <alignment horizontal="center" shrinkToFit="0" vertical="center" wrapText="1"/>
    </xf>
    <xf borderId="7" fillId="3" fontId="38" numFmtId="0" xfId="0" applyAlignment="1" applyBorder="1" applyFont="1">
      <alignment horizontal="center" readingOrder="0" shrinkToFit="0" vertical="center" wrapText="1"/>
    </xf>
    <xf borderId="0" fillId="3" fontId="39" numFmtId="0" xfId="0" applyAlignment="1" applyFont="1">
      <alignment horizontal="center" readingOrder="0" shrinkToFit="0" vertical="center" wrapText="1"/>
    </xf>
    <xf borderId="8" fillId="3" fontId="40" numFmtId="0" xfId="0" applyAlignment="1" applyBorder="1" applyFont="1">
      <alignment horizontal="center" shrinkToFit="0" vertical="center" wrapText="1"/>
    </xf>
    <xf borderId="0" fillId="3" fontId="38" numFmtId="0" xfId="0" applyAlignment="1" applyFont="1">
      <alignment horizontal="center" readingOrder="0" shrinkToFit="0" vertical="center" wrapText="1"/>
    </xf>
    <xf borderId="0" fillId="3" fontId="39" numFmtId="0" xfId="0" applyAlignment="1" applyFont="1">
      <alignment horizontal="center" shrinkToFit="0" vertical="center" wrapText="1"/>
    </xf>
    <xf borderId="7" fillId="2" fontId="13" numFmtId="0" xfId="0" applyAlignment="1" applyBorder="1" applyFont="1">
      <alignment shrinkToFit="0" vertical="center" wrapText="1"/>
    </xf>
    <xf borderId="0" fillId="2" fontId="37" numFmtId="0" xfId="0" applyAlignment="1" applyFont="1">
      <alignment horizontal="center" shrinkToFit="0" vertical="center" wrapText="1"/>
    </xf>
    <xf borderId="7" fillId="3" fontId="38" numFmtId="0" xfId="0" applyAlignment="1" applyBorder="1" applyFont="1">
      <alignment horizontal="center" shrinkToFit="0" vertical="center" wrapText="1"/>
    </xf>
    <xf borderId="7" fillId="3" fontId="13" numFmtId="0" xfId="0" applyAlignment="1" applyBorder="1" applyFont="1">
      <alignment readingOrder="0" shrinkToFit="0" vertical="center" wrapText="1"/>
    </xf>
    <xf borderId="8" fillId="3" fontId="40" numFmtId="0" xfId="0" applyAlignment="1" applyBorder="1" applyFont="1">
      <alignment horizontal="center" readingOrder="0" shrinkToFit="0" vertical="center" wrapText="1"/>
    </xf>
    <xf borderId="8" fillId="3" fontId="4" numFmtId="0" xfId="0" applyAlignment="1" applyBorder="1" applyFont="1">
      <alignment shrinkToFit="0" vertical="center" wrapText="1"/>
    </xf>
    <xf borderId="0" fillId="3" fontId="40" numFmtId="0" xfId="0" applyAlignment="1" applyFont="1">
      <alignment horizontal="center" readingOrder="0" shrinkToFit="0" vertical="center" wrapText="1"/>
    </xf>
    <xf borderId="0" fillId="3" fontId="38" numFmtId="0" xfId="0" applyAlignment="1" applyFont="1">
      <alignment horizontal="center" shrinkToFit="0" vertical="center" wrapText="1"/>
    </xf>
    <xf borderId="7" fillId="2" fontId="13" numFmtId="0" xfId="0" applyAlignment="1" applyBorder="1" applyFont="1">
      <alignment readingOrder="0" shrinkToFit="0" vertical="center" wrapText="1"/>
    </xf>
    <xf borderId="0" fillId="2" fontId="5" numFmtId="0" xfId="0" applyAlignment="1" applyFont="1">
      <alignment horizontal="center" shrinkToFit="0" vertical="center" wrapText="1"/>
    </xf>
    <xf borderId="9" fillId="3" fontId="13" numFmtId="0" xfId="0" applyAlignment="1" applyBorder="1" applyFont="1">
      <alignment shrinkToFit="0" vertical="center" wrapText="1"/>
    </xf>
    <xf borderId="10" fillId="3" fontId="37" numFmtId="0" xfId="0" applyAlignment="1" applyBorder="1" applyFont="1">
      <alignment horizontal="center" shrinkToFit="0" vertical="center" wrapText="1"/>
    </xf>
    <xf borderId="9" fillId="3" fontId="38" numFmtId="0" xfId="0" applyAlignment="1" applyBorder="1" applyFont="1">
      <alignment horizontal="center" shrinkToFit="0" vertical="center" wrapText="1"/>
    </xf>
    <xf borderId="10" fillId="3" fontId="39" numFmtId="0" xfId="0" applyAlignment="1" applyBorder="1" applyFont="1">
      <alignment horizontal="center" readingOrder="0" shrinkToFit="0" vertical="center" wrapText="1"/>
    </xf>
    <xf borderId="11" fillId="3" fontId="40" numFmtId="0" xfId="0" applyAlignment="1" applyBorder="1" applyFont="1">
      <alignment horizontal="center" shrinkToFit="0" vertical="center" wrapText="1"/>
    </xf>
    <xf borderId="10" fillId="3" fontId="38" numFmtId="0" xfId="0" applyAlignment="1" applyBorder="1" applyFont="1">
      <alignment horizontal="center" shrinkToFit="0" vertical="center" wrapText="1"/>
    </xf>
    <xf borderId="10" fillId="3" fontId="39" numFmtId="0" xfId="0" applyAlignment="1" applyBorder="1" applyFont="1">
      <alignment horizontal="center" shrinkToFit="0" vertical="center" wrapText="1"/>
    </xf>
    <xf borderId="11" fillId="3" fontId="40" numFmtId="0" xfId="0" applyAlignment="1" applyBorder="1" applyFont="1">
      <alignment horizontal="center" readingOrder="0" shrinkToFit="0" vertical="center" wrapText="1"/>
    </xf>
    <xf borderId="0" fillId="3" fontId="37" numFmtId="0" xfId="0" applyFont="1"/>
    <xf borderId="0" fillId="5" fontId="37" numFmtId="0" xfId="0" applyAlignment="1" applyFill="1" applyFont="1">
      <alignment vertical="bottom"/>
    </xf>
    <xf borderId="0" fillId="3" fontId="37" numFmtId="0" xfId="0" applyAlignment="1" applyFont="1">
      <alignment vertical="bottom"/>
    </xf>
    <xf borderId="0" fillId="2" fontId="41" numFmtId="0" xfId="0" applyAlignment="1" applyFont="1">
      <alignment horizontal="center" shrinkToFit="0" wrapText="1"/>
    </xf>
    <xf borderId="0" fillId="2" fontId="41" numFmtId="0" xfId="0" applyAlignment="1" applyFont="1">
      <alignment horizontal="center" readingOrder="0"/>
    </xf>
    <xf borderId="0" fillId="3" fontId="42" numFmtId="0" xfId="0" applyAlignment="1" applyFont="1">
      <alignment horizontal="center" readingOrder="0" vertical="center"/>
    </xf>
    <xf borderId="0" fillId="2" fontId="37" numFmtId="0" xfId="0" applyAlignment="1" applyFont="1">
      <alignment horizontal="center" shrinkToFit="0" vertical="center" wrapText="1"/>
    </xf>
    <xf borderId="0" fillId="5" fontId="37" numFmtId="0" xfId="0" applyAlignment="1" applyFont="1">
      <alignment horizontal="center" shrinkToFit="0" vertical="center" wrapText="1"/>
    </xf>
    <xf borderId="0" fillId="3" fontId="37" numFmtId="0" xfId="0" applyAlignment="1" applyFont="1">
      <alignment horizontal="center" shrinkToFit="0" vertical="center" wrapText="1"/>
    </xf>
    <xf borderId="0" fillId="3" fontId="1" numFmtId="0" xfId="0" applyAlignment="1" applyFont="1">
      <alignment shrinkToFit="0" wrapText="1"/>
    </xf>
    <xf borderId="0" fillId="3" fontId="1" numFmtId="0" xfId="0" applyAlignment="1" applyFont="1">
      <alignment horizontal="center" shrinkToFit="0" wrapText="1"/>
    </xf>
    <xf borderId="0" fillId="6" fontId="1" numFmtId="0" xfId="0" applyFill="1" applyFont="1"/>
    <xf borderId="0" fillId="6" fontId="37" numFmtId="0" xfId="0" applyFont="1"/>
    <xf borderId="0" fillId="6" fontId="15" numFmtId="0" xfId="0" applyAlignment="1" applyFont="1">
      <alignment readingOrder="0"/>
    </xf>
    <xf borderId="0" fillId="2" fontId="4" numFmtId="0" xfId="0" applyAlignment="1" applyFont="1">
      <alignment shrinkToFit="0" vertical="center" wrapText="1"/>
    </xf>
    <xf borderId="0" fillId="2" fontId="37" numFmtId="0" xfId="0" applyAlignment="1" applyFont="1">
      <alignment shrinkToFit="0" vertical="center" wrapText="1"/>
    </xf>
    <xf borderId="0" fillId="2" fontId="4" numFmtId="0" xfId="0" applyAlignment="1" applyFont="1">
      <alignment horizontal="center" shrinkToFit="0" vertical="center" wrapText="1"/>
    </xf>
    <xf borderId="0" fillId="2" fontId="43" numFmtId="0" xfId="0" applyAlignment="1" applyFont="1">
      <alignment shrinkToFit="0" vertical="center" wrapText="1"/>
    </xf>
    <xf borderId="0" fillId="3" fontId="37" numFmtId="0" xfId="0" applyAlignment="1" applyFont="1">
      <alignment shrinkToFit="0" vertical="center" wrapText="1"/>
    </xf>
    <xf borderId="0" fillId="3" fontId="4" numFmtId="0" xfId="0" applyAlignment="1" applyFont="1">
      <alignment horizontal="center" shrinkToFit="0" vertical="center" wrapText="1"/>
    </xf>
    <xf borderId="0" fillId="3" fontId="1" numFmtId="0" xfId="0" applyAlignment="1" applyFont="1">
      <alignment horizontal="center" shrinkToFit="0" vertical="center" wrapText="1"/>
    </xf>
    <xf borderId="0" fillId="3" fontId="43" numFmtId="0" xfId="0" applyAlignment="1" applyFont="1">
      <alignment shrinkToFit="0" vertical="center" wrapText="1"/>
    </xf>
    <xf borderId="0" fillId="6" fontId="1" numFmtId="0" xfId="0" applyAlignment="1" applyFont="1">
      <alignment shrinkToFit="0" vertical="center" wrapText="0"/>
    </xf>
    <xf borderId="0" fillId="6" fontId="37" numFmtId="0" xfId="0" applyAlignment="1" applyFont="1">
      <alignment shrinkToFit="0" vertical="center" wrapText="1"/>
    </xf>
    <xf borderId="12" fillId="6" fontId="1" numFmtId="0" xfId="0" applyAlignment="1" applyBorder="1" applyFont="1">
      <alignment readingOrder="0" shrinkToFit="0" vertical="center" wrapText="0"/>
    </xf>
    <xf borderId="0" fillId="6" fontId="1" numFmtId="0" xfId="0" applyAlignment="1" applyFont="1">
      <alignment shrinkToFit="0" vertical="center" wrapText="1"/>
    </xf>
    <xf borderId="0" fillId="6" fontId="1" numFmtId="0" xfId="0" applyAlignment="1" applyFont="1">
      <alignment readingOrder="0" shrinkToFit="0" vertical="center" wrapText="0"/>
    </xf>
    <xf borderId="0" fillId="6" fontId="37" numFmtId="0" xfId="0" applyAlignment="1" applyFont="1">
      <alignment shrinkToFit="0" vertical="center" wrapText="0"/>
    </xf>
    <xf borderId="0" fillId="3" fontId="4" numFmtId="0" xfId="0" applyAlignment="1" applyFont="1">
      <alignment horizontal="center" shrinkToFit="0" vertical="center" wrapText="0"/>
    </xf>
    <xf borderId="0" fillId="3" fontId="15" numFmtId="0" xfId="0" applyAlignment="1" applyFont="1">
      <alignment readingOrder="0" vertical="center"/>
    </xf>
    <xf borderId="0" fillId="3" fontId="1" numFmtId="0" xfId="0" applyAlignment="1" applyFont="1">
      <alignment horizontal="center" readingOrder="0" vertical="center"/>
    </xf>
    <xf borderId="0" fillId="3" fontId="1" numFmtId="0" xfId="0" applyAlignment="1" applyFont="1">
      <alignment readingOrder="0" vertical="center"/>
    </xf>
    <xf borderId="0" fillId="3" fontId="4" numFmtId="0" xfId="0" applyAlignment="1" applyFont="1">
      <alignment readingOrder="0" vertical="center"/>
    </xf>
    <xf borderId="0" fillId="3" fontId="5" numFmtId="0" xfId="0" applyAlignment="1" applyFont="1">
      <alignment vertical="center"/>
    </xf>
    <xf borderId="0" fillId="3" fontId="4" numFmtId="0" xfId="0" applyAlignment="1" applyFont="1">
      <alignment horizontal="center" readingOrder="0" vertical="center"/>
    </xf>
    <xf borderId="0" fillId="3" fontId="5" numFmtId="0" xfId="0" applyAlignment="1" applyFont="1">
      <alignment readingOrder="0" vertical="center"/>
    </xf>
    <xf borderId="0" fillId="3" fontId="4" numFmtId="0" xfId="0" applyAlignment="1" applyFont="1">
      <alignment readingOrder="0" vertical="center"/>
    </xf>
    <xf borderId="0" fillId="3" fontId="15" numFmtId="0" xfId="0" applyAlignment="1" applyFont="1">
      <alignment shrinkToFit="0" vertical="center" wrapText="1"/>
    </xf>
    <xf borderId="0" fillId="3" fontId="15" numFmtId="0" xfId="0" applyAlignment="1" applyFont="1">
      <alignment horizontal="center" shrinkToFit="0" vertical="center" wrapText="1"/>
    </xf>
    <xf borderId="0" fillId="3" fontId="1" numFmtId="2" xfId="0" applyAlignment="1" applyFont="1" applyNumberFormat="1">
      <alignment horizontal="center" readingOrder="0" shrinkToFit="0" vertical="center" wrapText="1"/>
    </xf>
    <xf borderId="0" fillId="2" fontId="15" numFmtId="0" xfId="0" applyAlignment="1" applyFont="1">
      <alignment vertical="bottom"/>
    </xf>
    <xf borderId="0" fillId="2" fontId="15" numFmtId="10" xfId="0" applyAlignment="1" applyFont="1" applyNumberFormat="1">
      <alignment horizontal="right" vertical="bottom"/>
    </xf>
    <xf borderId="0" fillId="2" fontId="15" numFmtId="0" xfId="0" applyAlignment="1" applyFont="1">
      <alignment horizontal="center" vertical="bottom"/>
    </xf>
    <xf borderId="0" fillId="2" fontId="15" numFmtId="2" xfId="0" applyAlignment="1" applyFont="1" applyNumberFormat="1">
      <alignment horizontal="center" vertical="bottom"/>
    </xf>
    <xf borderId="0" fillId="3" fontId="5" numFmtId="0" xfId="0" applyAlignment="1" applyFont="1">
      <alignment vertical="bottom"/>
    </xf>
    <xf borderId="0" fillId="3" fontId="5" numFmtId="10" xfId="0" applyAlignment="1" applyFont="1" applyNumberFormat="1">
      <alignment horizontal="right" vertical="bottom"/>
    </xf>
    <xf borderId="0" fillId="3" fontId="5" numFmtId="0" xfId="0" applyAlignment="1" applyFont="1">
      <alignment horizontal="center" vertical="bottom"/>
    </xf>
    <xf borderId="0" fillId="3" fontId="5" numFmtId="2" xfId="0" applyAlignment="1" applyFont="1" applyNumberFormat="1">
      <alignment horizontal="center" vertical="bottom"/>
    </xf>
    <xf borderId="0" fillId="3" fontId="1" numFmtId="0" xfId="0" applyAlignment="1" applyFont="1">
      <alignment vertical="center"/>
    </xf>
    <xf borderId="0" fillId="2" fontId="1" numFmtId="0" xfId="0" applyAlignment="1" applyFont="1">
      <alignment vertical="bottom"/>
    </xf>
    <xf borderId="0" fillId="2" fontId="1" numFmtId="10" xfId="0" applyAlignment="1" applyFont="1" applyNumberFormat="1">
      <alignment horizontal="center" vertical="bottom"/>
    </xf>
    <xf borderId="0" fillId="2" fontId="1" numFmtId="0" xfId="0" applyAlignment="1" applyFont="1">
      <alignment horizontal="center" vertical="bottom"/>
    </xf>
    <xf borderId="0" fillId="2" fontId="1" numFmtId="166" xfId="0" applyAlignment="1" applyFont="1" applyNumberFormat="1">
      <alignment horizontal="center" vertical="bottom"/>
    </xf>
    <xf borderId="0" fillId="3" fontId="4" numFmtId="0" xfId="0" applyAlignment="1" applyFont="1">
      <alignment vertical="bottom"/>
    </xf>
    <xf borderId="0" fillId="3" fontId="4" numFmtId="10" xfId="0" applyAlignment="1" applyFont="1" applyNumberFormat="1">
      <alignment horizontal="center" vertical="bottom"/>
    </xf>
    <xf borderId="0" fillId="3" fontId="4" numFmtId="0" xfId="0" applyAlignment="1" applyFont="1">
      <alignment horizontal="center" vertical="bottom"/>
    </xf>
    <xf borderId="0" fillId="3" fontId="4" numFmtId="166" xfId="0" applyAlignment="1" applyFont="1" applyNumberFormat="1">
      <alignment horizontal="center" vertical="bottom"/>
    </xf>
    <xf borderId="0" fillId="2" fontId="1" numFmtId="165" xfId="0" applyAlignment="1" applyFont="1" applyNumberFormat="1">
      <alignment horizontal="center" vertical="bottom"/>
    </xf>
    <xf borderId="0" fillId="3" fontId="4" numFmtId="165" xfId="0" applyAlignment="1" applyFont="1" applyNumberFormat="1">
      <alignment horizontal="center" vertical="bottom"/>
    </xf>
    <xf borderId="0" fillId="3" fontId="44" numFmtId="0" xfId="0" applyFont="1"/>
    <xf borderId="0" fillId="3" fontId="44" numFmtId="0" xfId="0" applyAlignment="1" applyFont="1">
      <alignment horizontal="center"/>
    </xf>
    <xf borderId="0" fillId="3" fontId="2" numFmtId="0" xfId="0" applyAlignment="1" applyFont="1">
      <alignment horizontal="center" readingOrder="0" vertical="center"/>
    </xf>
    <xf borderId="0" fillId="3" fontId="15" numFmtId="0" xfId="0" applyAlignment="1" applyFont="1">
      <alignment horizontal="center" readingOrder="0" vertical="center"/>
    </xf>
    <xf borderId="1" fillId="3" fontId="15" numFmtId="0" xfId="0" applyAlignment="1" applyBorder="1" applyFont="1">
      <alignment horizontal="center" readingOrder="0" vertical="center"/>
    </xf>
    <xf borderId="1" fillId="3" fontId="1" numFmtId="0" xfId="0" applyAlignment="1" applyBorder="1" applyFont="1">
      <alignment horizontal="center" readingOrder="0" vertical="center"/>
    </xf>
    <xf borderId="4" fillId="3" fontId="1" numFmtId="0" xfId="0" applyAlignment="1" applyBorder="1" applyFont="1">
      <alignment horizontal="center" vertical="center"/>
    </xf>
    <xf borderId="5" fillId="0" fontId="36" numFmtId="0" xfId="0" applyBorder="1" applyFont="1"/>
    <xf borderId="6" fillId="0" fontId="36" numFmtId="0" xfId="0" applyBorder="1" applyFont="1"/>
    <xf borderId="0" fillId="3" fontId="1" numFmtId="0" xfId="0" applyAlignment="1" applyFont="1">
      <alignment horizontal="center" vertical="center"/>
    </xf>
    <xf borderId="7" fillId="3" fontId="1" numFmtId="0" xfId="0" applyAlignment="1" applyBorder="1" applyFont="1">
      <alignment horizontal="center" readingOrder="0" vertical="center"/>
    </xf>
    <xf borderId="8" fillId="0" fontId="36" numFmtId="0" xfId="0" applyBorder="1" applyFont="1"/>
    <xf borderId="4" fillId="3" fontId="1" numFmtId="0" xfId="0" applyAlignment="1" applyBorder="1" applyFont="1">
      <alignment horizontal="center" vertical="center"/>
    </xf>
    <xf borderId="5" fillId="3" fontId="1" numFmtId="0" xfId="0" applyAlignment="1" applyBorder="1" applyFont="1">
      <alignment horizontal="center" readingOrder="0" vertical="center"/>
    </xf>
    <xf borderId="5" fillId="3" fontId="36" numFmtId="0" xfId="0" applyBorder="1" applyFont="1"/>
    <xf borderId="6" fillId="3" fontId="36" numFmtId="0" xfId="0" applyBorder="1" applyFont="1"/>
    <xf borderId="7" fillId="3" fontId="5" numFmtId="0" xfId="0" applyAlignment="1" applyBorder="1" applyFont="1">
      <alignment horizontal="center" shrinkToFit="0" vertical="center" wrapText="1"/>
    </xf>
    <xf borderId="7" fillId="3" fontId="5" numFmtId="0" xfId="0" applyAlignment="1" applyBorder="1" applyFont="1">
      <alignment horizontal="center" shrinkToFit="0" vertical="center" wrapText="1"/>
    </xf>
    <xf borderId="8" fillId="3" fontId="36" numFmtId="0" xfId="0" applyBorder="1" applyFont="1"/>
    <xf borderId="0" fillId="3" fontId="25" numFmtId="0" xfId="0" applyAlignment="1" applyFont="1">
      <alignment horizontal="center" vertical="center"/>
    </xf>
    <xf borderId="7" fillId="3" fontId="37" numFmtId="0" xfId="0" applyAlignment="1" applyBorder="1" applyFont="1">
      <alignment vertical="center"/>
    </xf>
    <xf borderId="0" fillId="3" fontId="37" numFmtId="0" xfId="0" applyAlignment="1" applyFont="1">
      <alignment vertical="center"/>
    </xf>
    <xf borderId="0" fillId="3" fontId="37" numFmtId="0" xfId="0" applyAlignment="1" applyFont="1">
      <alignment vertical="center"/>
    </xf>
    <xf borderId="7" fillId="3" fontId="20" numFmtId="0" xfId="0" applyAlignment="1" applyBorder="1" applyFont="1">
      <alignment horizontal="center" readingOrder="0" shrinkToFit="0" vertical="center" wrapText="1"/>
    </xf>
    <xf borderId="8" fillId="3" fontId="15" numFmtId="0" xfId="0" applyAlignment="1" applyBorder="1" applyFont="1">
      <alignment horizontal="center" readingOrder="0" shrinkToFit="0" vertical="center" wrapText="1"/>
    </xf>
    <xf borderId="0" fillId="3" fontId="20" numFmtId="0" xfId="0" applyAlignment="1" applyFont="1">
      <alignment horizontal="center" readingOrder="0" shrinkToFit="0" vertical="center" wrapText="1"/>
    </xf>
    <xf borderId="8" fillId="3" fontId="15" numFmtId="0" xfId="0" applyAlignment="1" applyBorder="1" applyFont="1">
      <alignment horizontal="center" readingOrder="0" shrinkToFit="0" vertical="center" wrapText="1"/>
    </xf>
    <xf borderId="7" fillId="3" fontId="20" numFmtId="0" xfId="0" applyAlignment="1" applyBorder="1" applyFont="1">
      <alignment horizontal="center" shrinkToFit="0" vertical="center" wrapText="1"/>
    </xf>
    <xf borderId="8" fillId="3" fontId="37" numFmtId="0" xfId="0" applyAlignment="1" applyBorder="1" applyFont="1">
      <alignment vertical="center"/>
    </xf>
    <xf borderId="0" fillId="3" fontId="20" numFmtId="0" xfId="0" applyAlignment="1" applyFont="1">
      <alignment horizontal="center" shrinkToFit="0" vertical="center" wrapText="1"/>
    </xf>
    <xf borderId="0" fillId="3" fontId="13" numFmtId="0" xfId="0" applyAlignment="1" applyFont="1">
      <alignment horizontal="center" readingOrder="0" shrinkToFit="0" vertical="center" wrapText="1"/>
    </xf>
    <xf borderId="9" fillId="3" fontId="13" numFmtId="0" xfId="0" applyAlignment="1" applyBorder="1" applyFont="1">
      <alignment horizontal="center" readingOrder="0" shrinkToFit="0" vertical="center" wrapText="1"/>
    </xf>
    <xf borderId="11" fillId="0" fontId="36" numFmtId="0" xfId="0" applyBorder="1" applyFont="1"/>
    <xf borderId="10" fillId="3" fontId="13" numFmtId="0" xfId="0" applyAlignment="1" applyBorder="1" applyFont="1">
      <alignment horizontal="center" readingOrder="0" shrinkToFit="0" vertical="center" wrapText="1"/>
    </xf>
    <xf borderId="9" fillId="3" fontId="13" numFmtId="0" xfId="0" applyAlignment="1" applyBorder="1" applyFont="1">
      <alignment horizontal="center" readingOrder="0" shrinkToFit="0" vertical="center" wrapText="1"/>
    </xf>
    <xf borderId="10" fillId="0" fontId="36" numFmtId="0" xfId="0" applyBorder="1" applyFont="1"/>
    <xf borderId="11" fillId="2" fontId="36" numFmtId="0" xfId="0" applyBorder="1" applyFont="1"/>
    <xf borderId="0" fillId="3" fontId="13" numFmtId="0" xfId="0" applyAlignment="1" applyFont="1">
      <alignment horizontal="center" readingOrder="0" shrinkToFit="0" vertical="center" wrapText="1"/>
    </xf>
    <xf borderId="9" fillId="3" fontId="43" numFmtId="0" xfId="0" applyAlignment="1" applyBorder="1" applyFont="1">
      <alignment horizontal="center" shrinkToFit="0" vertical="center" wrapText="1"/>
    </xf>
    <xf borderId="10" fillId="3" fontId="43" numFmtId="0" xfId="0" applyAlignment="1" applyBorder="1" applyFont="1">
      <alignment horizontal="center" shrinkToFit="0" vertical="center" wrapText="1"/>
    </xf>
    <xf borderId="10" fillId="2" fontId="36" numFmtId="0" xfId="0" applyBorder="1" applyFont="1"/>
    <xf borderId="0" fillId="3" fontId="15" numFmtId="0" xfId="0" applyAlignment="1" applyFont="1">
      <alignment horizontal="center" readingOrder="0" shrinkToFit="0" vertical="center" wrapText="1"/>
    </xf>
    <xf borderId="2" fillId="2" fontId="36" numFmtId="0" xfId="0" applyBorder="1" applyFont="1"/>
    <xf borderId="3" fillId="2" fontId="36" numFmtId="0" xfId="0" applyBorder="1" applyFont="1"/>
    <xf borderId="4" fillId="3" fontId="1" numFmtId="0" xfId="0" applyAlignment="1" applyBorder="1" applyFont="1">
      <alignment horizontal="center" readingOrder="0" vertical="center"/>
    </xf>
    <xf borderId="8" fillId="2" fontId="36" numFmtId="0" xfId="0" applyBorder="1" applyFont="1"/>
    <xf borderId="7" fillId="2" fontId="5" numFmtId="0" xfId="0" applyAlignment="1" applyBorder="1" applyFont="1">
      <alignment horizontal="center" shrinkToFit="0" vertical="center" wrapText="1"/>
    </xf>
    <xf borderId="7" fillId="3" fontId="20" numFmtId="0" xfId="0" applyAlignment="1" applyBorder="1" applyFont="1">
      <alignment horizontal="center" readingOrder="0" shrinkToFit="0" vertical="center" wrapText="1"/>
    </xf>
    <xf borderId="10" fillId="3" fontId="28" numFmtId="0" xfId="0" applyAlignment="1" applyBorder="1" applyFont="1">
      <alignment horizontal="center" readingOrder="0" shrinkToFit="0" vertical="center" wrapText="1"/>
    </xf>
    <xf borderId="0" fillId="3" fontId="45" numFmtId="0" xfId="0" applyAlignment="1" applyFont="1">
      <alignment horizontal="center" readingOrder="0" vertical="center"/>
    </xf>
    <xf borderId="10" fillId="3" fontId="46" numFmtId="0" xfId="0" applyAlignment="1" applyBorder="1" applyFont="1">
      <alignment horizontal="center" readingOrder="0" shrinkToFit="0" vertical="center" wrapText="1"/>
    </xf>
    <xf borderId="0" fillId="3" fontId="47" numFmtId="0" xfId="0" applyAlignment="1" applyFont="1">
      <alignment vertical="bottom"/>
    </xf>
    <xf borderId="0" fillId="3" fontId="48" numFmtId="0" xfId="0" applyAlignment="1" applyFont="1">
      <alignment vertical="bottom"/>
    </xf>
    <xf borderId="0" fillId="2" fontId="47" numFmtId="0" xfId="0" applyAlignment="1" applyFont="1">
      <alignment vertical="bottom"/>
    </xf>
    <xf borderId="13" fillId="2" fontId="47" numFmtId="0" xfId="0" applyAlignment="1" applyBorder="1" applyFont="1">
      <alignment vertical="center"/>
    </xf>
    <xf borderId="3" fillId="2" fontId="47" numFmtId="0" xfId="0" applyAlignment="1" applyBorder="1" applyFont="1">
      <alignment vertical="center"/>
    </xf>
    <xf borderId="2" fillId="2" fontId="48" numFmtId="0" xfId="0" applyAlignment="1" applyBorder="1" applyFont="1">
      <alignment vertical="center"/>
    </xf>
    <xf borderId="3" fillId="2" fontId="48" numFmtId="0" xfId="0" applyAlignment="1" applyBorder="1" applyFont="1">
      <alignment vertical="center"/>
    </xf>
    <xf borderId="0" fillId="2" fontId="48" numFmtId="0" xfId="0" applyAlignment="1" applyFont="1">
      <alignment vertical="bottom"/>
    </xf>
    <xf borderId="0" fillId="3" fontId="49" numFmtId="0" xfId="0" applyFont="1"/>
    <xf borderId="14" fillId="3" fontId="49" numFmtId="0" xfId="0" applyAlignment="1" applyBorder="1" applyFont="1">
      <alignment vertical="center"/>
    </xf>
    <xf borderId="0" fillId="3" fontId="50" numFmtId="0" xfId="0" applyAlignment="1" applyFont="1">
      <alignment shrinkToFit="0" vertical="center" wrapText="1"/>
    </xf>
    <xf borderId="0" fillId="3" fontId="50" numFmtId="0" xfId="0" applyAlignment="1" applyFont="1">
      <alignment shrinkToFit="0" wrapText="1"/>
    </xf>
    <xf borderId="0" fillId="2" fontId="49" numFmtId="0" xfId="0" applyFont="1"/>
    <xf borderId="14" fillId="2" fontId="49" numFmtId="0" xfId="0" applyAlignment="1" applyBorder="1" applyFont="1">
      <alignment vertical="center"/>
    </xf>
    <xf borderId="0" fillId="2" fontId="50" numFmtId="0" xfId="0" applyAlignment="1" applyFont="1">
      <alignment shrinkToFit="0" vertical="center" wrapText="1"/>
    </xf>
    <xf borderId="0" fillId="2" fontId="50" numFmtId="0" xfId="0" applyAlignment="1" applyFont="1">
      <alignment shrinkToFit="0" wrapText="1"/>
    </xf>
    <xf borderId="0" fillId="3" fontId="50" numFmtId="0" xfId="0" applyAlignment="1" applyFont="1">
      <alignment shrinkToFit="0" vertical="center" wrapText="0"/>
    </xf>
    <xf borderId="0" fillId="3" fontId="48" numFmtId="0" xfId="0" applyAlignment="1" applyFont="1">
      <alignment vertical="center"/>
    </xf>
    <xf borderId="8" fillId="3" fontId="48" numFmtId="0" xfId="0" applyAlignment="1" applyBorder="1" applyFont="1">
      <alignment vertical="center"/>
    </xf>
    <xf borderId="0" fillId="3" fontId="48" numFmtId="0" xfId="0" applyFont="1"/>
    <xf borderId="0" fillId="2" fontId="50" numFmtId="0" xfId="0" applyAlignment="1" applyFont="1">
      <alignment shrinkToFit="0" vertical="center" wrapText="0"/>
    </xf>
    <xf borderId="0" fillId="2" fontId="48" numFmtId="0" xfId="0" applyAlignment="1" applyFont="1">
      <alignment vertical="center"/>
    </xf>
    <xf borderId="8" fillId="2" fontId="48" numFmtId="0" xfId="0" applyAlignment="1" applyBorder="1" applyFont="1">
      <alignment vertical="center"/>
    </xf>
    <xf borderId="0" fillId="2" fontId="48" numFmtId="0" xfId="0" applyFont="1"/>
    <xf borderId="0" fillId="2" fontId="50" numFmtId="0" xfId="0" applyAlignment="1" applyFont="1">
      <alignment vertical="center"/>
    </xf>
    <xf borderId="15" fillId="3" fontId="49" numFmtId="0" xfId="0" applyAlignment="1" applyBorder="1" applyFont="1">
      <alignment vertical="center"/>
    </xf>
    <xf borderId="10" fillId="3" fontId="50" numFmtId="0" xfId="0" applyAlignment="1" applyBorder="1" applyFont="1">
      <alignment vertical="center"/>
    </xf>
    <xf borderId="10" fillId="3" fontId="48" numFmtId="0" xfId="0" applyAlignment="1" applyBorder="1" applyFont="1">
      <alignment vertical="center"/>
    </xf>
    <xf borderId="11" fillId="3" fontId="48" numFmtId="0" xfId="0" applyAlignment="1" applyBorder="1" applyFont="1">
      <alignment vertical="center"/>
    </xf>
    <xf borderId="0" fillId="3" fontId="51" numFmtId="0" xfId="0" applyAlignment="1" applyFont="1">
      <alignment readingOrder="0"/>
    </xf>
    <xf borderId="0" fillId="2" fontId="48" numFmtId="0" xfId="0" applyAlignment="1" applyFont="1">
      <alignment readingOrder="0"/>
    </xf>
    <xf borderId="0" fillId="2" fontId="52" numFmtId="0" xfId="0" applyAlignment="1" applyFont="1">
      <alignment readingOrder="0"/>
    </xf>
    <xf borderId="0" fillId="2" fontId="51" numFmtId="0" xfId="0" applyAlignment="1" applyFont="1">
      <alignment readingOrder="0"/>
    </xf>
    <xf borderId="0" fillId="3" fontId="53" numFmtId="0" xfId="0" applyAlignment="1" applyFont="1">
      <alignment readingOrder="0"/>
    </xf>
    <xf borderId="0" fillId="3" fontId="54" numFmtId="0" xfId="0" applyAlignment="1" applyFont="1">
      <alignment readingOrder="0"/>
    </xf>
    <xf borderId="0" fillId="2" fontId="48" numFmtId="0" xfId="0" applyAlignment="1" applyFont="1">
      <alignment readingOrder="0"/>
    </xf>
    <xf borderId="0" fillId="2" fontId="55" numFmtId="0" xfId="0" applyAlignment="1" applyFont="1">
      <alignment readingOrder="0"/>
    </xf>
    <xf borderId="0" fillId="3" fontId="48" numFmtId="0" xfId="0" applyAlignment="1" applyFont="1">
      <alignment readingOrder="0"/>
    </xf>
    <xf borderId="0" fillId="3" fontId="15" numFmtId="0" xfId="0" applyAlignment="1" applyFont="1">
      <alignment readingOrder="0" shrinkToFit="0" vertical="center" wrapText="1"/>
    </xf>
    <xf borderId="0" fillId="7" fontId="1" numFmtId="0" xfId="0" applyAlignment="1" applyFill="1" applyFont="1">
      <alignment horizontal="center" readingOrder="0" shrinkToFit="0" vertical="center" wrapText="1"/>
    </xf>
    <xf borderId="0" fillId="3" fontId="5" numFmtId="0" xfId="0" applyAlignment="1" applyFont="1">
      <alignment horizontal="right" readingOrder="0" shrinkToFit="0" vertical="center" wrapText="1"/>
    </xf>
    <xf borderId="0" fillId="3" fontId="5" numFmtId="0" xfId="0" applyAlignment="1" applyFont="1">
      <alignment readingOrder="0" shrinkToFit="0" vertical="center" wrapText="1"/>
    </xf>
    <xf borderId="0" fillId="7" fontId="5" numFmtId="0" xfId="0" applyAlignment="1" applyFont="1">
      <alignment horizontal="center" shrinkToFit="0" vertical="center" wrapText="1"/>
    </xf>
    <xf borderId="0" fillId="7" fontId="4" numFmtId="0" xfId="0" applyAlignment="1" applyFont="1">
      <alignment horizontal="center" readingOrder="0" shrinkToFit="0" vertical="center" wrapText="1"/>
    </xf>
    <xf borderId="0" fillId="3" fontId="4" numFmtId="0" xfId="0" applyAlignment="1" applyFont="1">
      <alignment horizontal="right" readingOrder="0" shrinkToFit="0" vertical="center" wrapText="1"/>
    </xf>
    <xf borderId="0" fillId="7" fontId="5" numFmtId="0" xfId="0" applyAlignment="1" applyFont="1">
      <alignment horizontal="right" readingOrder="0" shrinkToFit="0" vertical="center" wrapText="1"/>
    </xf>
    <xf borderId="0" fillId="7" fontId="5" numFmtId="0" xfId="0" applyAlignment="1" applyFont="1">
      <alignment readingOrder="0" shrinkToFit="0" vertical="center" wrapText="1"/>
    </xf>
    <xf borderId="0" fillId="7" fontId="4" numFmtId="0" xfId="0" applyAlignment="1" applyFont="1">
      <alignment readingOrder="0" shrinkToFit="0" vertical="center" wrapText="1"/>
    </xf>
    <xf borderId="0" fillId="7" fontId="5" numFmtId="0" xfId="0" applyAlignment="1" applyFont="1">
      <alignment shrinkToFit="0" vertical="center" wrapText="1"/>
    </xf>
    <xf borderId="0" fillId="2" fontId="5" numFmtId="0" xfId="0" applyAlignment="1" applyFont="1">
      <alignment readingOrder="0" shrinkToFit="0" wrapText="1"/>
    </xf>
    <xf borderId="0" fillId="2" fontId="5" numFmtId="0" xfId="0" applyAlignment="1" applyFont="1">
      <alignment shrinkToFit="0" wrapText="1"/>
    </xf>
    <xf borderId="0" fillId="2" fontId="15" numFmtId="0" xfId="0" applyAlignment="1" applyFont="1">
      <alignment readingOrder="0" shrinkToFit="0" wrapText="1"/>
    </xf>
    <xf borderId="0" fillId="3" fontId="4" numFmtId="0" xfId="0" applyAlignment="1" applyFont="1">
      <alignment readingOrder="0" shrinkToFit="0" wrapText="1"/>
    </xf>
    <xf borderId="0" fillId="3" fontId="56" numFmtId="0" xfId="0" applyAlignment="1" applyFont="1">
      <alignment readingOrder="0"/>
    </xf>
    <xf borderId="0" fillId="3" fontId="1" numFmtId="0" xfId="0" applyAlignment="1" applyFont="1">
      <alignment horizontal="center" readingOrder="0"/>
    </xf>
    <xf borderId="0" fillId="3" fontId="4" numFmtId="0" xfId="0" applyAlignment="1" applyFont="1">
      <alignment horizontal="left" readingOrder="0"/>
    </xf>
    <xf borderId="1" fillId="3" fontId="1" numFmtId="0" xfId="0" applyAlignment="1" applyBorder="1" applyFont="1">
      <alignment horizontal="center" readingOrder="0"/>
    </xf>
    <xf borderId="8" fillId="2" fontId="5" numFmtId="0" xfId="0" applyAlignment="1" applyBorder="1" applyFont="1">
      <alignment horizontal="center" shrinkToFit="0" vertical="center" wrapText="1"/>
    </xf>
    <xf borderId="0" fillId="2" fontId="25" numFmtId="0" xfId="0" applyAlignment="1" applyFont="1">
      <alignment horizontal="center" vertical="center"/>
    </xf>
    <xf borderId="8" fillId="3" fontId="4" numFmtId="0" xfId="0" applyAlignment="1" applyBorder="1" applyFont="1">
      <alignment horizontal="left" readingOrder="0" shrinkToFit="0" vertical="center" wrapText="1"/>
    </xf>
    <xf borderId="8" fillId="3" fontId="4" numFmtId="0" xfId="0" applyAlignment="1" applyBorder="1" applyFont="1">
      <alignment readingOrder="0" shrinkToFit="0" vertical="center" wrapText="1"/>
    </xf>
    <xf borderId="0" fillId="3" fontId="57" numFmtId="0" xfId="0" applyAlignment="1" applyFont="1">
      <alignment horizontal="left" readingOrder="0" shrinkToFit="0" vertical="center" wrapText="1"/>
    </xf>
    <xf borderId="4" fillId="2" fontId="14" numFmtId="0" xfId="0" applyAlignment="1" applyBorder="1" applyFont="1">
      <alignment readingOrder="0" shrinkToFit="0" vertical="center" wrapText="1"/>
    </xf>
    <xf borderId="5" fillId="2" fontId="36" numFmtId="0" xfId="0" applyBorder="1" applyFont="1"/>
    <xf borderId="6" fillId="2" fontId="36" numFmtId="0" xfId="0" applyBorder="1" applyFont="1"/>
    <xf borderId="16" fillId="2" fontId="14" numFmtId="0" xfId="0" applyAlignment="1" applyBorder="1" applyFont="1">
      <alignment horizontal="left" readingOrder="0" shrinkToFit="0" vertical="center" wrapText="1"/>
    </xf>
    <xf borderId="16" fillId="2" fontId="14" numFmtId="0" xfId="0" applyAlignment="1" applyBorder="1" applyFont="1">
      <alignment readingOrder="0" shrinkToFit="0" vertical="center" wrapText="1"/>
    </xf>
    <xf borderId="0" fillId="3" fontId="4" numFmtId="0" xfId="0" applyAlignment="1" applyFont="1">
      <alignment readingOrder="0" shrinkToFit="0" vertical="center" wrapText="1"/>
    </xf>
    <xf borderId="7" fillId="0" fontId="36" numFmtId="0" xfId="0" applyBorder="1" applyFont="1"/>
    <xf borderId="14" fillId="3" fontId="36" numFmtId="0" xfId="0" applyBorder="1" applyFont="1"/>
    <xf borderId="14" fillId="2" fontId="36" numFmtId="0" xfId="0" applyBorder="1" applyFont="1"/>
    <xf borderId="0" fillId="2" fontId="4" numFmtId="0" xfId="0" applyAlignment="1" applyFont="1">
      <alignment readingOrder="0" shrinkToFit="0" vertical="center" wrapText="1"/>
    </xf>
    <xf borderId="9" fillId="0" fontId="36" numFmtId="0" xfId="0" applyBorder="1" applyFont="1"/>
    <xf borderId="15" fillId="2" fontId="36" numFmtId="0" xfId="0" applyBorder="1" applyFont="1"/>
    <xf borderId="17" fillId="3" fontId="1" numFmtId="0" xfId="0" applyAlignment="1" applyBorder="1" applyFont="1">
      <alignment horizontal="center" readingOrder="0" shrinkToFit="0" vertical="center" wrapText="1"/>
    </xf>
    <xf borderId="18" fillId="3" fontId="1" numFmtId="0" xfId="0" applyAlignment="1" applyBorder="1" applyFont="1">
      <alignment horizontal="center" readingOrder="0"/>
    </xf>
    <xf borderId="18" fillId="3" fontId="36" numFmtId="0" xfId="0" applyBorder="1" applyFont="1"/>
    <xf borderId="19" fillId="3" fontId="36" numFmtId="0" xfId="0" applyBorder="1" applyFont="1"/>
    <xf borderId="20" fillId="2" fontId="5" numFmtId="0" xfId="0" applyAlignment="1" applyBorder="1" applyFont="1">
      <alignment horizontal="center" shrinkToFit="0" vertical="center" wrapText="1"/>
    </xf>
    <xf borderId="17" fillId="2" fontId="5" numFmtId="0" xfId="0" applyAlignment="1" applyBorder="1" applyFont="1">
      <alignment horizontal="center" shrinkToFit="0" vertical="center" wrapText="1"/>
    </xf>
    <xf borderId="21" fillId="2" fontId="5" numFmtId="0" xfId="0" applyAlignment="1" applyBorder="1" applyFont="1">
      <alignment horizontal="center" shrinkToFit="0" vertical="center" wrapText="1"/>
    </xf>
    <xf borderId="22" fillId="3" fontId="57" numFmtId="0" xfId="0" applyAlignment="1" applyBorder="1" applyFont="1">
      <alignment horizontal="left" readingOrder="0" shrinkToFit="0" vertical="center" wrapText="1"/>
    </xf>
    <xf borderId="22" fillId="3" fontId="57" numFmtId="0" xfId="0" applyAlignment="1" applyBorder="1" applyFont="1">
      <alignment readingOrder="0" shrinkToFit="0" vertical="center" wrapText="1"/>
    </xf>
    <xf borderId="23" fillId="3" fontId="13" numFmtId="0" xfId="0" applyAlignment="1" applyBorder="1" applyFont="1">
      <alignment readingOrder="0" shrinkToFit="0" vertical="center" wrapText="1"/>
    </xf>
    <xf borderId="21" fillId="3" fontId="13" numFmtId="0" xfId="0" applyAlignment="1" applyBorder="1" applyFont="1">
      <alignment readingOrder="0" shrinkToFit="0" vertical="center" wrapText="1"/>
    </xf>
    <xf borderId="0" fillId="3" fontId="5" numFmtId="0" xfId="0" applyAlignment="1" applyFont="1">
      <alignment horizontal="center" vertical="center"/>
    </xf>
    <xf borderId="24" fillId="2" fontId="4" numFmtId="0" xfId="0" applyAlignment="1" applyBorder="1" applyFont="1">
      <alignment horizontal="left" readingOrder="0" shrinkToFit="0" vertical="center" wrapText="1"/>
    </xf>
    <xf borderId="21" fillId="0" fontId="36" numFmtId="0" xfId="0" applyBorder="1" applyFont="1"/>
    <xf borderId="25" fillId="2" fontId="4" numFmtId="0" xfId="0" applyAlignment="1" applyBorder="1" applyFont="1">
      <alignment readingOrder="0" shrinkToFit="0" vertical="center" wrapText="1"/>
    </xf>
    <xf borderId="18" fillId="0" fontId="36" numFmtId="0" xfId="0" applyBorder="1" applyFont="1"/>
    <xf borderId="19" fillId="0" fontId="36" numFmtId="0" xfId="0" applyBorder="1" applyFont="1"/>
    <xf borderId="24" fillId="0" fontId="36" numFmtId="0" xfId="0" applyBorder="1" applyFont="1"/>
    <xf borderId="26" fillId="0" fontId="36" numFmtId="0" xfId="0" applyBorder="1" applyFont="1"/>
    <xf borderId="23" fillId="0" fontId="36" numFmtId="0" xfId="0" applyBorder="1" applyFont="1"/>
    <xf borderId="27" fillId="0" fontId="36" numFmtId="0" xfId="0" applyBorder="1" applyFont="1"/>
    <xf borderId="0" fillId="3" fontId="4" numFmtId="0" xfId="0" applyAlignment="1" applyFont="1">
      <alignment horizontal="left" readingOrder="0" shrinkToFit="0" vertical="center" wrapText="0"/>
    </xf>
    <xf borderId="18" fillId="2" fontId="36" numFmtId="0" xfId="0" applyBorder="1" applyFont="1"/>
    <xf borderId="19" fillId="2" fontId="36" numFmtId="0" xfId="0" applyBorder="1" applyFont="1"/>
    <xf borderId="20" fillId="3" fontId="5" numFmtId="0" xfId="0" applyAlignment="1" applyBorder="1" applyFont="1">
      <alignment horizontal="center" shrinkToFit="0" vertical="center" wrapText="1"/>
    </xf>
    <xf borderId="17" fillId="3" fontId="5" numFmtId="0" xfId="0" applyAlignment="1" applyBorder="1" applyFont="1">
      <alignment horizontal="center" shrinkToFit="0" vertical="center" wrapText="1"/>
    </xf>
    <xf borderId="21" fillId="3" fontId="25" numFmtId="0" xfId="0" applyAlignment="1" applyBorder="1" applyFont="1">
      <alignment horizontal="center" vertical="center"/>
    </xf>
    <xf borderId="27" fillId="3" fontId="13" numFmtId="0" xfId="0" applyAlignment="1" applyBorder="1" applyFont="1">
      <alignment readingOrder="0" shrinkToFit="0" vertical="center" wrapText="1"/>
    </xf>
    <xf borderId="25" fillId="2" fontId="4" numFmtId="0" xfId="0" applyAlignment="1" applyBorder="1" applyFont="1">
      <alignment horizontal="left" readingOrder="0" shrinkToFit="0" vertical="center" wrapText="1"/>
    </xf>
    <xf borderId="24" fillId="2" fontId="4" numFmtId="0" xfId="0" applyAlignment="1" applyBorder="1" applyFont="1">
      <alignment readingOrder="0" shrinkToFit="0" vertical="center" wrapText="1"/>
    </xf>
    <xf borderId="21" fillId="3" fontId="36" numFmtId="0" xfId="0" applyBorder="1" applyFont="1"/>
    <xf borderId="25" fillId="3" fontId="1" numFmtId="0" xfId="0" applyAlignment="1" applyBorder="1" applyFont="1">
      <alignment readingOrder="0"/>
    </xf>
    <xf borderId="25" fillId="3" fontId="1" numFmtId="0" xfId="0" applyAlignment="1" applyBorder="1" applyFont="1">
      <alignment horizontal="center" readingOrder="0" shrinkToFit="0" vertical="center" wrapText="1"/>
    </xf>
    <xf borderId="28" fillId="3" fontId="5" numFmtId="0" xfId="0" applyAlignment="1" applyBorder="1" applyFont="1">
      <alignment horizontal="center" shrinkToFit="0" vertical="center" wrapText="1"/>
    </xf>
    <xf borderId="28" fillId="2" fontId="5" numFmtId="0" xfId="0" applyAlignment="1" applyBorder="1" applyFont="1">
      <alignment horizontal="center" shrinkToFit="0" vertical="center" wrapText="1"/>
    </xf>
    <xf borderId="17" fillId="3" fontId="5" numFmtId="0" xfId="0" applyAlignment="1" applyBorder="1" applyFont="1">
      <alignment horizontal="center" shrinkToFit="0" vertical="center" wrapText="1"/>
    </xf>
    <xf borderId="21" fillId="3" fontId="5" numFmtId="0" xfId="0" applyAlignment="1" applyBorder="1" applyFont="1">
      <alignment horizontal="center" shrinkToFit="0" vertical="center" wrapText="1"/>
    </xf>
    <xf borderId="24" fillId="3" fontId="5" numFmtId="0" xfId="0" applyAlignment="1" applyBorder="1" applyFont="1">
      <alignment horizontal="center" shrinkToFit="0" vertical="center" wrapText="1"/>
    </xf>
    <xf borderId="28" fillId="3" fontId="57" numFmtId="0" xfId="0" applyAlignment="1" applyBorder="1" applyFont="1">
      <alignment horizontal="left" readingOrder="0" shrinkToFit="0" vertical="center" wrapText="1"/>
    </xf>
    <xf borderId="28" fillId="3" fontId="57" numFmtId="0" xfId="0" applyAlignment="1" applyBorder="1" applyFont="1">
      <alignment readingOrder="0" shrinkToFit="0" vertical="center" wrapText="1"/>
    </xf>
    <xf borderId="22" fillId="3" fontId="4" numFmtId="0" xfId="0" applyAlignment="1" applyBorder="1" applyFont="1">
      <alignment readingOrder="0" shrinkToFit="0" vertical="center" wrapText="1"/>
    </xf>
    <xf borderId="23" fillId="3" fontId="13" numFmtId="0" xfId="0" applyAlignment="1" applyBorder="1" applyFont="1">
      <alignment readingOrder="0" shrinkToFit="0" vertical="center" wrapText="1"/>
    </xf>
    <xf borderId="27" fillId="3" fontId="13" numFmtId="0" xfId="0" applyAlignment="1" applyBorder="1" applyFont="1">
      <alignment readingOrder="0" shrinkToFit="0" vertical="center" wrapText="1"/>
    </xf>
    <xf borderId="0" fillId="3" fontId="4" numFmtId="0" xfId="0" applyAlignment="1" applyFont="1">
      <alignment readingOrder="0" shrinkToFit="0" vertical="center" wrapText="1"/>
    </xf>
    <xf borderId="24" fillId="3" fontId="13" numFmtId="0" xfId="0" applyAlignment="1" applyBorder="1" applyFont="1">
      <alignment readingOrder="0" shrinkToFit="0" vertical="center" wrapText="1"/>
    </xf>
    <xf borderId="25" fillId="2" fontId="5" numFmtId="0" xfId="0" applyBorder="1" applyFont="1"/>
    <xf borderId="19" fillId="2" fontId="5" numFmtId="0" xfId="0" applyBorder="1" applyFont="1"/>
    <xf borderId="24" fillId="2" fontId="5" numFmtId="0" xfId="0" applyBorder="1" applyFont="1"/>
    <xf borderId="21" fillId="2" fontId="5" numFmtId="0" xfId="0" applyBorder="1" applyFont="1"/>
    <xf borderId="26" fillId="2" fontId="5" numFmtId="0" xfId="0" applyBorder="1" applyFont="1"/>
    <xf borderId="27" fillId="2" fontId="5" numFmtId="0" xfId="0" applyBorder="1" applyFont="1"/>
    <xf borderId="0" fillId="3" fontId="4" numFmtId="0" xfId="0" applyAlignment="1" applyFont="1">
      <alignment horizontal="left" readingOrder="0"/>
    </xf>
    <xf borderId="28" fillId="3" fontId="1" numFmtId="0" xfId="0" applyAlignment="1" applyBorder="1" applyFont="1">
      <alignment horizontal="left" readingOrder="0" shrinkToFit="0" vertical="center" wrapText="1"/>
    </xf>
    <xf borderId="0" fillId="3" fontId="1" numFmtId="0" xfId="0" applyAlignment="1" applyFont="1">
      <alignment horizontal="center" readingOrder="0" shrinkToFit="0" vertical="center" wrapText="1"/>
    </xf>
    <xf borderId="25" fillId="2" fontId="5" numFmtId="0" xfId="0" applyAlignment="1" applyBorder="1" applyFont="1">
      <alignment horizontal="center" shrinkToFit="0" vertical="center" wrapText="1"/>
    </xf>
    <xf borderId="18" fillId="2" fontId="5" numFmtId="0" xfId="0" applyAlignment="1" applyBorder="1" applyFont="1">
      <alignment horizontal="center" shrinkToFit="0" vertical="center" wrapText="1"/>
    </xf>
    <xf borderId="19" fillId="3" fontId="5" numFmtId="0" xfId="0" applyAlignment="1" applyBorder="1" applyFont="1">
      <alignment horizontal="center" shrinkToFit="0" vertical="center" wrapText="1"/>
    </xf>
    <xf borderId="26" fillId="3" fontId="57" numFmtId="0" xfId="0" applyAlignment="1" applyBorder="1" applyFont="1">
      <alignment horizontal="left" readingOrder="0" shrinkToFit="0" vertical="center" wrapText="1"/>
    </xf>
    <xf borderId="0" fillId="3" fontId="4" numFmtId="0" xfId="0" applyAlignment="1" applyFont="1">
      <alignment horizontal="left" readingOrder="0" shrinkToFit="0" vertical="center" wrapText="0"/>
    </xf>
    <xf borderId="28" fillId="3" fontId="1" numFmtId="0" xfId="0" applyAlignment="1" applyBorder="1" applyFont="1">
      <alignment horizontal="left" readingOrder="0" shrinkToFit="0" vertical="center" wrapText="1"/>
    </xf>
    <xf borderId="20" fillId="2" fontId="15" numFmtId="0" xfId="0" applyAlignment="1" applyBorder="1" applyFont="1">
      <alignment horizontal="center" shrinkToFit="0" vertical="center" wrapText="1"/>
    </xf>
    <xf borderId="19" fillId="2" fontId="5" numFmtId="0" xfId="0" applyAlignment="1" applyBorder="1" applyFont="1">
      <alignment horizontal="center" shrinkToFit="0" vertical="center" wrapText="1"/>
    </xf>
    <xf borderId="17" fillId="3" fontId="1" numFmtId="0" xfId="0" applyAlignment="1" applyBorder="1" applyFont="1">
      <alignment readingOrder="0"/>
    </xf>
    <xf borderId="25" fillId="3" fontId="1" numFmtId="0" xfId="0" applyAlignment="1" applyBorder="1" applyFont="1">
      <alignment horizontal="center" readingOrder="0"/>
    </xf>
    <xf borderId="24" fillId="2" fontId="5" numFmtId="0" xfId="0" applyAlignment="1" applyBorder="1" applyFont="1">
      <alignment horizontal="center" shrinkToFit="0" vertical="center" wrapText="1"/>
    </xf>
    <xf borderId="26" fillId="3" fontId="57" numFmtId="0" xfId="0" applyAlignment="1" applyBorder="1" applyFont="1">
      <alignment readingOrder="0" shrinkToFit="0" vertical="center" wrapText="1"/>
    </xf>
    <xf borderId="23" fillId="3" fontId="4" numFmtId="0" xfId="0" applyAlignment="1" applyBorder="1" applyFont="1">
      <alignment readingOrder="0" shrinkToFit="0" vertical="center" wrapText="1"/>
    </xf>
    <xf borderId="27" fillId="3" fontId="4" numFmtId="0" xfId="0" applyAlignment="1" applyBorder="1" applyFont="1">
      <alignment readingOrder="0" shrinkToFit="0" vertical="center" wrapText="1"/>
    </xf>
    <xf borderId="21" fillId="2" fontId="36" numFmtId="0" xfId="0" applyBorder="1" applyFont="1"/>
    <xf borderId="0" fillId="2" fontId="4" numFmtId="0" xfId="0" applyAlignment="1" applyFont="1">
      <alignment readingOrder="0" shrinkToFit="0" vertical="center" wrapText="1"/>
    </xf>
    <xf borderId="0" fillId="2" fontId="4" numFmtId="0" xfId="0" applyAlignment="1" applyFont="1">
      <alignment horizontal="center" readingOrder="0" shrinkToFit="0" vertical="center" wrapText="1"/>
    </xf>
    <xf borderId="0" fillId="3" fontId="37" numFmtId="0" xfId="0" applyAlignment="1" applyFont="1">
      <alignment horizontal="center" readingOrder="0" shrinkToFit="0" vertical="center" wrapText="1"/>
    </xf>
    <xf borderId="0" fillId="3" fontId="58" numFmtId="0" xfId="0" applyAlignment="1" applyFont="1">
      <alignment horizontal="center" readingOrder="0" shrinkToFit="0" vertical="center" wrapText="1"/>
    </xf>
    <xf borderId="0" fillId="3" fontId="37" numFmtId="0" xfId="0" applyAlignment="1" applyFont="1">
      <alignment readingOrder="0" shrinkToFit="0" vertical="center" wrapText="1"/>
    </xf>
    <xf borderId="0" fillId="3" fontId="4" numFmtId="0" xfId="0" applyAlignment="1" applyFont="1">
      <alignment readingOrder="0" shrinkToFit="0" wrapText="1"/>
    </xf>
    <xf borderId="0" fillId="3" fontId="4" numFmtId="0" xfId="0" applyAlignment="1" applyFont="1">
      <alignment shrinkToFit="0" wrapText="1"/>
    </xf>
    <xf borderId="0" fillId="3" fontId="15" numFmtId="0" xfId="0" applyAlignment="1" applyFont="1">
      <alignment horizontal="center" readingOrder="0"/>
    </xf>
    <xf borderId="0" fillId="3" fontId="1" numFmtId="0" xfId="0" applyAlignment="1" applyFont="1">
      <alignment readingOrder="0"/>
    </xf>
    <xf borderId="0" fillId="3" fontId="4" numFmtId="0" xfId="0" applyAlignment="1" applyFont="1">
      <alignment horizontal="center" readingOrder="0"/>
    </xf>
    <xf borderId="0" fillId="3" fontId="5" numFmtId="0" xfId="0" applyAlignment="1" applyFont="1">
      <alignment horizontal="center"/>
    </xf>
    <xf borderId="0" fillId="3" fontId="4" numFmtId="0" xfId="0" applyAlignment="1" applyFont="1">
      <alignment horizontal="center" shrinkToFit="0" vertical="center" wrapText="1"/>
    </xf>
    <xf borderId="0" fillId="2" fontId="1" numFmtId="0" xfId="0" applyAlignment="1" applyFont="1">
      <alignment horizontal="center" readingOrder="0" shrinkToFit="0" vertical="center" wrapText="1"/>
    </xf>
    <xf borderId="0" fillId="3" fontId="4" numFmtId="0" xfId="0" applyAlignment="1" applyFont="1">
      <alignment horizontal="center" readingOrder="0" shrinkToFit="0" wrapText="1"/>
    </xf>
    <xf borderId="0" fillId="3" fontId="44" numFmtId="0" xfId="0" applyAlignment="1" applyFont="1">
      <alignment horizontal="center" readingOrder="0" shrinkToFit="0" vertical="center" wrapText="1"/>
    </xf>
    <xf borderId="0" fillId="3" fontId="58" numFmtId="0" xfId="0" applyAlignment="1" applyFont="1">
      <alignment horizontal="center" readingOrder="0" shrinkToFit="0" vertical="center" wrapText="1"/>
    </xf>
    <xf borderId="0" fillId="3" fontId="48" numFmtId="0" xfId="0" applyAlignment="1" applyFont="1">
      <alignment horizontal="center" shrinkToFit="0" vertical="center" wrapText="1"/>
    </xf>
    <xf borderId="0" fillId="3" fontId="59" numFmtId="0" xfId="0" applyAlignment="1" applyFont="1">
      <alignment horizontal="center" readingOrder="0" shrinkToFit="0" vertical="center" wrapText="1"/>
    </xf>
    <xf borderId="0" fillId="3" fontId="59" numFmtId="0" xfId="0" applyAlignment="1" applyFont="1">
      <alignment horizontal="center" shrinkToFit="0" vertical="center" wrapText="1"/>
    </xf>
    <xf borderId="0" fillId="3" fontId="5" numFmtId="0" xfId="0" applyAlignment="1" applyFont="1">
      <alignment readingOrder="0"/>
    </xf>
    <xf borderId="0" fillId="8" fontId="37" numFmtId="0" xfId="0" applyFill="1" applyFont="1"/>
    <xf borderId="0" fillId="8" fontId="37" numFmtId="0" xfId="0" applyAlignment="1" applyFont="1">
      <alignment horizontal="center"/>
    </xf>
    <xf borderId="0" fillId="3" fontId="1" numFmtId="0" xfId="0" applyAlignment="1" applyFont="1">
      <alignment horizontal="center"/>
    </xf>
    <xf borderId="0" fillId="3" fontId="57" numFmtId="0" xfId="0" applyAlignment="1" applyFont="1">
      <alignment horizontal="center"/>
    </xf>
    <xf borderId="0" fillId="3" fontId="57" numFmtId="0" xfId="0" applyAlignment="1" applyFont="1">
      <alignment horizontal="center" readingOrder="0"/>
    </xf>
    <xf borderId="0" fillId="3" fontId="60" numFmtId="0" xfId="0" applyFont="1"/>
    <xf borderId="0" fillId="3" fontId="1" numFmtId="0" xfId="0" applyAlignment="1" applyFont="1">
      <alignment horizontal="left"/>
    </xf>
    <xf borderId="0" fillId="3" fontId="57" numFmtId="0" xfId="0" applyAlignment="1" applyFont="1">
      <alignment horizontal="left"/>
    </xf>
    <xf borderId="1" fillId="3" fontId="1" numFmtId="0" xfId="0" applyAlignment="1" applyBorder="1" applyFont="1">
      <alignment horizontal="center" readingOrder="0" shrinkToFit="0" textRotation="0" vertical="center" wrapText="1"/>
    </xf>
    <xf borderId="3" fillId="3" fontId="1" numFmtId="0" xfId="0" applyAlignment="1" applyBorder="1" applyFont="1">
      <alignment horizontal="center" readingOrder="0" shrinkToFit="0" textRotation="0" vertical="center" wrapText="1"/>
    </xf>
    <xf borderId="2" fillId="3" fontId="1" numFmtId="0" xfId="0" applyAlignment="1" applyBorder="1" applyFont="1">
      <alignment horizontal="center" readingOrder="0" shrinkToFit="0" textRotation="0" vertical="center" wrapText="1"/>
    </xf>
    <xf borderId="0" fillId="3" fontId="1" numFmtId="0" xfId="0" applyAlignment="1" applyFont="1">
      <alignment horizontal="center" readingOrder="0" shrinkToFit="0" textRotation="0" vertical="center" wrapText="1"/>
    </xf>
    <xf borderId="7" fillId="3" fontId="4" numFmtId="0" xfId="0" applyAlignment="1" applyBorder="1" applyFont="1">
      <alignment horizontal="left" readingOrder="0" shrinkToFit="0" textRotation="0" vertical="center" wrapText="1"/>
    </xf>
    <xf borderId="8" fillId="3" fontId="57" numFmtId="0" xfId="0" applyAlignment="1" applyBorder="1" applyFont="1">
      <alignment horizontal="center" readingOrder="0" shrinkToFit="0" textRotation="0" vertical="center" wrapText="1"/>
    </xf>
    <xf borderId="8" fillId="3" fontId="1" numFmtId="0" xfId="0" applyAlignment="1" applyBorder="1" applyFont="1">
      <alignment horizontal="center" readingOrder="0" shrinkToFit="0" textRotation="0" vertical="center" wrapText="1"/>
    </xf>
    <xf borderId="4" fillId="3" fontId="57" numFmtId="0" xfId="0" applyAlignment="1" applyBorder="1" applyFont="1">
      <alignment horizontal="center" readingOrder="0" shrinkToFit="0" textRotation="0" vertical="center" wrapText="1"/>
    </xf>
    <xf borderId="0" fillId="3" fontId="57" numFmtId="0" xfId="0" applyAlignment="1" applyFont="1">
      <alignment horizontal="center" readingOrder="0" shrinkToFit="0" textRotation="0" vertical="center" wrapText="1"/>
    </xf>
    <xf borderId="7" fillId="2" fontId="4" numFmtId="0" xfId="0" applyAlignment="1" applyBorder="1" applyFont="1">
      <alignment horizontal="left" readingOrder="0" shrinkToFit="0" textRotation="0" vertical="center" wrapText="1"/>
    </xf>
    <xf borderId="8" fillId="2" fontId="57" numFmtId="0" xfId="0" applyAlignment="1" applyBorder="1" applyFont="1">
      <alignment horizontal="center" shrinkToFit="0" textRotation="0" vertical="center" wrapText="1"/>
    </xf>
    <xf borderId="8" fillId="2" fontId="1" numFmtId="0" xfId="0" applyAlignment="1" applyBorder="1" applyFont="1">
      <alignment horizontal="center" readingOrder="0" shrinkToFit="0" textRotation="0" vertical="center" wrapText="1"/>
    </xf>
    <xf borderId="8" fillId="2" fontId="57" numFmtId="0" xfId="0" applyAlignment="1" applyBorder="1" applyFont="1">
      <alignment horizontal="center" readingOrder="0" shrinkToFit="0" textRotation="0" vertical="center" wrapText="1"/>
    </xf>
    <xf borderId="7" fillId="2" fontId="28" numFmtId="0" xfId="0" applyAlignment="1" applyBorder="1" applyFont="1">
      <alignment horizontal="center" shrinkToFit="0" vertical="center" wrapText="1"/>
    </xf>
    <xf borderId="0" fillId="2" fontId="28" numFmtId="0" xfId="0" applyAlignment="1" applyFont="1">
      <alignment horizontal="center" shrinkToFit="0" vertical="center" wrapText="1"/>
    </xf>
    <xf borderId="8" fillId="2" fontId="28" numFmtId="0" xfId="0" applyAlignment="1" applyBorder="1" applyFont="1">
      <alignment horizontal="center" shrinkToFit="0" vertical="center" wrapText="1"/>
    </xf>
    <xf borderId="0" fillId="3" fontId="57" numFmtId="0" xfId="0" applyAlignment="1" applyFont="1">
      <alignment horizontal="center" shrinkToFit="0" textRotation="0" vertical="center" wrapText="1"/>
    </xf>
    <xf borderId="7" fillId="2" fontId="13" numFmtId="0" xfId="0" applyAlignment="1" applyBorder="1" applyFont="1">
      <alignment horizontal="center" readingOrder="0" shrinkToFit="0" vertical="center" wrapText="1"/>
    </xf>
    <xf borderId="0" fillId="2" fontId="13" numFmtId="0" xfId="0" applyAlignment="1" applyFont="1">
      <alignment horizontal="center" readingOrder="0" shrinkToFit="0" vertical="center" wrapText="1"/>
    </xf>
    <xf borderId="8" fillId="2" fontId="13" numFmtId="0" xfId="0" applyAlignment="1" applyBorder="1" applyFont="1">
      <alignment horizontal="center" readingOrder="0" shrinkToFit="0" vertical="center" wrapText="1"/>
    </xf>
    <xf borderId="8" fillId="3" fontId="57" numFmtId="0" xfId="0" applyAlignment="1" applyBorder="1" applyFont="1">
      <alignment horizontal="center" shrinkToFit="0" textRotation="0" vertical="center" wrapText="1"/>
    </xf>
    <xf borderId="8" fillId="3" fontId="5" numFmtId="0" xfId="0" applyAlignment="1" applyBorder="1" applyFont="1">
      <alignment horizontal="center" shrinkToFit="0" vertical="center" wrapText="1"/>
    </xf>
    <xf borderId="7" fillId="3" fontId="13" numFmtId="0" xfId="0" applyAlignment="1" applyBorder="1" applyFont="1">
      <alignment horizontal="center" readingOrder="0" shrinkToFit="0" textRotation="0" vertical="center" wrapText="1"/>
    </xf>
    <xf borderId="0" fillId="3" fontId="13" numFmtId="0" xfId="0" applyAlignment="1" applyFont="1">
      <alignment horizontal="center" readingOrder="0" shrinkToFit="0" textRotation="0" vertical="center" wrapText="1"/>
    </xf>
    <xf borderId="8" fillId="3" fontId="13" numFmtId="0" xfId="0" applyAlignment="1" applyBorder="1" applyFont="1">
      <alignment horizontal="center" readingOrder="0" shrinkToFit="0" textRotation="0" vertical="center" wrapText="1"/>
    </xf>
    <xf borderId="0" fillId="3" fontId="13" numFmtId="0" xfId="0" applyAlignment="1" applyFont="1">
      <alignment horizontal="center" shrinkToFit="0" textRotation="0" vertical="center" wrapText="1"/>
    </xf>
    <xf borderId="8" fillId="3" fontId="13" numFmtId="0" xfId="0" applyAlignment="1" applyBorder="1" applyFont="1">
      <alignment horizontal="center" shrinkToFit="0" textRotation="0" vertical="center" wrapText="1"/>
    </xf>
    <xf borderId="0" fillId="2" fontId="13" numFmtId="0" xfId="0" applyAlignment="1" applyFont="1">
      <alignment horizontal="center" shrinkToFit="0" textRotation="0" vertical="center" wrapText="1"/>
    </xf>
    <xf borderId="7" fillId="3" fontId="13" numFmtId="0" xfId="0" applyAlignment="1" applyBorder="1" applyFont="1">
      <alignment horizontal="center" shrinkToFit="0" textRotation="0" vertical="center" wrapText="1"/>
    </xf>
    <xf borderId="7" fillId="2" fontId="13" numFmtId="0" xfId="0" applyAlignment="1" applyBorder="1" applyFont="1">
      <alignment horizontal="center" readingOrder="0" shrinkToFit="0" textRotation="0" vertical="center" wrapText="1"/>
    </xf>
    <xf borderId="0" fillId="2" fontId="13" numFmtId="0" xfId="0" applyAlignment="1" applyFont="1">
      <alignment horizontal="center" readingOrder="0" shrinkToFit="0" textRotation="0" vertical="center" wrapText="1"/>
    </xf>
    <xf borderId="8" fillId="2" fontId="13" numFmtId="0" xfId="0" applyAlignment="1" applyBorder="1" applyFont="1">
      <alignment horizontal="center" readingOrder="0" shrinkToFit="0" textRotation="0" vertical="center" wrapText="1"/>
    </xf>
    <xf borderId="7" fillId="2" fontId="13" numFmtId="0" xfId="0" applyAlignment="1" applyBorder="1" applyFont="1">
      <alignment horizontal="center" shrinkToFit="0" textRotation="0" vertical="center" wrapText="1"/>
    </xf>
    <xf borderId="8" fillId="2" fontId="13" numFmtId="0" xfId="0" applyAlignment="1" applyBorder="1" applyFont="1">
      <alignment horizontal="center" shrinkToFit="0" textRotation="0" vertical="center" wrapText="1"/>
    </xf>
    <xf borderId="11" fillId="2" fontId="57" numFmtId="0" xfId="0" applyAlignment="1" applyBorder="1" applyFont="1">
      <alignment horizontal="center" shrinkToFit="0" textRotation="0" vertical="center" wrapText="1"/>
    </xf>
    <xf borderId="9" fillId="2" fontId="13" numFmtId="0" xfId="0" applyAlignment="1" applyBorder="1" applyFont="1">
      <alignment horizontal="center" shrinkToFit="0" textRotation="0" vertical="center" wrapText="1"/>
    </xf>
    <xf borderId="10" fillId="2" fontId="13" numFmtId="0" xfId="0" applyAlignment="1" applyBorder="1" applyFont="1">
      <alignment horizontal="center" shrinkToFit="0" textRotation="0" vertical="center" wrapText="1"/>
    </xf>
    <xf borderId="11" fillId="2" fontId="13" numFmtId="0" xfId="0" applyAlignment="1" applyBorder="1" applyFont="1">
      <alignment horizontal="center" shrinkToFit="0" textRotation="0" vertical="center" wrapText="1"/>
    </xf>
    <xf borderId="0" fillId="3" fontId="4" numFmtId="0" xfId="0" applyAlignment="1" applyFont="1">
      <alignment horizontal="left" shrinkToFit="0" textRotation="0" vertical="center" wrapText="1"/>
    </xf>
    <xf borderId="0" fillId="3" fontId="57" numFmtId="0" xfId="0" applyAlignment="1" applyFont="1">
      <alignment horizontal="left" shrinkToFit="0" textRotation="0" vertical="center" wrapText="1"/>
    </xf>
    <xf borderId="0" fillId="3" fontId="1" numFmtId="0" xfId="0" applyAlignment="1" applyFont="1">
      <alignment horizontal="left" shrinkToFit="0" textRotation="0" vertical="center" wrapText="1"/>
    </xf>
    <xf borderId="0" fillId="3" fontId="4" numFmtId="0" xfId="0" applyAlignment="1" applyFont="1">
      <alignment horizontal="left" shrinkToFit="0" vertical="center" wrapText="1"/>
    </xf>
    <xf borderId="0" fillId="3" fontId="13" numFmtId="0" xfId="0" applyAlignment="1" applyFont="1">
      <alignment horizontal="center"/>
    </xf>
  </cellXfs>
  <cellStyles count="1">
    <cellStyle xfId="0" name="Normal" builtinId="0"/>
  </cellStyles>
  <dxfs count="11">
    <dxf>
      <font>
        <color rgb="FFFF0000"/>
      </font>
      <fill>
        <patternFill patternType="none"/>
      </fill>
      <border/>
    </dxf>
    <dxf>
      <font>
        <color rgb="FF6FA8DC"/>
      </font>
      <fill>
        <patternFill patternType="none"/>
      </fill>
      <border/>
    </dxf>
    <dxf>
      <font>
        <color rgb="FFC9DAF8"/>
      </font>
      <fill>
        <patternFill patternType="none"/>
      </fill>
      <border/>
    </dxf>
    <dxf>
      <font>
        <color rgb="FFFFFF00"/>
      </font>
      <fill>
        <patternFill patternType="none"/>
      </fill>
      <border/>
    </dxf>
    <dxf>
      <font>
        <color rgb="FF666666"/>
      </font>
      <fill>
        <patternFill patternType="none"/>
      </fill>
      <border/>
    </dxf>
    <dxf>
      <font>
        <color rgb="FF00FF00"/>
      </font>
      <fill>
        <patternFill patternType="none"/>
      </fill>
      <border/>
    </dxf>
    <dxf>
      <font>
        <color rgb="FFE69138"/>
      </font>
      <fill>
        <patternFill patternType="none"/>
      </fill>
      <border/>
    </dxf>
    <dxf>
      <font/>
      <fill>
        <patternFill patternType="none"/>
      </fill>
      <border/>
    </dxf>
    <dxf>
      <font/>
      <fill>
        <patternFill patternType="solid">
          <fgColor rgb="FF16113A"/>
          <bgColor rgb="FF16113A"/>
        </patternFill>
      </fill>
      <border/>
    </dxf>
    <dxf>
      <font/>
      <fill>
        <patternFill patternType="solid">
          <fgColor rgb="FF272953"/>
          <bgColor rgb="FF272953"/>
        </patternFill>
      </fill>
      <border/>
    </dxf>
    <dxf>
      <font/>
      <fill>
        <patternFill patternType="solid">
          <fgColor rgb="FFBDBDBD"/>
          <bgColor rgb="FFBDBDBD"/>
        </patternFill>
      </fill>
      <border/>
    </dxf>
  </dxfs>
  <tableStyles count="10">
    <tableStyle count="3" pivot="0" name="Battle Characters-style">
      <tableStyleElement dxfId="8" type="headerRow"/>
      <tableStyleElement dxfId="8" type="firstRowStripe"/>
      <tableStyleElement dxfId="9" type="secondRowStripe"/>
    </tableStyle>
    <tableStyle count="3" pivot="0" name="Protection Characters-style">
      <tableStyleElement dxfId="8" type="headerRow"/>
      <tableStyleElement dxfId="8" type="firstRowStripe"/>
      <tableStyleElement dxfId="9" type="secondRowStripe"/>
    </tableStyle>
    <tableStyle count="3" pivot="0" name="Soul Converter-style">
      <tableStyleElement dxfId="10" type="headerRow"/>
      <tableStyleElement dxfId="8" type="firstRowStripe"/>
      <tableStyleElement dxfId="9" type="secondRowStripe"/>
    </tableStyle>
    <tableStyle count="2" pivot="0" name="Reroll Combos-style">
      <tableStyleElement dxfId="8" type="firstRowStripe"/>
      <tableStyleElement dxfId="9" type="secondRowStripe"/>
    </tableStyle>
    <tableStyle count="2" pivot="0" name="Reroll Combos-style 2">
      <tableStyleElement dxfId="8" type="firstRowStripe"/>
      <tableStyleElement dxfId="9" type="secondRowStripe"/>
    </tableStyle>
    <tableStyle count="2" pivot="0" name="Reroll Combos-style 3">
      <tableStyleElement dxfId="8" type="firstRowStripe"/>
      <tableStyleElement dxfId="9" type="secondRowStripe"/>
    </tableStyle>
    <tableStyle count="2" pivot="0" name="Reroll Combos-style 4">
      <tableStyleElement dxfId="8" type="firstRowStripe"/>
      <tableStyleElement dxfId="9" type="secondRowStripe"/>
    </tableStyle>
    <tableStyle count="2" pivot="0" name="Team Comps-style">
      <tableStyleElement dxfId="9" type="firstRowStripe"/>
      <tableStyleElement dxfId="8" type="secondRowStripe"/>
    </tableStyle>
    <tableStyle count="2" pivot="0" name="Free Units From Story-style">
      <tableStyleElement dxfId="9" type="firstRowStripe"/>
      <tableStyleElement dxfId="8" type="secondRowStripe"/>
    </tableStyle>
    <tableStyle count="2" pivot="0" name="Maps-style">
      <tableStyleElement dxfId="9" type="firstRowStripe"/>
      <tableStyleElement dxfId="8"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png"/><Relationship Id="rId5" Type="http://schemas.openxmlformats.org/officeDocument/2006/relationships/image" Target="../media/image10.png"/><Relationship Id="rId6"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4.xml.rels><?xml version="1.0" encoding="UTF-8" standalone="yes"?><Relationships xmlns="http://schemas.openxmlformats.org/package/2006/relationships"><Relationship Id="rId11" Type="http://schemas.openxmlformats.org/officeDocument/2006/relationships/image" Target="../media/image15.png"/><Relationship Id="rId10" Type="http://schemas.openxmlformats.org/officeDocument/2006/relationships/image" Target="../media/image16.png"/><Relationship Id="rId13" Type="http://schemas.openxmlformats.org/officeDocument/2006/relationships/image" Target="../media/image25.png"/><Relationship Id="rId12" Type="http://schemas.openxmlformats.org/officeDocument/2006/relationships/image" Target="../media/image14.png"/><Relationship Id="rId1" Type="http://schemas.openxmlformats.org/officeDocument/2006/relationships/image" Target="../media/image19.png"/><Relationship Id="rId2" Type="http://schemas.openxmlformats.org/officeDocument/2006/relationships/image" Target="../media/image17.png"/><Relationship Id="rId3" Type="http://schemas.openxmlformats.org/officeDocument/2006/relationships/image" Target="../media/image12.png"/><Relationship Id="rId4" Type="http://schemas.openxmlformats.org/officeDocument/2006/relationships/image" Target="../media/image13.png"/><Relationship Id="rId9" Type="http://schemas.openxmlformats.org/officeDocument/2006/relationships/image" Target="../media/image21.png"/><Relationship Id="rId15" Type="http://schemas.openxmlformats.org/officeDocument/2006/relationships/image" Target="../media/image20.png"/><Relationship Id="rId14" Type="http://schemas.openxmlformats.org/officeDocument/2006/relationships/image" Target="../media/image27.png"/><Relationship Id="rId16" Type="http://schemas.openxmlformats.org/officeDocument/2006/relationships/image" Target="../media/image26.png"/><Relationship Id="rId5" Type="http://schemas.openxmlformats.org/officeDocument/2006/relationships/image" Target="../media/image24.png"/><Relationship Id="rId6" Type="http://schemas.openxmlformats.org/officeDocument/2006/relationships/image" Target="../media/image23.png"/><Relationship Id="rId7" Type="http://schemas.openxmlformats.org/officeDocument/2006/relationships/image" Target="../media/image18.png"/><Relationship Id="rId8"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56</xdr:row>
      <xdr:rowOff>0</xdr:rowOff>
    </xdr:from>
    <xdr:ext cx="2162175" cy="752475"/>
    <xdr:pic>
      <xdr:nvPicPr>
        <xdr:cNvPr id="0" name="image1.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57</xdr:row>
      <xdr:rowOff>0</xdr:rowOff>
    </xdr:from>
    <xdr:ext cx="2162175" cy="752475"/>
    <xdr:pic>
      <xdr:nvPicPr>
        <xdr:cNvPr id="0" name="image2.png" title="Bild"/>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58</xdr:row>
      <xdr:rowOff>0</xdr:rowOff>
    </xdr:from>
    <xdr:ext cx="2162175" cy="752475"/>
    <xdr:pic>
      <xdr:nvPicPr>
        <xdr:cNvPr id="0" name="image3.png" title="Bild"/>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59</xdr:row>
      <xdr:rowOff>0</xdr:rowOff>
    </xdr:from>
    <xdr:ext cx="2162175" cy="752475"/>
    <xdr:pic>
      <xdr:nvPicPr>
        <xdr:cNvPr id="0" name="image4.png" title="Bild"/>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5</xdr:row>
      <xdr:rowOff>0</xdr:rowOff>
    </xdr:from>
    <xdr:ext cx="390525" cy="390525"/>
    <xdr:pic>
      <xdr:nvPicPr>
        <xdr:cNvPr id="0" name="image7.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8</xdr:row>
      <xdr:rowOff>0</xdr:rowOff>
    </xdr:from>
    <xdr:ext cx="390525" cy="390525"/>
    <xdr:pic>
      <xdr:nvPicPr>
        <xdr:cNvPr id="0" name="image8.png" title="Bild"/>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15</xdr:row>
      <xdr:rowOff>0</xdr:rowOff>
    </xdr:from>
    <xdr:ext cx="390525" cy="390525"/>
    <xdr:pic>
      <xdr:nvPicPr>
        <xdr:cNvPr id="0" name="image9.png" title="Bild"/>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29</xdr:row>
      <xdr:rowOff>0</xdr:rowOff>
    </xdr:from>
    <xdr:ext cx="390525" cy="390525"/>
    <xdr:pic>
      <xdr:nvPicPr>
        <xdr:cNvPr id="0" name="image5.png" title="Bild"/>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30</xdr:row>
      <xdr:rowOff>0</xdr:rowOff>
    </xdr:from>
    <xdr:ext cx="390525" cy="390525"/>
    <xdr:pic>
      <xdr:nvPicPr>
        <xdr:cNvPr id="0" name="image10.png" title="Bild"/>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36</xdr:row>
      <xdr:rowOff>0</xdr:rowOff>
    </xdr:from>
    <xdr:ext cx="390525" cy="390525"/>
    <xdr:pic>
      <xdr:nvPicPr>
        <xdr:cNvPr id="0" name="image6.png" title="Bild"/>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533400</xdr:colOff>
      <xdr:row>1</xdr:row>
      <xdr:rowOff>76200</xdr:rowOff>
    </xdr:from>
    <xdr:ext cx="523875" cy="4857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676275" cy="533400"/>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4</xdr:row>
      <xdr:rowOff>0</xdr:rowOff>
    </xdr:from>
    <xdr:ext cx="676275" cy="41910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8</xdr:row>
      <xdr:rowOff>0</xdr:rowOff>
    </xdr:from>
    <xdr:ext cx="600075" cy="63817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12</xdr:row>
      <xdr:rowOff>0</xdr:rowOff>
    </xdr:from>
    <xdr:ext cx="676275" cy="495300"/>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15</xdr:row>
      <xdr:rowOff>0</xdr:rowOff>
    </xdr:from>
    <xdr:ext cx="619125" cy="638175"/>
    <xdr:pic>
      <xdr:nvPicPr>
        <xdr:cNvPr id="0" name="image24.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16</xdr:row>
      <xdr:rowOff>0</xdr:rowOff>
    </xdr:from>
    <xdr:ext cx="676275" cy="552450"/>
    <xdr:pic>
      <xdr:nvPicPr>
        <xdr:cNvPr id="0" name="image23.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18</xdr:row>
      <xdr:rowOff>0</xdr:rowOff>
    </xdr:from>
    <xdr:ext cx="676275" cy="533400"/>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20</xdr:row>
      <xdr:rowOff>0</xdr:rowOff>
    </xdr:from>
    <xdr:ext cx="676275" cy="4286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22</xdr:row>
      <xdr:rowOff>0</xdr:rowOff>
    </xdr:from>
    <xdr:ext cx="676275" cy="523875"/>
    <xdr:pic>
      <xdr:nvPicPr>
        <xdr:cNvPr id="0" name="image21.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24</xdr:row>
      <xdr:rowOff>0</xdr:rowOff>
    </xdr:from>
    <xdr:ext cx="657225" cy="638175"/>
    <xdr:pic>
      <xdr:nvPicPr>
        <xdr:cNvPr id="0" name="image16.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26</xdr:row>
      <xdr:rowOff>0</xdr:rowOff>
    </xdr:from>
    <xdr:ext cx="676275" cy="447675"/>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28</xdr:row>
      <xdr:rowOff>0</xdr:rowOff>
    </xdr:from>
    <xdr:ext cx="657225" cy="638175"/>
    <xdr:pic>
      <xdr:nvPicPr>
        <xdr:cNvPr id="0" name="image14.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30</xdr:row>
      <xdr:rowOff>0</xdr:rowOff>
    </xdr:from>
    <xdr:ext cx="600075" cy="638175"/>
    <xdr:pic>
      <xdr:nvPicPr>
        <xdr:cNvPr id="0" name="image25.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32</xdr:row>
      <xdr:rowOff>0</xdr:rowOff>
    </xdr:from>
    <xdr:ext cx="390525" cy="638175"/>
    <xdr:pic>
      <xdr:nvPicPr>
        <xdr:cNvPr id="0" name="image27.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34</xdr:row>
      <xdr:rowOff>0</xdr:rowOff>
    </xdr:from>
    <xdr:ext cx="523875" cy="638175"/>
    <xdr:pic>
      <xdr:nvPicPr>
        <xdr:cNvPr id="0" name="image20.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36</xdr:row>
      <xdr:rowOff>0</xdr:rowOff>
    </xdr:from>
    <xdr:ext cx="676275" cy="438150"/>
    <xdr:pic>
      <xdr:nvPicPr>
        <xdr:cNvPr id="0" name="image26.png"/>
        <xdr:cNvPicPr preferRelativeResize="0"/>
      </xdr:nvPicPr>
      <xdr:blipFill>
        <a:blip cstate="print" r:embed="rId16"/>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1:BA63" displayName="Table_1" id="1">
  <tableColumns count="5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s>
  <tableStyleInfo name="Battle Character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S27" displayName="Table_2" id="2">
  <tableColumns count="19">
    <tableColumn name="Name" id="1"/>
    <tableColumn name="Picture" id="2"/>
    <tableColumn name="Base Rarity" id="3"/>
    <tableColumn name="Type" id="4"/>
    <tableColumn name="Growth_x000a_Type" id="5"/>
    <tableColumn name="Max HP" id="6"/>
    <tableColumn name="Max ATK" id="7"/>
    <tableColumn name="Max DEF" id="8"/>
    <tableColumn name="hp" id="9"/>
    <tableColumn name="atk" id="10"/>
    <tableColumn name="def" id="11"/>
    <tableColumn name="Weighted Stats Total" id="12"/>
    <tableColumn name="Max Output" id="13"/>
    <tableColumn name="Passive 1" id="14"/>
    <tableColumn name="Passive 2" id="15"/>
    <tableColumn name="Divine Protection" id="16"/>
    <tableColumn name="Protection Skill" id="17"/>
    <tableColumn name="Trait 1" id="18"/>
    <tableColumn name="Trait 2" id="19"/>
  </tableColumns>
  <tableStyleInfo name="Protection Characters-style" showColumnStripes="0" showFirstColumn="1" showLastColumn="1" showRowStripes="1"/>
</table>
</file>

<file path=xl/tables/table3.xml><?xml version="1.0" encoding="utf-8"?>
<table xmlns="http://schemas.openxmlformats.org/spreadsheetml/2006/main" headerRowCount="0" ref="B2:I39" display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Soul Converter-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D8:J8" displayName="Table_4" id="4">
  <tableColumns count="7">
    <tableColumn name="Column1" id="1"/>
    <tableColumn name="Column2" id="2"/>
    <tableColumn name="Column3" id="3"/>
    <tableColumn name="Column4" id="4"/>
    <tableColumn name="Column5" id="5"/>
    <tableColumn name="Column6" id="6"/>
    <tableColumn name="Column7" id="7"/>
  </tableColumns>
  <tableStyleInfo name="Reroll Combos-style" showColumnStripes="0" showFirstColumn="1" showLastColumn="1" showRowStripes="1"/>
</table>
</file>

<file path=xl/tables/table5.xml><?xml version="1.0" encoding="utf-8"?>
<table xmlns="http://schemas.openxmlformats.org/spreadsheetml/2006/main" headerRowCount="0" ref="Y14:AA14" displayName="Table_5" id="5">
  <tableColumns count="3">
    <tableColumn name="Column1" id="1"/>
    <tableColumn name="Column2" id="2"/>
    <tableColumn name="Column3" id="3"/>
  </tableColumns>
  <tableStyleInfo name="Reroll Combos-style 2" showColumnStripes="0" showFirstColumn="1" showLastColumn="1" showRowStripes="1"/>
</table>
</file>

<file path=xl/tables/table6.xml><?xml version="1.0" encoding="utf-8"?>
<table xmlns="http://schemas.openxmlformats.org/spreadsheetml/2006/main" headerRowCount="0" ref="W12:AB12" displayName="Table_6" id="6">
  <tableColumns count="6">
    <tableColumn name="Column1" id="1"/>
    <tableColumn name="Column2" id="2"/>
    <tableColumn name="Column3" id="3"/>
    <tableColumn name="Column4" id="4"/>
    <tableColumn name="Column5" id="5"/>
    <tableColumn name="Column6" id="6"/>
  </tableColumns>
  <tableStyleInfo name="Reroll Combos-style 3" showColumnStripes="0" showFirstColumn="1" showLastColumn="1" showRowStripes="1"/>
</table>
</file>

<file path=xl/tables/table7.xml><?xml version="1.0" encoding="utf-8"?>
<table xmlns="http://schemas.openxmlformats.org/spreadsheetml/2006/main" headerRowCount="0" ref="AD12" displayName="Table_7" id="7">
  <tableColumns count="1">
    <tableColumn name="Column1" id="1"/>
  </tableColumns>
  <tableStyleInfo name="Reroll Combos-style 4" showColumnStripes="0" showFirstColumn="1" showLastColumn="1" showRowStripes="1"/>
</table>
</file>

<file path=xl/tables/table8.xml><?xml version="1.0" encoding="utf-8"?>
<table xmlns="http://schemas.openxmlformats.org/spreadsheetml/2006/main" headerRowCount="0" ref="B38:H39" displayName="Table_8" id="8">
  <tableColumns count="7">
    <tableColumn name="Column1" id="1"/>
    <tableColumn name="Column2" id="2"/>
    <tableColumn name="Column3" id="3"/>
    <tableColumn name="Column4" id="4"/>
    <tableColumn name="Column5" id="5"/>
    <tableColumn name="Column6" id="6"/>
    <tableColumn name="Column7" id="7"/>
  </tableColumns>
  <tableStyleInfo name="Team Comps-style" showColumnStripes="0" showFirstColumn="1" showLastColumn="1" showRowStripes="1"/>
</table>
</file>

<file path=xl/tables/table9.xml><?xml version="1.0" encoding="utf-8"?>
<table xmlns="http://schemas.openxmlformats.org/spreadsheetml/2006/main" headerRowCount="0" ref="A2:B17" displayName="Table_9" id="9">
  <tableColumns count="2">
    <tableColumn name="Column1" id="1"/>
    <tableColumn name="Column2" id="2"/>
  </tableColumns>
  <tableStyleInfo name="Free Units From Story-style" showColumnStripes="0" showFirstColumn="1" showLastColumn="1" showRowStripes="1"/>
</table>
</file>

<file path=xl/tables/table10.xml><?xml version="1.0" encoding="utf-8"?>
<table xmlns="http://schemas.openxmlformats.org/spreadsheetml/2006/main" headerRowCount="0" ref="A6:F39" displayName="Table_10" id="10">
  <tableColumns count="6">
    <tableColumn name="Column1" id="1"/>
    <tableColumn name="Column2" id="2"/>
    <tableColumn name="Column3" id="3"/>
    <tableColumn name="Column4" id="4"/>
    <tableColumn name="Column5" id="5"/>
    <tableColumn name="Column6" id="6"/>
  </tableColumns>
  <tableStyleInfo name="Map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apps.qoo-app.com/en/app/18394" TargetMode="External"/><Relationship Id="rId10" Type="http://schemas.openxmlformats.org/officeDocument/2006/relationships/hyperlink" Target="https://www.taptap.io/app/223385" TargetMode="External"/><Relationship Id="rId13" Type="http://schemas.openxmlformats.org/officeDocument/2006/relationships/drawing" Target="../drawings/drawing1.xml"/><Relationship Id="rId12" Type="http://schemas.openxmlformats.org/officeDocument/2006/relationships/hyperlink" Target="https://apkpure.com/slime-isekai-memories/com.bandainamcoent.tensuramrkww" TargetMode="External"/><Relationship Id="rId1" Type="http://schemas.openxmlformats.org/officeDocument/2006/relationships/hyperlink" Target="http://tiny.cc/isekaimemories" TargetMode="External"/><Relationship Id="rId2" Type="http://schemas.openxmlformats.org/officeDocument/2006/relationships/hyperlink" Target="https://drive.google.com/drive/folders/1wYR0lO_wwL51P1Jl59XjrWYEPxKjEN3M?usp=sharing" TargetMode="External"/><Relationship Id="rId3" Type="http://schemas.openxmlformats.org/officeDocument/2006/relationships/hyperlink" Target="https://imgur.com/a/B1pm5ua" TargetMode="External"/><Relationship Id="rId4" Type="http://schemas.openxmlformats.org/officeDocument/2006/relationships/hyperlink" Target="https://discord.gg/isekaimemories" TargetMode="External"/><Relationship Id="rId9" Type="http://schemas.openxmlformats.org/officeDocument/2006/relationships/hyperlink" Target="https://apps.apple.com/us/app/slime-isekai-memories/id1577316192" TargetMode="External"/><Relationship Id="rId5" Type="http://schemas.openxmlformats.org/officeDocument/2006/relationships/hyperlink" Target="https://www.reddit.com/r/IsekaiMemories/" TargetMode="External"/><Relationship Id="rId6" Type="http://schemas.openxmlformats.org/officeDocument/2006/relationships/hyperlink" Target="https://twitter.com/SlimeIsekaiMemo" TargetMode="External"/><Relationship Id="rId7" Type="http://schemas.openxmlformats.org/officeDocument/2006/relationships/hyperlink" Target="https://altema.jp/sinsaku/675" TargetMode="External"/><Relationship Id="rId8" Type="http://schemas.openxmlformats.org/officeDocument/2006/relationships/hyperlink" Target="https://play.google.com/store/apps/details?id=com.bandainamcoent.tensuramrkww&amp;hl=en_CA&amp;gl=U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docs.google.com/spreadsheets/d/1tV-IGfxTrJ8ZewTTaici4AuQ8vNHBs9xGVEOCjZ8PkE/edit" TargetMode="External"/><Relationship Id="rId42" Type="http://schemas.openxmlformats.org/officeDocument/2006/relationships/hyperlink" Target="https://docs.google.com/spreadsheets/d/1tV-IGfxTrJ8ZewTTaici4AuQ8vNHBs9xGVEOCjZ8PkE/edit" TargetMode="External"/><Relationship Id="rId41" Type="http://schemas.openxmlformats.org/officeDocument/2006/relationships/hyperlink" Target="https://docs.google.com/spreadsheets/d/1tV-IGfxTrJ8ZewTTaici4AuQ8vNHBs9xGVEOCjZ8PkE/edit" TargetMode="External"/><Relationship Id="rId44" Type="http://schemas.openxmlformats.org/officeDocument/2006/relationships/hyperlink" Target="https://docs.google.com/spreadsheets/d/1tV-IGfxTrJ8ZewTTaici4AuQ8vNHBs9xGVEOCjZ8PkE/edit" TargetMode="External"/><Relationship Id="rId43" Type="http://schemas.openxmlformats.org/officeDocument/2006/relationships/hyperlink" Target="https://docs.google.com/spreadsheets/d/1tV-IGfxTrJ8ZewTTaici4AuQ8vNHBs9xGVEOCjZ8PkE/edit" TargetMode="External"/><Relationship Id="rId46" Type="http://schemas.openxmlformats.org/officeDocument/2006/relationships/hyperlink" Target="https://docs.google.com/spreadsheets/d/1tV-IGfxTrJ8ZewTTaici4AuQ8vNHBs9xGVEOCjZ8PkE/edit" TargetMode="External"/><Relationship Id="rId45" Type="http://schemas.openxmlformats.org/officeDocument/2006/relationships/hyperlink" Target="https://docs.google.com/spreadsheets/d/1tV-IGfxTrJ8ZewTTaici4AuQ8vNHBs9xGVEOCjZ8PkE/edit" TargetMode="External"/><Relationship Id="rId1" Type="http://schemas.openxmlformats.org/officeDocument/2006/relationships/comments" Target="../comments1.xml"/><Relationship Id="rId2" Type="http://schemas.openxmlformats.org/officeDocument/2006/relationships/hyperlink" Target="https://docs.google.com/spreadsheets/d/1tV-IGfxTrJ8ZewTTaici4AuQ8vNHBs9xGVEOCjZ8PkE/edit" TargetMode="External"/><Relationship Id="rId3" Type="http://schemas.openxmlformats.org/officeDocument/2006/relationships/hyperlink" Target="https://docs.google.com/spreadsheets/d/1tV-IGfxTrJ8ZewTTaici4AuQ8vNHBs9xGVEOCjZ8PkE/edit" TargetMode="External"/><Relationship Id="rId4" Type="http://schemas.openxmlformats.org/officeDocument/2006/relationships/hyperlink" Target="https://docs.google.com/spreadsheets/d/1tV-IGfxTrJ8ZewTTaici4AuQ8vNHBs9xGVEOCjZ8PkE/edit" TargetMode="External"/><Relationship Id="rId9" Type="http://schemas.openxmlformats.org/officeDocument/2006/relationships/hyperlink" Target="https://docs.google.com/spreadsheets/d/1tV-IGfxTrJ8ZewTTaici4AuQ8vNHBs9xGVEOCjZ8PkE/edit" TargetMode="External"/><Relationship Id="rId48" Type="http://schemas.openxmlformats.org/officeDocument/2006/relationships/hyperlink" Target="https://docs.google.com/spreadsheets/d/1tV-IGfxTrJ8ZewTTaici4AuQ8vNHBs9xGVEOCjZ8PkE/edit" TargetMode="External"/><Relationship Id="rId47" Type="http://schemas.openxmlformats.org/officeDocument/2006/relationships/hyperlink" Target="https://docs.google.com/spreadsheets/d/1tV-IGfxTrJ8ZewTTaici4AuQ8vNHBs9xGVEOCjZ8PkE/edit" TargetMode="External"/><Relationship Id="rId49" Type="http://schemas.openxmlformats.org/officeDocument/2006/relationships/hyperlink" Target="https://docs.google.com/spreadsheets/d/1tV-IGfxTrJ8ZewTTaici4AuQ8vNHBs9xGVEOCjZ8PkE/edit" TargetMode="External"/><Relationship Id="rId5" Type="http://schemas.openxmlformats.org/officeDocument/2006/relationships/hyperlink" Target="https://docs.google.com/spreadsheets/d/1tV-IGfxTrJ8ZewTTaici4AuQ8vNHBs9xGVEOCjZ8PkE/edit" TargetMode="External"/><Relationship Id="rId6" Type="http://schemas.openxmlformats.org/officeDocument/2006/relationships/hyperlink" Target="https://docs.google.com/spreadsheets/d/1tV-IGfxTrJ8ZewTTaici4AuQ8vNHBs9xGVEOCjZ8PkE/edit" TargetMode="External"/><Relationship Id="rId7" Type="http://schemas.openxmlformats.org/officeDocument/2006/relationships/hyperlink" Target="https://docs.google.com/spreadsheets/d/1tV-IGfxTrJ8ZewTTaici4AuQ8vNHBs9xGVEOCjZ8PkE/edit" TargetMode="External"/><Relationship Id="rId8" Type="http://schemas.openxmlformats.org/officeDocument/2006/relationships/hyperlink" Target="https://docs.google.com/spreadsheets/d/1tV-IGfxTrJ8ZewTTaici4AuQ8vNHBs9xGVEOCjZ8PkE/edit" TargetMode="External"/><Relationship Id="rId31" Type="http://schemas.openxmlformats.org/officeDocument/2006/relationships/hyperlink" Target="https://docs.google.com/spreadsheets/d/1tV-IGfxTrJ8ZewTTaici4AuQ8vNHBs9xGVEOCjZ8PkE/edit" TargetMode="External"/><Relationship Id="rId30" Type="http://schemas.openxmlformats.org/officeDocument/2006/relationships/hyperlink" Target="https://docs.google.com/spreadsheets/d/1tV-IGfxTrJ8ZewTTaici4AuQ8vNHBs9xGVEOCjZ8PkE/edit" TargetMode="External"/><Relationship Id="rId33" Type="http://schemas.openxmlformats.org/officeDocument/2006/relationships/hyperlink" Target="https://docs.google.com/spreadsheets/d/1tV-IGfxTrJ8ZewTTaici4AuQ8vNHBs9xGVEOCjZ8PkE/edit" TargetMode="External"/><Relationship Id="rId32" Type="http://schemas.openxmlformats.org/officeDocument/2006/relationships/hyperlink" Target="https://docs.google.com/spreadsheets/d/1tV-IGfxTrJ8ZewTTaici4AuQ8vNHBs9xGVEOCjZ8PkE/edit" TargetMode="External"/><Relationship Id="rId35" Type="http://schemas.openxmlformats.org/officeDocument/2006/relationships/hyperlink" Target="https://docs.google.com/spreadsheets/d/1tV-IGfxTrJ8ZewTTaici4AuQ8vNHBs9xGVEOCjZ8PkE/edit" TargetMode="External"/><Relationship Id="rId34" Type="http://schemas.openxmlformats.org/officeDocument/2006/relationships/hyperlink" Target="https://docs.google.com/spreadsheets/d/1tV-IGfxTrJ8ZewTTaici4AuQ8vNHBs9xGVEOCjZ8PkE/edit" TargetMode="External"/><Relationship Id="rId37" Type="http://schemas.openxmlformats.org/officeDocument/2006/relationships/hyperlink" Target="https://docs.google.com/spreadsheets/d/1tV-IGfxTrJ8ZewTTaici4AuQ8vNHBs9xGVEOCjZ8PkE/edit" TargetMode="External"/><Relationship Id="rId36" Type="http://schemas.openxmlformats.org/officeDocument/2006/relationships/hyperlink" Target="https://docs.google.com/spreadsheets/d/1tV-IGfxTrJ8ZewTTaici4AuQ8vNHBs9xGVEOCjZ8PkE/edit" TargetMode="External"/><Relationship Id="rId39" Type="http://schemas.openxmlformats.org/officeDocument/2006/relationships/hyperlink" Target="https://docs.google.com/spreadsheets/d/1tV-IGfxTrJ8ZewTTaici4AuQ8vNHBs9xGVEOCjZ8PkE/edit" TargetMode="External"/><Relationship Id="rId38" Type="http://schemas.openxmlformats.org/officeDocument/2006/relationships/hyperlink" Target="https://docs.google.com/spreadsheets/d/1tV-IGfxTrJ8ZewTTaici4AuQ8vNHBs9xGVEOCjZ8PkE/edit" TargetMode="External"/><Relationship Id="rId20" Type="http://schemas.openxmlformats.org/officeDocument/2006/relationships/hyperlink" Target="https://docs.google.com/spreadsheets/d/1tV-IGfxTrJ8ZewTTaici4AuQ8vNHBs9xGVEOCjZ8PkE/edit" TargetMode="External"/><Relationship Id="rId22" Type="http://schemas.openxmlformats.org/officeDocument/2006/relationships/hyperlink" Target="https://docs.google.com/spreadsheets/d/1tV-IGfxTrJ8ZewTTaici4AuQ8vNHBs9xGVEOCjZ8PkE/edit" TargetMode="External"/><Relationship Id="rId21" Type="http://schemas.openxmlformats.org/officeDocument/2006/relationships/hyperlink" Target="https://docs.google.com/spreadsheets/d/1tV-IGfxTrJ8ZewTTaici4AuQ8vNHBs9xGVEOCjZ8PkE/edit" TargetMode="External"/><Relationship Id="rId24" Type="http://schemas.openxmlformats.org/officeDocument/2006/relationships/hyperlink" Target="https://docs.google.com/spreadsheets/d/1tV-IGfxTrJ8ZewTTaici4AuQ8vNHBs9xGVEOCjZ8PkE/edit" TargetMode="External"/><Relationship Id="rId23" Type="http://schemas.openxmlformats.org/officeDocument/2006/relationships/hyperlink" Target="https://docs.google.com/spreadsheets/d/1tV-IGfxTrJ8ZewTTaici4AuQ8vNHBs9xGVEOCjZ8PkE/edit" TargetMode="External"/><Relationship Id="rId26" Type="http://schemas.openxmlformats.org/officeDocument/2006/relationships/hyperlink" Target="https://docs.google.com/spreadsheets/d/1tV-IGfxTrJ8ZewTTaici4AuQ8vNHBs9xGVEOCjZ8PkE/edit" TargetMode="External"/><Relationship Id="rId25" Type="http://schemas.openxmlformats.org/officeDocument/2006/relationships/hyperlink" Target="https://docs.google.com/spreadsheets/d/1tV-IGfxTrJ8ZewTTaici4AuQ8vNHBs9xGVEOCjZ8PkE/edit" TargetMode="External"/><Relationship Id="rId28" Type="http://schemas.openxmlformats.org/officeDocument/2006/relationships/hyperlink" Target="https://docs.google.com/spreadsheets/d/1tV-IGfxTrJ8ZewTTaici4AuQ8vNHBs9xGVEOCjZ8PkE/edit" TargetMode="External"/><Relationship Id="rId27" Type="http://schemas.openxmlformats.org/officeDocument/2006/relationships/hyperlink" Target="https://docs.google.com/spreadsheets/d/1tV-IGfxTrJ8ZewTTaici4AuQ8vNHBs9xGVEOCjZ8PkE/edit" TargetMode="External"/><Relationship Id="rId29" Type="http://schemas.openxmlformats.org/officeDocument/2006/relationships/hyperlink" Target="https://docs.google.com/spreadsheets/d/1tV-IGfxTrJ8ZewTTaici4AuQ8vNHBs9xGVEOCjZ8PkE/edit" TargetMode="External"/><Relationship Id="rId51" Type="http://schemas.openxmlformats.org/officeDocument/2006/relationships/hyperlink" Target="https://docs.google.com/spreadsheets/d/1tV-IGfxTrJ8ZewTTaici4AuQ8vNHBs9xGVEOCjZ8PkE/edit" TargetMode="External"/><Relationship Id="rId50" Type="http://schemas.openxmlformats.org/officeDocument/2006/relationships/hyperlink" Target="https://docs.google.com/spreadsheets/d/1tV-IGfxTrJ8ZewTTaici4AuQ8vNHBs9xGVEOCjZ8PkE/edit" TargetMode="External"/><Relationship Id="rId53" Type="http://schemas.openxmlformats.org/officeDocument/2006/relationships/hyperlink" Target="https://docs.google.com/spreadsheets/d/1tV-IGfxTrJ8ZewTTaici4AuQ8vNHBs9xGVEOCjZ8PkE/edit" TargetMode="External"/><Relationship Id="rId52" Type="http://schemas.openxmlformats.org/officeDocument/2006/relationships/hyperlink" Target="https://docs.google.com/spreadsheets/d/1tV-IGfxTrJ8ZewTTaici4AuQ8vNHBs9xGVEOCjZ8PkE/edit" TargetMode="External"/><Relationship Id="rId11" Type="http://schemas.openxmlformats.org/officeDocument/2006/relationships/hyperlink" Target="https://docs.google.com/spreadsheets/d/1tV-IGfxTrJ8ZewTTaici4AuQ8vNHBs9xGVEOCjZ8PkE/edit" TargetMode="External"/><Relationship Id="rId55" Type="http://schemas.openxmlformats.org/officeDocument/2006/relationships/drawing" Target="../drawings/drawing4.xml"/><Relationship Id="rId10" Type="http://schemas.openxmlformats.org/officeDocument/2006/relationships/hyperlink" Target="https://docs.google.com/spreadsheets/d/1tV-IGfxTrJ8ZewTTaici4AuQ8vNHBs9xGVEOCjZ8PkE/edit" TargetMode="External"/><Relationship Id="rId54" Type="http://schemas.openxmlformats.org/officeDocument/2006/relationships/hyperlink" Target="https://docs.google.com/spreadsheets/d/1tV-IGfxTrJ8ZewTTaici4AuQ8vNHBs9xGVEOCjZ8PkE/edit" TargetMode="External"/><Relationship Id="rId13" Type="http://schemas.openxmlformats.org/officeDocument/2006/relationships/hyperlink" Target="https://docs.google.com/spreadsheets/d/1tV-IGfxTrJ8ZewTTaici4AuQ8vNHBs9xGVEOCjZ8PkE/edit" TargetMode="External"/><Relationship Id="rId12" Type="http://schemas.openxmlformats.org/officeDocument/2006/relationships/hyperlink" Target="https://docs.google.com/spreadsheets/d/1tV-IGfxTrJ8ZewTTaici4AuQ8vNHBs9xGVEOCjZ8PkE/edit" TargetMode="External"/><Relationship Id="rId56" Type="http://schemas.openxmlformats.org/officeDocument/2006/relationships/vmlDrawing" Target="../drawings/vmlDrawing1.vml"/><Relationship Id="rId15" Type="http://schemas.openxmlformats.org/officeDocument/2006/relationships/hyperlink" Target="https://docs.google.com/spreadsheets/d/1tV-IGfxTrJ8ZewTTaici4AuQ8vNHBs9xGVEOCjZ8PkE/edit" TargetMode="External"/><Relationship Id="rId14" Type="http://schemas.openxmlformats.org/officeDocument/2006/relationships/hyperlink" Target="https://docs.google.com/spreadsheets/d/1tV-IGfxTrJ8ZewTTaici4AuQ8vNHBs9xGVEOCjZ8PkE/edit" TargetMode="External"/><Relationship Id="rId58" Type="http://schemas.openxmlformats.org/officeDocument/2006/relationships/table" Target="../tables/table1.xml"/><Relationship Id="rId17" Type="http://schemas.openxmlformats.org/officeDocument/2006/relationships/hyperlink" Target="https://docs.google.com/spreadsheets/d/1tV-IGfxTrJ8ZewTTaici4AuQ8vNHBs9xGVEOCjZ8PkE/edit" TargetMode="External"/><Relationship Id="rId16" Type="http://schemas.openxmlformats.org/officeDocument/2006/relationships/hyperlink" Target="https://docs.google.com/spreadsheets/d/1tV-IGfxTrJ8ZewTTaici4AuQ8vNHBs9xGVEOCjZ8PkE/edit" TargetMode="External"/><Relationship Id="rId19" Type="http://schemas.openxmlformats.org/officeDocument/2006/relationships/hyperlink" Target="https://docs.google.com/spreadsheets/d/1tV-IGfxTrJ8ZewTTaici4AuQ8vNHBs9xGVEOCjZ8PkE/edit" TargetMode="External"/><Relationship Id="rId18" Type="http://schemas.openxmlformats.org/officeDocument/2006/relationships/hyperlink" Target="https://docs.google.com/spreadsheets/d/1tV-IGfxTrJ8ZewTTaici4AuQ8vNHBs9xGVEOCjZ8PkE/edi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9" Type="http://schemas.openxmlformats.org/officeDocument/2006/relationships/table" Target="../tables/table7.xml"/><Relationship Id="rId6" Type="http://schemas.openxmlformats.org/officeDocument/2006/relationships/table" Target="../tables/table4.xml"/><Relationship Id="rId7" Type="http://schemas.openxmlformats.org/officeDocument/2006/relationships/table" Target="../tables/table5.xml"/><Relationship Id="rId8"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hyperlink" Target="https://docs.google.com/spreadsheets/d/1Ky3IvYEukI_M91VahMWgEp7o_x2zVMhLc1mfu3hpU6U/edit" TargetMode="External"/><Relationship Id="rId2" Type="http://schemas.openxmlformats.org/officeDocument/2006/relationships/hyperlink" Target="https://forum.gamer.com.tw/C.php?bsn=70913&amp;snA=761&amp;last=1" TargetMode="External"/><Relationship Id="rId3" Type="http://schemas.openxmlformats.org/officeDocument/2006/relationships/hyperlink" Target="https://www.reddit.com/r/IsekaiMemories/comments/r1v69f/damage_calc_of_isekai_memories/"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showGridLines="0" workbookViewId="0"/>
  </sheetViews>
  <sheetFormatPr customHeight="1" defaultColWidth="14.43" defaultRowHeight="15.75"/>
  <cols>
    <col customWidth="1" min="1" max="1" width="4.29"/>
    <col customWidth="1" min="2" max="2" width="47.14"/>
    <col customWidth="1" min="3" max="3" width="4.29"/>
  </cols>
  <sheetData>
    <row r="1">
      <c r="A1" s="1"/>
      <c r="B1" s="2"/>
      <c r="C1" s="3"/>
    </row>
    <row r="2">
      <c r="A2" s="3"/>
      <c r="B2" s="4" t="s">
        <v>0</v>
      </c>
      <c r="C2" s="3"/>
    </row>
    <row r="3" ht="121.5" customHeight="1">
      <c r="A3" s="5"/>
      <c r="B3" s="6" t="str">
        <f>image("https://ten-sura-m.bn-ent.net/assets/img/lang/en/home/footer-logo.png")</f>
        <v/>
      </c>
      <c r="C3" s="7"/>
    </row>
    <row r="4" ht="35.25" customHeight="1">
      <c r="A4" s="5"/>
      <c r="B4" s="6" t="str">
        <f>image("https://cdn.discordapp.com/emojis/745771159848747049.png?size=128")</f>
        <v/>
      </c>
      <c r="C4" s="5"/>
    </row>
    <row r="5" ht="33.0" customHeight="1">
      <c r="A5" s="5"/>
      <c r="B5" s="8" t="s">
        <v>1</v>
      </c>
      <c r="C5" s="5"/>
    </row>
    <row r="6">
      <c r="A6" s="5"/>
      <c r="B6" s="5"/>
      <c r="C6" s="5"/>
    </row>
    <row r="7">
      <c r="A7" s="5"/>
      <c r="B7" s="9" t="s">
        <v>2</v>
      </c>
      <c r="C7" s="5"/>
    </row>
    <row r="8">
      <c r="A8" s="5"/>
      <c r="B8" s="10" t="s">
        <v>3</v>
      </c>
      <c r="C8" s="5"/>
    </row>
    <row r="9">
      <c r="A9" s="5"/>
      <c r="B9" s="11"/>
      <c r="C9" s="5"/>
    </row>
    <row r="10">
      <c r="A10" s="12"/>
      <c r="B10" s="13" t="s">
        <v>4</v>
      </c>
      <c r="C10" s="12"/>
    </row>
    <row r="11">
      <c r="A11" s="14"/>
      <c r="B11" s="13" t="s">
        <v>5</v>
      </c>
      <c r="C11" s="14"/>
    </row>
    <row r="12">
      <c r="A12" s="14"/>
      <c r="B12" s="13" t="s">
        <v>6</v>
      </c>
      <c r="C12" s="14"/>
    </row>
    <row r="13">
      <c r="A13" s="14"/>
      <c r="B13" s="13" t="s">
        <v>7</v>
      </c>
      <c r="C13" s="14"/>
    </row>
    <row r="14">
      <c r="A14" s="14"/>
      <c r="B14" s="13" t="s">
        <v>8</v>
      </c>
      <c r="C14" s="14"/>
    </row>
    <row r="15">
      <c r="A15" s="14"/>
      <c r="B15" s="15"/>
      <c r="C15" s="14"/>
    </row>
    <row r="16">
      <c r="A16" s="14"/>
      <c r="B16" s="16" t="s">
        <v>9</v>
      </c>
      <c r="C16" s="14"/>
    </row>
    <row r="17">
      <c r="A17" s="14"/>
      <c r="B17" s="13" t="s">
        <v>10</v>
      </c>
      <c r="C17" s="14"/>
    </row>
    <row r="18">
      <c r="A18" s="14"/>
      <c r="B18" s="13" t="s">
        <v>11</v>
      </c>
      <c r="C18" s="14"/>
    </row>
    <row r="19">
      <c r="A19" s="14"/>
      <c r="B19" s="13" t="s">
        <v>12</v>
      </c>
      <c r="C19" s="14"/>
    </row>
    <row r="20">
      <c r="A20" s="14"/>
      <c r="B20" s="13" t="s">
        <v>13</v>
      </c>
      <c r="C20" s="14"/>
    </row>
    <row r="21">
      <c r="A21" s="14"/>
      <c r="B21" s="15"/>
      <c r="C21" s="14"/>
    </row>
    <row r="22">
      <c r="A22" s="5"/>
      <c r="B22" s="16" t="s">
        <v>14</v>
      </c>
      <c r="C22" s="5"/>
    </row>
    <row r="23">
      <c r="A23" s="5"/>
      <c r="B23" s="13" t="s">
        <v>15</v>
      </c>
      <c r="C23" s="5"/>
    </row>
    <row r="24">
      <c r="A24" s="5"/>
      <c r="B24" s="13" t="s">
        <v>16</v>
      </c>
      <c r="C24" s="5"/>
    </row>
    <row r="25">
      <c r="A25" s="5"/>
      <c r="B25" s="13" t="s">
        <v>17</v>
      </c>
      <c r="C25" s="5"/>
    </row>
    <row r="26">
      <c r="A26" s="5"/>
      <c r="B26" s="13" t="s">
        <v>18</v>
      </c>
      <c r="C26" s="5"/>
    </row>
    <row r="27">
      <c r="A27" s="5"/>
      <c r="B27" s="17" t="s">
        <v>19</v>
      </c>
      <c r="C27" s="5"/>
    </row>
    <row r="28">
      <c r="A28" s="5"/>
      <c r="B28" s="18"/>
      <c r="C28" s="5"/>
    </row>
    <row r="29">
      <c r="A29" s="5"/>
      <c r="B29" s="19"/>
      <c r="C29" s="5"/>
    </row>
    <row r="30" ht="1.5" customHeight="1">
      <c r="A30" s="5"/>
      <c r="B30" s="20"/>
      <c r="C30" s="21" t="str">
        <f>image(googleanalytics("UA-211282305-1","MainSpreadsheet","Welcome"))</f>
        <v/>
      </c>
    </row>
    <row r="31" ht="1.5" customHeight="1">
      <c r="A31" s="5"/>
      <c r="B31" s="20"/>
      <c r="C31" s="21"/>
    </row>
    <row r="32" ht="1.5" customHeight="1">
      <c r="A32" s="5"/>
      <c r="B32" s="20"/>
      <c r="C32" s="21"/>
    </row>
  </sheetData>
  <hyperlinks>
    <hyperlink r:id="rId1" ref="B8"/>
    <hyperlink display="WIP Reroll Guide" location="Reroll!A1" ref="B10"/>
    <hyperlink display="Battle Characters" location="Battle Characters!A1" ref="B11"/>
    <hyperlink display="Protection Characters" location="Protection Characters!A1" ref="B12"/>
    <hyperlink r:id="rId2" ref="B13"/>
    <hyperlink r:id="rId3" ref="B14"/>
    <hyperlink r:id="rId4" ref="B17"/>
    <hyperlink r:id="rId5" ref="B18"/>
    <hyperlink r:id="rId6" ref="B19"/>
    <hyperlink r:id="rId7" ref="B20"/>
    <hyperlink r:id="rId8" ref="B23"/>
    <hyperlink r:id="rId9" ref="B24"/>
    <hyperlink r:id="rId10" ref="B25"/>
    <hyperlink r:id="rId11" ref="B26"/>
    <hyperlink r:id="rId12" ref="B27"/>
  </hyperlinks>
  <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4.29"/>
    <col customWidth="1" min="2" max="2" width="45.57"/>
    <col customWidth="1" min="3" max="3" width="4.29"/>
  </cols>
  <sheetData>
    <row r="1">
      <c r="A1" s="3"/>
      <c r="B1" s="2"/>
      <c r="C1" s="3"/>
    </row>
    <row r="2">
      <c r="A2" s="3"/>
      <c r="B2" s="4" t="s">
        <v>4</v>
      </c>
      <c r="C2" s="3"/>
    </row>
    <row r="3">
      <c r="A3" s="5"/>
      <c r="B3" s="22"/>
      <c r="C3" s="5"/>
    </row>
    <row r="4">
      <c r="A4" s="5"/>
      <c r="B4" s="23" t="s">
        <v>20</v>
      </c>
      <c r="C4" s="5"/>
    </row>
    <row r="5">
      <c r="A5" s="5"/>
      <c r="B5" s="23" t="s">
        <v>21</v>
      </c>
      <c r="C5" s="5"/>
    </row>
    <row r="6">
      <c r="A6" s="5"/>
      <c r="B6" s="23" t="s">
        <v>22</v>
      </c>
      <c r="C6" s="5"/>
    </row>
    <row r="7">
      <c r="A7" s="5"/>
      <c r="B7" s="5"/>
      <c r="C7" s="5"/>
    </row>
    <row r="8">
      <c r="A8" s="5"/>
      <c r="B8" s="24" t="s">
        <v>23</v>
      </c>
      <c r="C8" s="5"/>
    </row>
    <row r="9">
      <c r="A9" s="12"/>
      <c r="B9" s="25" t="s">
        <v>24</v>
      </c>
      <c r="C9" s="12"/>
    </row>
    <row r="10">
      <c r="A10" s="5"/>
      <c r="B10" s="25" t="s">
        <v>25</v>
      </c>
      <c r="C10" s="5"/>
    </row>
    <row r="11">
      <c r="A11" s="5"/>
      <c r="B11" s="26" t="s">
        <v>26</v>
      </c>
      <c r="C11" s="5"/>
    </row>
    <row r="12" hidden="1">
      <c r="A12" s="5"/>
      <c r="B12" s="27" t="s">
        <v>27</v>
      </c>
      <c r="C12" s="5"/>
    </row>
    <row r="13" hidden="1">
      <c r="A13" s="5"/>
      <c r="B13" s="28" t="s">
        <v>28</v>
      </c>
      <c r="C13" s="5"/>
    </row>
    <row r="14" hidden="1">
      <c r="A14" s="14"/>
      <c r="B14" s="29" t="s">
        <v>29</v>
      </c>
      <c r="C14" s="14"/>
    </row>
    <row r="15" hidden="1">
      <c r="A15" s="14"/>
      <c r="B15" s="29" t="s">
        <v>30</v>
      </c>
      <c r="C15" s="14"/>
    </row>
    <row r="16" hidden="1">
      <c r="A16" s="14"/>
      <c r="B16" s="29" t="s">
        <v>31</v>
      </c>
      <c r="C16" s="14" t="s">
        <v>32</v>
      </c>
    </row>
    <row r="17" hidden="1">
      <c r="A17" s="5"/>
      <c r="B17" s="29" t="s">
        <v>33</v>
      </c>
      <c r="C17" s="5"/>
    </row>
    <row r="18" hidden="1">
      <c r="A18" s="5"/>
      <c r="B18" s="29" t="s">
        <v>34</v>
      </c>
      <c r="C18" s="5"/>
    </row>
    <row r="19" hidden="1">
      <c r="A19" s="5"/>
      <c r="B19" s="29" t="s">
        <v>35</v>
      </c>
      <c r="C19" s="5"/>
    </row>
    <row r="20" hidden="1">
      <c r="A20" s="5"/>
      <c r="B20" s="29" t="s">
        <v>36</v>
      </c>
      <c r="C20" s="5"/>
    </row>
    <row r="21" hidden="1">
      <c r="A21" s="5"/>
      <c r="B21" s="29" t="s">
        <v>37</v>
      </c>
      <c r="C21" s="5"/>
    </row>
    <row r="22">
      <c r="A22" s="5"/>
      <c r="B22" s="30"/>
      <c r="C22" s="5"/>
    </row>
    <row r="23">
      <c r="A23" s="5"/>
      <c r="B23" s="28" t="s">
        <v>38</v>
      </c>
      <c r="C23" s="5"/>
    </row>
    <row r="24">
      <c r="A24" s="5"/>
      <c r="B24" s="28" t="s">
        <v>39</v>
      </c>
      <c r="C24" s="5"/>
    </row>
    <row r="25">
      <c r="A25" s="5"/>
      <c r="B25" s="31"/>
      <c r="C25" s="5"/>
    </row>
    <row r="26">
      <c r="A26" s="5"/>
      <c r="B26" s="29" t="s">
        <v>40</v>
      </c>
      <c r="C26" s="5"/>
    </row>
    <row r="27">
      <c r="A27" s="5"/>
      <c r="B27" s="32"/>
      <c r="C27" s="5"/>
    </row>
    <row r="28">
      <c r="A28" s="5"/>
      <c r="B28" s="33" t="s">
        <v>41</v>
      </c>
      <c r="C28" s="5"/>
    </row>
    <row r="29">
      <c r="A29" s="5"/>
      <c r="B29" s="5"/>
      <c r="C29"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14"/>
    <col customWidth="1" min="2" max="2" width="32.43"/>
    <col customWidth="1" min="3" max="3" width="42.86"/>
    <col customWidth="1" min="4" max="4" width="21.29"/>
    <col customWidth="1" min="5" max="5" width="20.57"/>
  </cols>
  <sheetData>
    <row r="1">
      <c r="A1" s="34" t="s">
        <v>42</v>
      </c>
      <c r="B1" s="34" t="s">
        <v>43</v>
      </c>
      <c r="C1" s="34" t="s">
        <v>44</v>
      </c>
      <c r="D1" s="35" t="s">
        <v>45</v>
      </c>
      <c r="E1" s="35" t="s">
        <v>46</v>
      </c>
    </row>
    <row r="2" ht="95.25" customHeight="1">
      <c r="A2" s="36" t="s">
        <v>47</v>
      </c>
      <c r="B2" s="37" t="str">
        <f>image("https://i2.wp.com/wp-corp.qoo-app.com/en/wp-content/uploads/sites/3/2021/10/21102710063113.jpeg?resize=1024%2C583")</f>
        <v/>
      </c>
      <c r="C2" s="36" t="s">
        <v>48</v>
      </c>
      <c r="D2" s="38">
        <v>44497.0</v>
      </c>
      <c r="E2" s="39" t="s">
        <v>49</v>
      </c>
    </row>
    <row r="3" ht="65.25" customHeight="1">
      <c r="A3" s="36" t="s">
        <v>50</v>
      </c>
      <c r="B3" s="40" t="str">
        <f>image("https://i.imgur.com/Vy4FmGl.png")</f>
        <v/>
      </c>
      <c r="C3" s="36" t="s">
        <v>51</v>
      </c>
      <c r="D3" s="38">
        <v>44497.0</v>
      </c>
      <c r="E3" s="38">
        <v>44509.0</v>
      </c>
    </row>
    <row r="4" ht="64.5" customHeight="1">
      <c r="A4" s="36" t="s">
        <v>52</v>
      </c>
      <c r="B4" s="40" t="str">
        <f>image("https://i.imgur.com/DF9CrKg.png")</f>
        <v/>
      </c>
      <c r="C4" s="36" t="s">
        <v>53</v>
      </c>
      <c r="D4" s="38">
        <v>44497.0</v>
      </c>
      <c r="E4" s="38">
        <v>44504.0</v>
      </c>
    </row>
    <row r="5" ht="64.5" customHeight="1">
      <c r="A5" s="36" t="s">
        <v>54</v>
      </c>
      <c r="B5" s="40" t="str">
        <f>image("https://i.imgur.com/D0wyPSo.png")</f>
        <v/>
      </c>
      <c r="C5" s="36" t="s">
        <v>55</v>
      </c>
      <c r="D5" s="38">
        <v>44497.0</v>
      </c>
      <c r="E5" s="38">
        <v>44509.0</v>
      </c>
    </row>
    <row r="6" ht="64.5" customHeight="1">
      <c r="A6" s="36" t="s">
        <v>56</v>
      </c>
      <c r="B6" s="40" t="str">
        <f>image("https://i.imgur.com/ugHjmEM.png
")</f>
        <v/>
      </c>
      <c r="C6" s="36" t="s">
        <v>57</v>
      </c>
      <c r="D6" s="38">
        <v>44497.0</v>
      </c>
      <c r="E6" s="41" t="s">
        <v>58</v>
      </c>
    </row>
    <row r="7" ht="64.5" customHeight="1">
      <c r="A7" s="42" t="s">
        <v>59</v>
      </c>
      <c r="B7" s="40" t="str">
        <f>image("https://i.imgur.com/iVbI43Z.png")</f>
        <v/>
      </c>
      <c r="C7" s="36" t="s">
        <v>60</v>
      </c>
      <c r="D7" s="38">
        <v>44501.0</v>
      </c>
      <c r="E7" s="38">
        <v>44537.0</v>
      </c>
    </row>
    <row r="8" ht="64.5" customHeight="1">
      <c r="A8" s="36" t="s">
        <v>61</v>
      </c>
      <c r="B8" s="40" t="str">
        <f>image("https://i.imgur.com/X1FLdLS.png")</f>
        <v/>
      </c>
      <c r="C8" s="36" t="s">
        <v>62</v>
      </c>
      <c r="D8" s="38">
        <v>44501.0</v>
      </c>
      <c r="E8" s="38">
        <v>44529.0</v>
      </c>
    </row>
    <row r="9" ht="64.5" customHeight="1">
      <c r="A9" s="36" t="s">
        <v>63</v>
      </c>
      <c r="B9" s="40" t="str">
        <f>image("https://i.imgur.com/b6zdGn8.png")</f>
        <v/>
      </c>
      <c r="C9" s="36" t="s">
        <v>64</v>
      </c>
      <c r="D9" s="38">
        <v>44501.0</v>
      </c>
      <c r="E9" s="38">
        <v>44529.0</v>
      </c>
    </row>
    <row r="10" ht="64.5" customHeight="1">
      <c r="A10" s="36" t="s">
        <v>65</v>
      </c>
      <c r="B10" s="40" t="str">
        <f>image("https://i.imgur.com/JXYagEq.png")</f>
        <v/>
      </c>
      <c r="C10" s="36" t="s">
        <v>66</v>
      </c>
      <c r="D10" s="38">
        <v>44501.0</v>
      </c>
      <c r="E10" s="38">
        <v>44529.0</v>
      </c>
    </row>
    <row r="11" ht="64.5" customHeight="1">
      <c r="A11" s="36" t="s">
        <v>67</v>
      </c>
      <c r="B11" s="40" t="str">
        <f>image("https://i.imgur.com/uDSqJKC.png")</f>
        <v/>
      </c>
      <c r="C11" s="36" t="s">
        <v>68</v>
      </c>
      <c r="D11" s="38">
        <v>44502.0</v>
      </c>
      <c r="E11" s="41" t="s">
        <v>58</v>
      </c>
    </row>
    <row r="12" ht="100.5" customHeight="1">
      <c r="A12" s="36" t="s">
        <v>69</v>
      </c>
      <c r="B12" s="40" t="str">
        <f>image("https://i.imgur.com/W7jjLa5.png")</f>
        <v/>
      </c>
      <c r="C12" s="36" t="s">
        <v>70</v>
      </c>
      <c r="D12" s="38">
        <v>44505.0</v>
      </c>
      <c r="E12" s="38">
        <v>44529.0</v>
      </c>
    </row>
    <row r="13" ht="64.5" customHeight="1">
      <c r="A13" s="36" t="s">
        <v>71</v>
      </c>
      <c r="B13" s="40" t="str">
        <f>image("https://i.imgur.com/Kr5SLN4.jpg")</f>
        <v/>
      </c>
      <c r="C13" s="36" t="s">
        <v>72</v>
      </c>
      <c r="D13" s="38">
        <v>44506.0</v>
      </c>
      <c r="E13" s="38">
        <v>44522.0</v>
      </c>
    </row>
    <row r="14" ht="64.5" customHeight="1">
      <c r="A14" s="36" t="s">
        <v>73</v>
      </c>
      <c r="B14" s="40" t="str">
        <f>image("https://i.imgur.com/MlT5YzP.png")</f>
        <v/>
      </c>
      <c r="C14" s="36" t="s">
        <v>74</v>
      </c>
      <c r="D14" s="38">
        <v>44508.0</v>
      </c>
      <c r="E14" s="38">
        <v>44537.0</v>
      </c>
    </row>
    <row r="15" ht="64.5" customHeight="1">
      <c r="A15" s="42" t="s">
        <v>75</v>
      </c>
      <c r="B15" s="40" t="str">
        <f>image("https://i.imgur.com/Z1JoHT7.png")</f>
        <v/>
      </c>
      <c r="C15" s="36" t="s">
        <v>76</v>
      </c>
      <c r="D15" s="38">
        <v>44508.0</v>
      </c>
      <c r="E15" s="38">
        <v>44529.0</v>
      </c>
    </row>
    <row r="16" ht="64.5" customHeight="1">
      <c r="A16" s="43" t="s">
        <v>77</v>
      </c>
      <c r="B16" s="40" t="str">
        <f>image("https://i.imgur.com/7Y1cwCL.png")</f>
        <v/>
      </c>
      <c r="C16" s="36" t="s">
        <v>78</v>
      </c>
      <c r="D16" s="38">
        <v>44511.0</v>
      </c>
      <c r="E16" s="38">
        <v>44529.0</v>
      </c>
    </row>
    <row r="17" ht="64.5" customHeight="1">
      <c r="A17" s="36" t="s">
        <v>79</v>
      </c>
      <c r="B17" s="40" t="str">
        <f>image("https://images-ext-1.discordapp.net/external/iplFIZfiSPJQDEjlokP9m4gde3Hx8GsT9pnk3DtC5kU/%3F16371261725395%3F16371261725395/https/ten-sura-m-assets-us.akamaized.net/web-assets/images/2f5a32b6c87386d3a3eef0a80f7f3212.png")</f>
        <v/>
      </c>
      <c r="C17" s="36" t="s">
        <v>80</v>
      </c>
      <c r="D17" s="38">
        <v>44515.0</v>
      </c>
      <c r="E17" s="38">
        <v>44529.0</v>
      </c>
    </row>
    <row r="18" ht="64.5" customHeight="1">
      <c r="A18" s="42" t="s">
        <v>81</v>
      </c>
      <c r="B18" s="40" t="str">
        <f>image("https://images-ext-1.discordapp.net/external/-5EStB_d7UloFxesSkmx1fA0U_hJFUvJJZU7KizRZjI/%3F16369533720186%3F16369533720186/https/ten-sura-m-assets-us.akamaized.net/web-assets/images/b528cc2f0dc23bac2461810cc2575a4f.png")</f>
        <v/>
      </c>
      <c r="C18" s="36" t="s">
        <v>82</v>
      </c>
      <c r="D18" s="38">
        <v>44515.0</v>
      </c>
      <c r="E18" s="38">
        <v>44537.0</v>
      </c>
    </row>
    <row r="19" ht="64.5" customHeight="1">
      <c r="A19" s="42" t="s">
        <v>83</v>
      </c>
      <c r="B19" s="40" t="str">
        <f>image("https://images-ext-2.discordapp.net/external/TqE8SCBzBVxykh92B2ChM78zKQng_ruaL-Ua5en_ZnM/%3F16369533720186%3F16369533720186/https/ten-sura-m-assets-us.akamaized.net/web-assets/images/1eb25de4630615abcd58db08ea97e3fe.png")</f>
        <v/>
      </c>
      <c r="C19" s="36" t="s">
        <v>84</v>
      </c>
      <c r="D19" s="38">
        <v>44515.0</v>
      </c>
      <c r="E19" s="38">
        <v>44529.0</v>
      </c>
    </row>
    <row r="20" ht="66.75" customHeight="1">
      <c r="A20" s="42" t="s">
        <v>85</v>
      </c>
      <c r="B20" s="40" t="str">
        <f>image("https://i.imgur.com/poDfSqh.png")</f>
        <v/>
      </c>
      <c r="C20" s="36" t="s">
        <v>86</v>
      </c>
      <c r="D20" s="38">
        <v>44524.0</v>
      </c>
      <c r="E20" s="38">
        <v>44537.0</v>
      </c>
    </row>
    <row r="21" ht="69.0" customHeight="1">
      <c r="A21" s="36" t="s">
        <v>87</v>
      </c>
      <c r="B21" s="40" t="str">
        <f>image("https://i.imgur.com/zVO4mKZ.png")</f>
        <v/>
      </c>
      <c r="C21" s="36" t="s">
        <v>88</v>
      </c>
      <c r="D21" s="38">
        <v>44529.0</v>
      </c>
      <c r="E21" s="38">
        <v>44558.0</v>
      </c>
    </row>
    <row r="22" ht="66.0" customHeight="1">
      <c r="A22" s="36" t="s">
        <v>89</v>
      </c>
      <c r="B22" s="40" t="str">
        <f>image("https://i.imgur.com/1DUxQUb.png")</f>
        <v/>
      </c>
      <c r="C22" s="36" t="s">
        <v>90</v>
      </c>
      <c r="D22" s="38">
        <v>44529.0</v>
      </c>
      <c r="E22" s="38">
        <v>44558.0</v>
      </c>
    </row>
    <row r="23" ht="66.0" customHeight="1">
      <c r="A23" s="36" t="s">
        <v>91</v>
      </c>
      <c r="B23" s="40" t="str">
        <f>image("https://i.imgur.com/Rymcnit.png")</f>
        <v/>
      </c>
      <c r="C23" s="36" t="s">
        <v>92</v>
      </c>
      <c r="D23" s="38">
        <v>44529.0</v>
      </c>
      <c r="E23" s="38">
        <v>44558.0</v>
      </c>
    </row>
    <row r="24" ht="62.25" customHeight="1">
      <c r="A24" s="36" t="s">
        <v>91</v>
      </c>
      <c r="B24" s="40" t="str">
        <f>image("https://i.imgur.com/ofE58gX.png")</f>
        <v/>
      </c>
      <c r="C24" s="36" t="s">
        <v>93</v>
      </c>
      <c r="D24" s="38">
        <v>44538.0</v>
      </c>
      <c r="E24" s="38">
        <v>44565.0</v>
      </c>
    </row>
    <row r="25" ht="62.25" customHeight="1">
      <c r="A25" s="36" t="s">
        <v>94</v>
      </c>
      <c r="B25" s="40" t="str">
        <f>image("https://i.imgur.com/diwcgQb.png")</f>
        <v/>
      </c>
      <c r="C25" s="36" t="s">
        <v>95</v>
      </c>
      <c r="D25" s="38">
        <v>44540.0</v>
      </c>
      <c r="E25" s="38">
        <v>44547.0</v>
      </c>
    </row>
    <row r="26" ht="62.25" customHeight="1">
      <c r="A26" s="42" t="s">
        <v>96</v>
      </c>
      <c r="B26" s="40" t="str">
        <f>image("https://i.imgur.com/H7rXUVG.png")</f>
        <v/>
      </c>
      <c r="C26" s="36" t="s">
        <v>97</v>
      </c>
      <c r="D26" s="38">
        <v>44545.0</v>
      </c>
      <c r="E26" s="38">
        <v>44565.0</v>
      </c>
    </row>
    <row r="27" ht="62.25" customHeight="1">
      <c r="A27" s="42" t="s">
        <v>98</v>
      </c>
      <c r="B27" s="40" t="str">
        <f>image("https://i.imgur.com/SBFdhl3.png")</f>
        <v/>
      </c>
      <c r="C27" s="36" t="s">
        <v>99</v>
      </c>
      <c r="D27" s="38">
        <v>44545.0</v>
      </c>
      <c r="E27" s="38">
        <v>44565.0</v>
      </c>
    </row>
    <row r="28" ht="62.25" customHeight="1">
      <c r="A28" s="43" t="s">
        <v>100</v>
      </c>
      <c r="B28" s="40" t="str">
        <f>image("https://i.imgur.com/xWfpGxq.png")</f>
        <v/>
      </c>
      <c r="C28" s="36" t="s">
        <v>101</v>
      </c>
      <c r="D28" s="38">
        <v>44545.0</v>
      </c>
      <c r="E28" s="41" t="s">
        <v>58</v>
      </c>
    </row>
    <row r="29" ht="62.25" customHeight="1">
      <c r="A29" s="43" t="s">
        <v>102</v>
      </c>
      <c r="B29" s="40" t="str">
        <f>image("https://i.imgur.com/zldXUEt.png")</f>
        <v/>
      </c>
      <c r="C29" s="36" t="s">
        <v>103</v>
      </c>
      <c r="D29" s="38">
        <v>44545.0</v>
      </c>
      <c r="E29" s="44">
        <v>44559.0</v>
      </c>
    </row>
    <row r="30" ht="62.25" customHeight="1">
      <c r="A30" s="36" t="s">
        <v>104</v>
      </c>
      <c r="B30" s="40" t="str">
        <f>image("https://i.imgur.com/hFA9qXZ.png")</f>
        <v/>
      </c>
      <c r="C30" s="36" t="s">
        <v>105</v>
      </c>
      <c r="D30" s="38">
        <v>44547.0</v>
      </c>
      <c r="E30" s="41" t="s">
        <v>58</v>
      </c>
    </row>
    <row r="31" ht="62.25" customHeight="1">
      <c r="A31" s="36" t="s">
        <v>106</v>
      </c>
      <c r="B31" s="40" t="str">
        <f>image("https://i.imgur.com/iOdbHsc.png")</f>
        <v/>
      </c>
      <c r="C31" s="36" t="s">
        <v>107</v>
      </c>
      <c r="D31" s="38">
        <v>44552.0</v>
      </c>
      <c r="E31" s="44">
        <v>44565.0</v>
      </c>
    </row>
    <row r="32" ht="62.25" customHeight="1">
      <c r="A32" s="36" t="s">
        <v>108</v>
      </c>
      <c r="B32" s="40" t="str">
        <f>image("https://i.imgur.com/k3nduYu.png")</f>
        <v/>
      </c>
      <c r="C32" s="36" t="s">
        <v>109</v>
      </c>
      <c r="D32" s="38">
        <v>44559.0</v>
      </c>
      <c r="E32" s="41" t="s">
        <v>58</v>
      </c>
    </row>
    <row r="33" ht="62.25" customHeight="1">
      <c r="A33" s="36" t="s">
        <v>110</v>
      </c>
      <c r="B33" s="40" t="str">
        <f>image("https://i.imgur.com/8B4YKvp.png")</f>
        <v/>
      </c>
      <c r="C33" s="36" t="s">
        <v>111</v>
      </c>
      <c r="D33" s="38">
        <v>44559.0</v>
      </c>
      <c r="E33" s="44">
        <v>44566.0</v>
      </c>
    </row>
    <row r="34" ht="62.25" customHeight="1">
      <c r="A34" s="36" t="s">
        <v>112</v>
      </c>
      <c r="B34" s="40" t="str">
        <f>image("https://i.imgur.com/UJjf6Dp.png")</f>
        <v/>
      </c>
      <c r="C34" s="36" t="s">
        <v>113</v>
      </c>
      <c r="D34" s="38">
        <v>44559.0</v>
      </c>
      <c r="E34" s="41" t="s">
        <v>58</v>
      </c>
    </row>
    <row r="35" ht="62.25" customHeight="1">
      <c r="A35" s="36" t="s">
        <v>114</v>
      </c>
      <c r="B35" s="40" t="str">
        <f>image("https://i.imgur.com/qBVFf9y.png")</f>
        <v/>
      </c>
      <c r="C35" s="36" t="s">
        <v>115</v>
      </c>
      <c r="D35" s="38">
        <v>44559.0</v>
      </c>
      <c r="E35" s="44">
        <v>44596.0</v>
      </c>
    </row>
    <row r="36" ht="62.25" customHeight="1">
      <c r="A36" s="36" t="s">
        <v>116</v>
      </c>
      <c r="B36" s="40" t="str">
        <f>image("https://i.imgur.com/bF29U4h.png")</f>
        <v/>
      </c>
      <c r="C36" s="36" t="s">
        <v>117</v>
      </c>
      <c r="D36" s="38">
        <v>44559.0</v>
      </c>
      <c r="E36" s="44">
        <v>44589.0</v>
      </c>
    </row>
    <row r="37" ht="62.25" customHeight="1">
      <c r="A37" s="36" t="s">
        <v>118</v>
      </c>
      <c r="B37" s="40" t="str">
        <f>image("https://i.imgur.com/P2zUBSH.png")</f>
        <v/>
      </c>
      <c r="C37" s="36" t="s">
        <v>119</v>
      </c>
      <c r="D37" s="38">
        <v>44568.0</v>
      </c>
      <c r="E37" s="44">
        <v>44589.0</v>
      </c>
    </row>
    <row r="38" ht="62.25" customHeight="1">
      <c r="A38" s="36" t="s">
        <v>120</v>
      </c>
      <c r="B38" s="40" t="str">
        <f>image("https://i.imgur.com/on46YCr.png")</f>
        <v/>
      </c>
      <c r="C38" s="36" t="s">
        <v>121</v>
      </c>
      <c r="D38" s="38">
        <v>44568.0</v>
      </c>
      <c r="E38" s="44">
        <v>44589.0</v>
      </c>
    </row>
    <row r="39" ht="62.25" customHeight="1">
      <c r="A39" s="43" t="s">
        <v>122</v>
      </c>
      <c r="B39" s="40" t="str">
        <f>image("https://i.imgur.com/WNkZFQB.png")</f>
        <v/>
      </c>
      <c r="C39" s="36" t="s">
        <v>123</v>
      </c>
      <c r="D39" s="38">
        <v>44575.0</v>
      </c>
      <c r="E39" s="44">
        <v>44596.0</v>
      </c>
    </row>
    <row r="40" ht="62.25" customHeight="1">
      <c r="A40" s="43" t="s">
        <v>124</v>
      </c>
      <c r="B40" s="40" t="str">
        <f>image("https://i.imgur.com/qRAamHc.png")</f>
        <v/>
      </c>
      <c r="C40" s="36" t="s">
        <v>125</v>
      </c>
      <c r="D40" s="38">
        <v>44575.0</v>
      </c>
      <c r="E40" s="44">
        <v>44596.0</v>
      </c>
    </row>
    <row r="41" ht="62.25" customHeight="1">
      <c r="A41" s="36" t="s">
        <v>126</v>
      </c>
      <c r="B41" s="40" t="str">
        <f>image("https://i.imgur.com/LSh2TdQ.png")</f>
        <v/>
      </c>
      <c r="C41" s="36" t="s">
        <v>127</v>
      </c>
      <c r="D41" s="38">
        <v>44575.0</v>
      </c>
      <c r="E41" s="41" t="s">
        <v>58</v>
      </c>
    </row>
    <row r="42" ht="62.25" customHeight="1">
      <c r="A42" s="43" t="s">
        <v>128</v>
      </c>
      <c r="B42" s="40" t="str">
        <f>image("https://i.imgur.com/lYG44uV.png")</f>
        <v/>
      </c>
      <c r="C42" s="36" t="s">
        <v>129</v>
      </c>
      <c r="D42" s="38">
        <v>44582.0</v>
      </c>
      <c r="E42" s="44">
        <v>44613.0</v>
      </c>
    </row>
    <row r="43" ht="62.25" customHeight="1">
      <c r="A43" s="36" t="s">
        <v>130</v>
      </c>
      <c r="B43" s="40" t="str">
        <f>image("https://i.imgur.com/r0JGCub.png")</f>
        <v/>
      </c>
      <c r="C43" s="36" t="s">
        <v>131</v>
      </c>
      <c r="D43" s="38">
        <v>44582.0</v>
      </c>
      <c r="E43" s="44">
        <v>44596.0</v>
      </c>
    </row>
    <row r="44" ht="62.25" customHeight="1">
      <c r="A44" s="43" t="s">
        <v>132</v>
      </c>
      <c r="B44" s="40" t="str">
        <f>image("https://i.imgur.com/8c04gfh.png")</f>
        <v/>
      </c>
      <c r="C44" s="36" t="s">
        <v>133</v>
      </c>
      <c r="D44" s="38">
        <v>44582.0</v>
      </c>
      <c r="E44" s="44">
        <v>44589.0</v>
      </c>
    </row>
    <row r="45" ht="62.25" customHeight="1">
      <c r="A45" s="43" t="s">
        <v>134</v>
      </c>
      <c r="B45" s="40" t="str">
        <f>image("https://i.imgur.com/b4DcaPl.png")</f>
        <v/>
      </c>
      <c r="C45" s="36" t="s">
        <v>135</v>
      </c>
      <c r="D45" s="38">
        <v>44582.0</v>
      </c>
      <c r="E45" s="44">
        <v>44589.0</v>
      </c>
    </row>
    <row r="46" ht="62.25" customHeight="1">
      <c r="A46" s="36" t="s">
        <v>136</v>
      </c>
      <c r="B46" s="40" t="str">
        <f>image("https://i.imgur.com/6ji0Cma.png")</f>
        <v/>
      </c>
      <c r="C46" s="36" t="s">
        <v>137</v>
      </c>
      <c r="D46" s="38">
        <v>44589.0</v>
      </c>
      <c r="E46" s="44">
        <v>44620.0</v>
      </c>
    </row>
    <row r="47" ht="62.25" customHeight="1">
      <c r="A47" s="43" t="s">
        <v>138</v>
      </c>
      <c r="B47" s="40" t="str">
        <f>image("https://i.imgur.com/k4j4XQM.png")</f>
        <v/>
      </c>
      <c r="C47" s="36" t="s">
        <v>139</v>
      </c>
      <c r="D47" s="38">
        <v>44589.0</v>
      </c>
      <c r="E47" s="44">
        <v>44620.0</v>
      </c>
    </row>
    <row r="48" ht="62.25" customHeight="1">
      <c r="A48" s="36" t="s">
        <v>140</v>
      </c>
      <c r="B48" s="40" t="str">
        <f>image("https://i.imgur.com/SvJkWuR.png")</f>
        <v/>
      </c>
      <c r="C48" s="36" t="s">
        <v>141</v>
      </c>
      <c r="D48" s="38">
        <v>44589.0</v>
      </c>
      <c r="E48" s="44">
        <v>44620.0</v>
      </c>
    </row>
    <row r="49" ht="62.25" customHeight="1">
      <c r="A49" s="42" t="s">
        <v>142</v>
      </c>
      <c r="B49" s="40" t="str">
        <f>image("https://i.imgur.com/9teHQHw.png")</f>
        <v/>
      </c>
      <c r="C49" s="36" t="s">
        <v>143</v>
      </c>
      <c r="D49" s="38">
        <v>44596.0</v>
      </c>
      <c r="E49" s="44">
        <v>44620.0</v>
      </c>
    </row>
    <row r="50" ht="62.25" customHeight="1">
      <c r="A50" s="42" t="s">
        <v>144</v>
      </c>
      <c r="B50" s="40" t="str">
        <f>image("https://i.imgur.com/FZL7jXG.png")</f>
        <v/>
      </c>
      <c r="C50" s="36" t="s">
        <v>145</v>
      </c>
      <c r="D50" s="38">
        <v>44596.0</v>
      </c>
      <c r="E50" s="44">
        <v>44620.0</v>
      </c>
    </row>
    <row r="51" ht="62.25" customHeight="1">
      <c r="A51" s="36" t="s">
        <v>146</v>
      </c>
      <c r="B51" s="40" t="str">
        <f>image("https://i.imgur.com/28Uovhs.png")</f>
        <v/>
      </c>
      <c r="C51" s="36" t="s">
        <v>147</v>
      </c>
      <c r="D51" s="38">
        <v>44596.0</v>
      </c>
      <c r="E51" s="44">
        <v>44620.0</v>
      </c>
    </row>
    <row r="52" ht="62.25" customHeight="1">
      <c r="A52" s="36" t="s">
        <v>148</v>
      </c>
      <c r="B52" s="40" t="str">
        <f>image("https://i.imgur.com/BmyrKmO.png")</f>
        <v/>
      </c>
      <c r="C52" s="36" t="s">
        <v>149</v>
      </c>
      <c r="D52" s="38">
        <v>44602.0</v>
      </c>
      <c r="E52" s="41" t="s">
        <v>58</v>
      </c>
    </row>
    <row r="53" ht="62.25" customHeight="1">
      <c r="A53" s="43" t="s">
        <v>150</v>
      </c>
      <c r="B53" s="40" t="str">
        <f>image("https://i.imgur.com/vBlIokV.png")</f>
        <v/>
      </c>
      <c r="C53" s="36" t="s">
        <v>151</v>
      </c>
      <c r="D53" s="38">
        <v>44606.0</v>
      </c>
      <c r="E53" s="44">
        <v>44627.0</v>
      </c>
    </row>
    <row r="54" ht="62.25" customHeight="1">
      <c r="A54" s="43" t="s">
        <v>152</v>
      </c>
      <c r="B54" s="40" t="str">
        <f>image("https://i.imgur.com/kOUNYT4.png")</f>
        <v/>
      </c>
      <c r="C54" s="36" t="s">
        <v>153</v>
      </c>
      <c r="D54" s="38">
        <v>44606.0</v>
      </c>
      <c r="E54" s="44">
        <v>44627.0</v>
      </c>
    </row>
    <row r="55" ht="62.25" customHeight="1">
      <c r="A55" s="43" t="s">
        <v>154</v>
      </c>
      <c r="B55" s="40" t="str">
        <f>image("https://i.imgur.com/ZjbmRuT.png")</f>
        <v/>
      </c>
      <c r="C55" s="43" t="s">
        <v>155</v>
      </c>
      <c r="D55" s="38">
        <v>44606.0</v>
      </c>
      <c r="E55" s="41" t="s">
        <v>58</v>
      </c>
    </row>
    <row r="56" ht="62.25" customHeight="1">
      <c r="A56" s="42" t="s">
        <v>156</v>
      </c>
      <c r="B56" s="40" t="str">
        <f>image("https://i.imgur.com/j5rsRvc.png")</f>
        <v/>
      </c>
      <c r="C56" s="36" t="s">
        <v>157</v>
      </c>
      <c r="D56" s="38">
        <v>44607.0</v>
      </c>
      <c r="E56" s="44">
        <v>44620.0</v>
      </c>
    </row>
    <row r="57" ht="62.25" customHeight="1">
      <c r="A57" s="43" t="s">
        <v>158</v>
      </c>
      <c r="B57" s="40"/>
      <c r="C57" s="36" t="s">
        <v>159</v>
      </c>
      <c r="D57" s="38">
        <v>44613.0</v>
      </c>
      <c r="E57" s="44">
        <v>44620.0</v>
      </c>
    </row>
    <row r="58" ht="62.25" customHeight="1">
      <c r="A58" s="43" t="s">
        <v>160</v>
      </c>
      <c r="B58" s="40"/>
      <c r="C58" s="36" t="s">
        <v>161</v>
      </c>
      <c r="D58" s="38">
        <v>44613.0</v>
      </c>
      <c r="E58" s="44">
        <v>44644.0</v>
      </c>
    </row>
    <row r="59" ht="62.25" customHeight="1">
      <c r="A59" s="43" t="s">
        <v>162</v>
      </c>
      <c r="B59" s="40"/>
      <c r="C59" s="36" t="s">
        <v>163</v>
      </c>
      <c r="D59" s="38">
        <v>44613.0</v>
      </c>
      <c r="E59" s="44">
        <v>44635.0</v>
      </c>
    </row>
    <row r="60" ht="62.25" customHeight="1">
      <c r="A60" s="36" t="s">
        <v>164</v>
      </c>
      <c r="B60" s="40"/>
      <c r="C60" s="36" t="s">
        <v>165</v>
      </c>
      <c r="D60" s="38">
        <v>44613.0</v>
      </c>
      <c r="E60" s="44">
        <v>44627.0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8.71"/>
    <col customWidth="1" min="2" max="2" width="15.86"/>
    <col customWidth="1" min="3" max="3" width="8.29"/>
    <col customWidth="1" min="4" max="4" width="6.86"/>
    <col customWidth="1" min="5" max="6" width="8.43"/>
    <col customWidth="1" min="7" max="8" width="7.29"/>
    <col customWidth="1" min="9" max="9" width="7.43"/>
    <col customWidth="1" hidden="1" min="10" max="12" width="14.71"/>
    <col customWidth="1" min="13" max="13" width="13.71"/>
    <col customWidth="1" min="14" max="14" width="11.71"/>
    <col customWidth="1" min="15" max="15" width="15.29"/>
    <col customWidth="1" min="16" max="16" width="10.0"/>
    <col customWidth="1" min="17" max="17" width="13.86"/>
    <col customWidth="1" min="18" max="19" width="12.14"/>
    <col customWidth="1" min="20" max="21" width="13.0"/>
    <col customWidth="1" min="22" max="22" width="26.57"/>
    <col customWidth="1" min="23" max="23" width="46.71"/>
    <col customWidth="1" min="24" max="24" width="42.0"/>
    <col customWidth="1" min="25" max="26" width="52.43"/>
    <col customWidth="1" min="27" max="28" width="10.57"/>
    <col customWidth="1" min="29" max="29" width="9.43"/>
    <col customWidth="1" min="30" max="35" width="10.57"/>
    <col customWidth="1" min="36" max="36" width="11.43"/>
    <col customWidth="1" min="37" max="37" width="12.0"/>
    <col customWidth="1" min="38" max="38" width="10.86"/>
    <col customWidth="1" min="39" max="39" width="55.29"/>
    <col customWidth="1" min="40" max="40" width="8.71"/>
    <col customWidth="1" hidden="1" min="41" max="41" width="8.57"/>
    <col customWidth="1" hidden="1" min="42" max="42" width="7.86"/>
    <col customWidth="1" hidden="1" min="43" max="43" width="14.86"/>
    <col customWidth="1" hidden="1" min="44" max="44" width="7.43"/>
    <col customWidth="1" hidden="1" min="45" max="45" width="9.0"/>
    <col customWidth="1" hidden="1" min="46" max="46" width="5.86"/>
    <col customWidth="1" hidden="1" min="47" max="47" width="8.86"/>
    <col customWidth="1" hidden="1" min="48" max="48" width="10.0"/>
    <col customWidth="1" hidden="1" min="49" max="49" width="12.86"/>
    <col customWidth="1" hidden="1" min="50" max="50" width="11.86"/>
    <col customWidth="1" hidden="1" min="51" max="51" width="12.14"/>
    <col customWidth="1" hidden="1" min="52" max="52" width="12.43"/>
    <col hidden="1" min="53" max="53" width="14.43"/>
  </cols>
  <sheetData>
    <row r="1">
      <c r="A1" s="45" t="s">
        <v>166</v>
      </c>
      <c r="B1" s="46" t="s">
        <v>43</v>
      </c>
      <c r="C1" s="47" t="s">
        <v>167</v>
      </c>
      <c r="D1" s="47" t="s">
        <v>168</v>
      </c>
      <c r="E1" s="47" t="s">
        <v>169</v>
      </c>
      <c r="F1" s="48" t="s">
        <v>170</v>
      </c>
      <c r="G1" s="49" t="s">
        <v>171</v>
      </c>
      <c r="H1" s="50" t="s">
        <v>172</v>
      </c>
      <c r="I1" s="51" t="s">
        <v>173</v>
      </c>
      <c r="J1" s="52" t="s">
        <v>174</v>
      </c>
      <c r="K1" s="52" t="s">
        <v>175</v>
      </c>
      <c r="L1" s="52" t="s">
        <v>176</v>
      </c>
      <c r="M1" s="53" t="s">
        <v>177</v>
      </c>
      <c r="N1" s="54" t="s">
        <v>178</v>
      </c>
      <c r="O1" s="55" t="s">
        <v>179</v>
      </c>
      <c r="P1" s="55" t="s">
        <v>180</v>
      </c>
      <c r="Q1" s="56" t="s">
        <v>181</v>
      </c>
      <c r="R1" s="46" t="s">
        <v>182</v>
      </c>
      <c r="S1" s="47" t="s">
        <v>183</v>
      </c>
      <c r="T1" s="47" t="s">
        <v>184</v>
      </c>
      <c r="U1" s="47" t="s">
        <v>185</v>
      </c>
      <c r="V1" s="57" t="s">
        <v>186</v>
      </c>
      <c r="W1" s="57" t="s">
        <v>187</v>
      </c>
      <c r="X1" s="57" t="s">
        <v>188</v>
      </c>
      <c r="Y1" s="57" t="s">
        <v>189</v>
      </c>
      <c r="Z1" s="57" t="s">
        <v>190</v>
      </c>
      <c r="AA1" s="58" t="s">
        <v>191</v>
      </c>
      <c r="AB1" s="58" t="s">
        <v>192</v>
      </c>
      <c r="AC1" s="58" t="s">
        <v>193</v>
      </c>
      <c r="AD1" s="58" t="s">
        <v>194</v>
      </c>
      <c r="AE1" s="58" t="s">
        <v>195</v>
      </c>
      <c r="AF1" s="58" t="s">
        <v>196</v>
      </c>
      <c r="AG1" s="58" t="s">
        <v>197</v>
      </c>
      <c r="AH1" s="58" t="s">
        <v>198</v>
      </c>
      <c r="AI1" s="58" t="s">
        <v>199</v>
      </c>
      <c r="AJ1" s="58" t="s">
        <v>200</v>
      </c>
      <c r="AK1" s="58" t="s">
        <v>201</v>
      </c>
      <c r="AL1" s="58" t="s">
        <v>202</v>
      </c>
      <c r="AM1" s="59" t="s">
        <v>203</v>
      </c>
      <c r="AN1" s="56" t="s">
        <v>204</v>
      </c>
      <c r="AO1" s="45" t="s">
        <v>205</v>
      </c>
      <c r="AP1" s="45" t="s">
        <v>206</v>
      </c>
      <c r="AQ1" s="57" t="s">
        <v>207</v>
      </c>
      <c r="AR1" s="45" t="s">
        <v>208</v>
      </c>
      <c r="AS1" s="45" t="s">
        <v>209</v>
      </c>
      <c r="AT1" s="45" t="s">
        <v>210</v>
      </c>
      <c r="AU1" s="45" t="s">
        <v>197</v>
      </c>
      <c r="AV1" s="45" t="s">
        <v>211</v>
      </c>
      <c r="AW1" s="57" t="s">
        <v>212</v>
      </c>
      <c r="AX1" s="45" t="s">
        <v>200</v>
      </c>
      <c r="AY1" s="45" t="s">
        <v>213</v>
      </c>
      <c r="AZ1" s="45" t="s">
        <v>214</v>
      </c>
      <c r="BA1" s="60"/>
    </row>
    <row r="2" ht="82.5" customHeight="1">
      <c r="A2" s="61" t="s">
        <v>215</v>
      </c>
      <c r="B2" s="62" t="str">
        <f>image("https://i.imgur.com/xiGDsuf.png")</f>
        <v/>
      </c>
      <c r="C2" s="63" t="s">
        <v>216</v>
      </c>
      <c r="D2" s="46" t="str">
        <f>image("https://i.imgur.com/pQYVkI3.png")</f>
        <v/>
      </c>
      <c r="E2" s="64" t="str">
        <f>image("https://i.imgur.com/tOS4FvO.png")</f>
        <v/>
      </c>
      <c r="F2" s="64" t="str">
        <f>image("https://i.imgur.com/P4N7gFs.png")</f>
        <v/>
      </c>
      <c r="G2" s="65">
        <v>8139.0</v>
      </c>
      <c r="H2" s="66">
        <v>3188.0</v>
      </c>
      <c r="I2" s="67">
        <v>3628.0</v>
      </c>
      <c r="J2" s="68">
        <f t="shared" ref="J2:L2" si="1">G2/max(G:G)</f>
        <v>1</v>
      </c>
      <c r="K2" s="68">
        <f t="shared" si="1"/>
        <v>0.9103369503</v>
      </c>
      <c r="L2" s="68">
        <f t="shared" si="1"/>
        <v>0.9950630828</v>
      </c>
      <c r="M2" s="68">
        <f t="shared" ref="M2:M63" si="3">sum(J2:L2)</f>
        <v>2.905400033</v>
      </c>
      <c r="N2" s="69">
        <f t="shared" ref="N2:N63" si="4">(H2*0.06*(100%+(if(AE2="-",0,AE2))))*if(AD2="-",0,AD2)+H2</f>
        <v>3191.8256</v>
      </c>
      <c r="O2" s="70">
        <f t="shared" ref="O2:O63" si="5">H2*0.4+(N2*(1.3+if(AB2="-",0,AB2))*if(AA2="-",0,AA2))</f>
        <v>1358.187466</v>
      </c>
      <c r="P2" s="70">
        <f t="shared" ref="P2:P3" si="6">O2*4.7</f>
        <v>6383.481088</v>
      </c>
      <c r="Q2" s="71">
        <f t="shared" ref="Q2:Q63" si="7">G2/(((0.4*(5000)-0.2*(I2))*((50%-if(AH2="-",0,AH2)))*AG2)+((0.4*(5000)-0.2*(I2))*((50%-if(AH2="-",0,AH2)))*(1-AG2)))</f>
        <v>12.77306968</v>
      </c>
      <c r="R2" s="72">
        <v>150.0</v>
      </c>
      <c r="S2" s="73" t="s">
        <v>217</v>
      </c>
      <c r="T2" s="73" t="s">
        <v>218</v>
      </c>
      <c r="U2" s="73" t="s">
        <v>219</v>
      </c>
      <c r="V2" s="74" t="s">
        <v>220</v>
      </c>
      <c r="W2" s="74" t="s">
        <v>221</v>
      </c>
      <c r="X2" s="74" t="s">
        <v>222</v>
      </c>
      <c r="Y2" s="74" t="s">
        <v>223</v>
      </c>
      <c r="Z2" s="74" t="s">
        <v>224</v>
      </c>
      <c r="AA2" s="75">
        <v>0.02</v>
      </c>
      <c r="AB2" s="76" t="s">
        <v>225</v>
      </c>
      <c r="AC2" s="76" t="s">
        <v>225</v>
      </c>
      <c r="AD2" s="75">
        <v>0.02</v>
      </c>
      <c r="AE2" s="76" t="s">
        <v>225</v>
      </c>
      <c r="AF2" s="76" t="s">
        <v>225</v>
      </c>
      <c r="AG2" s="75">
        <v>0.02</v>
      </c>
      <c r="AH2" s="76" t="s">
        <v>225</v>
      </c>
      <c r="AI2" s="76" t="s">
        <v>225</v>
      </c>
      <c r="AJ2" s="75">
        <v>0.04</v>
      </c>
      <c r="AK2" s="76" t="s">
        <v>225</v>
      </c>
      <c r="AL2" s="76" t="s">
        <v>225</v>
      </c>
      <c r="AM2" s="77" t="s">
        <v>226</v>
      </c>
      <c r="AN2" s="78"/>
      <c r="AO2" s="79"/>
      <c r="AP2" s="79"/>
      <c r="AQ2" s="79"/>
      <c r="AR2" s="79"/>
      <c r="AS2" s="79"/>
      <c r="AT2" s="79"/>
      <c r="AU2" s="79"/>
      <c r="AV2" s="79"/>
      <c r="AW2" s="79"/>
      <c r="AX2" s="79"/>
      <c r="AY2" s="79"/>
      <c r="AZ2" s="79"/>
      <c r="BA2" s="80"/>
    </row>
    <row r="3" ht="82.5" customHeight="1">
      <c r="A3" s="61" t="s">
        <v>227</v>
      </c>
      <c r="B3" s="62" t="str">
        <f>image("https://i.imgur.com/ShfgTDf.png")</f>
        <v/>
      </c>
      <c r="C3" s="63" t="s">
        <v>216</v>
      </c>
      <c r="D3" s="81" t="str">
        <f>image("https://i.imgur.com/z8bnSYg.png")</f>
        <v/>
      </c>
      <c r="E3" s="64" t="str">
        <f>image("https://i.imgur.com/P8lUDX0.png")</f>
        <v/>
      </c>
      <c r="F3" s="64" t="str">
        <f>image("https://i.imgur.com/yduAVsz.png")</f>
        <v/>
      </c>
      <c r="G3" s="65">
        <v>7912.0</v>
      </c>
      <c r="H3" s="66">
        <v>3502.0</v>
      </c>
      <c r="I3" s="67">
        <v>3106.0</v>
      </c>
      <c r="J3" s="68">
        <f t="shared" ref="J3:L3" si="2">G3/max(G:G)</f>
        <v>0.9721095958</v>
      </c>
      <c r="K3" s="68">
        <f t="shared" si="2"/>
        <v>1</v>
      </c>
      <c r="L3" s="68">
        <f t="shared" si="2"/>
        <v>0.8518924849</v>
      </c>
      <c r="M3" s="68">
        <f t="shared" si="3"/>
        <v>2.824002081</v>
      </c>
      <c r="N3" s="69">
        <f t="shared" si="4"/>
        <v>3506.2024</v>
      </c>
      <c r="O3" s="70">
        <f t="shared" si="5"/>
        <v>1583.122525</v>
      </c>
      <c r="P3" s="70">
        <f t="shared" si="6"/>
        <v>7440.675867</v>
      </c>
      <c r="Q3" s="71">
        <f t="shared" si="7"/>
        <v>11.47664636</v>
      </c>
      <c r="R3" s="72">
        <v>150.0</v>
      </c>
      <c r="S3" s="73" t="s">
        <v>228</v>
      </c>
      <c r="T3" s="73" t="s">
        <v>229</v>
      </c>
      <c r="U3" s="73" t="s">
        <v>230</v>
      </c>
      <c r="V3" s="74" t="s">
        <v>231</v>
      </c>
      <c r="W3" s="74" t="s">
        <v>232</v>
      </c>
      <c r="X3" s="74" t="s">
        <v>233</v>
      </c>
      <c r="Y3" s="74" t="s">
        <v>234</v>
      </c>
      <c r="Z3" s="74" t="s">
        <v>235</v>
      </c>
      <c r="AA3" s="75">
        <v>0.04</v>
      </c>
      <c r="AB3" s="76" t="s">
        <v>225</v>
      </c>
      <c r="AC3" s="76" t="s">
        <v>225</v>
      </c>
      <c r="AD3" s="75">
        <v>0.02</v>
      </c>
      <c r="AE3" s="76" t="s">
        <v>225</v>
      </c>
      <c r="AF3" s="76" t="s">
        <v>225</v>
      </c>
      <c r="AG3" s="75">
        <v>0.02</v>
      </c>
      <c r="AH3" s="76" t="s">
        <v>225</v>
      </c>
      <c r="AI3" s="76" t="s">
        <v>225</v>
      </c>
      <c r="AJ3" s="75">
        <v>0.02</v>
      </c>
      <c r="AK3" s="76" t="s">
        <v>225</v>
      </c>
      <c r="AL3" s="76" t="s">
        <v>225</v>
      </c>
      <c r="AM3" s="77" t="s">
        <v>236</v>
      </c>
      <c r="AN3" s="78" t="s">
        <v>237</v>
      </c>
      <c r="AO3" s="79"/>
      <c r="AP3" s="79"/>
      <c r="AQ3" s="79"/>
      <c r="AR3" s="79"/>
      <c r="AS3" s="79"/>
      <c r="AT3" s="79"/>
      <c r="AU3" s="79"/>
      <c r="AV3" s="79"/>
      <c r="AW3" s="79"/>
      <c r="AX3" s="79"/>
      <c r="AY3" s="79"/>
      <c r="AZ3" s="79"/>
      <c r="BA3" s="80"/>
    </row>
    <row r="4" ht="82.5" customHeight="1">
      <c r="A4" s="61" t="s">
        <v>238</v>
      </c>
      <c r="B4" s="62" t="str">
        <f>image("https://i.imgur.com/qBlORbh.png")</f>
        <v/>
      </c>
      <c r="C4" s="63" t="s">
        <v>216</v>
      </c>
      <c r="D4" s="46" t="str">
        <f>image("https://i.imgur.com/AHPti72.png")</f>
        <v/>
      </c>
      <c r="E4" s="64" t="str">
        <f>image("https://i.imgur.com/tOS4FvO.png")</f>
        <v/>
      </c>
      <c r="F4" s="64" t="str">
        <f t="shared" ref="F4:F7" si="9">image("https://i.imgur.com/P4N7gFs.png")</f>
        <v/>
      </c>
      <c r="G4" s="65">
        <v>7095.0</v>
      </c>
      <c r="H4" s="66">
        <v>2695.0</v>
      </c>
      <c r="I4" s="67">
        <v>3646.0</v>
      </c>
      <c r="J4" s="68">
        <f t="shared" ref="J4:L4" si="8">G4/max(G:G)</f>
        <v>0.8717287136</v>
      </c>
      <c r="K4" s="68">
        <f t="shared" si="8"/>
        <v>0.7695602513</v>
      </c>
      <c r="L4" s="68">
        <f t="shared" si="8"/>
        <v>1</v>
      </c>
      <c r="M4" s="68">
        <f t="shared" si="3"/>
        <v>2.641288965</v>
      </c>
      <c r="N4" s="70">
        <f t="shared" si="4"/>
        <v>2695</v>
      </c>
      <c r="O4" s="69">
        <f t="shared" si="5"/>
        <v>1078</v>
      </c>
      <c r="P4" s="69">
        <f t="shared" ref="P4:P5" si="11">O4*4.5</f>
        <v>4851</v>
      </c>
      <c r="Q4" s="71">
        <f t="shared" si="7"/>
        <v>11.16619452</v>
      </c>
      <c r="R4" s="82">
        <v>150.0</v>
      </c>
      <c r="S4" s="73" t="s">
        <v>239</v>
      </c>
      <c r="T4" s="73" t="s">
        <v>218</v>
      </c>
      <c r="U4" s="73" t="s">
        <v>240</v>
      </c>
      <c r="V4" s="74" t="s">
        <v>241</v>
      </c>
      <c r="W4" s="74" t="s">
        <v>242</v>
      </c>
      <c r="X4" s="74" t="s">
        <v>243</v>
      </c>
      <c r="Y4" s="74" t="s">
        <v>244</v>
      </c>
      <c r="Z4" s="74" t="s">
        <v>245</v>
      </c>
      <c r="AA4" s="76" t="s">
        <v>225</v>
      </c>
      <c r="AB4" s="76" t="s">
        <v>225</v>
      </c>
      <c r="AC4" s="76" t="s">
        <v>225</v>
      </c>
      <c r="AD4" s="76" t="s">
        <v>225</v>
      </c>
      <c r="AE4" s="76" t="s">
        <v>225</v>
      </c>
      <c r="AF4" s="76" t="s">
        <v>225</v>
      </c>
      <c r="AG4" s="75">
        <v>0.04</v>
      </c>
      <c r="AH4" s="76" t="s">
        <v>225</v>
      </c>
      <c r="AI4" s="76" t="s">
        <v>225</v>
      </c>
      <c r="AJ4" s="75">
        <v>0.04</v>
      </c>
      <c r="AK4" s="76" t="s">
        <v>225</v>
      </c>
      <c r="AL4" s="76" t="s">
        <v>225</v>
      </c>
      <c r="AM4" s="77" t="s">
        <v>246</v>
      </c>
      <c r="AN4" s="78" t="s">
        <v>237</v>
      </c>
      <c r="AO4" s="79"/>
      <c r="AP4" s="79"/>
      <c r="AQ4" s="79"/>
      <c r="AR4" s="79"/>
      <c r="AS4" s="79"/>
      <c r="AT4" s="79"/>
      <c r="AU4" s="79"/>
      <c r="AV4" s="79"/>
      <c r="AW4" s="79"/>
      <c r="AX4" s="79"/>
      <c r="AY4" s="79"/>
      <c r="AZ4" s="79"/>
      <c r="BA4" s="80"/>
    </row>
    <row r="5" ht="82.5" customHeight="1">
      <c r="A5" s="83" t="s">
        <v>247</v>
      </c>
      <c r="B5" s="62" t="str">
        <f>image("https://i.imgur.com/9z9bUp0.png")</f>
        <v/>
      </c>
      <c r="C5" s="63" t="s">
        <v>216</v>
      </c>
      <c r="D5" s="81" t="str">
        <f>image("https://i.imgur.com/hX15sR0.png")</f>
        <v/>
      </c>
      <c r="E5" s="64" t="str">
        <f>image("https://i.imgur.com/P8lUDX0.png")</f>
        <v/>
      </c>
      <c r="F5" s="64" t="str">
        <f t="shared" si="9"/>
        <v/>
      </c>
      <c r="G5" s="84">
        <v>7097.0</v>
      </c>
      <c r="H5" s="85">
        <v>2693.0</v>
      </c>
      <c r="I5" s="86">
        <v>3644.0</v>
      </c>
      <c r="J5" s="68">
        <f t="shared" ref="J5:L5" si="10">G5/max(G:G)</f>
        <v>0.871974444</v>
      </c>
      <c r="K5" s="68">
        <f t="shared" si="10"/>
        <v>0.7689891491</v>
      </c>
      <c r="L5" s="68">
        <f t="shared" si="10"/>
        <v>0.9994514536</v>
      </c>
      <c r="M5" s="68">
        <f t="shared" si="3"/>
        <v>2.640415047</v>
      </c>
      <c r="N5" s="70">
        <f t="shared" si="4"/>
        <v>2696.2316</v>
      </c>
      <c r="O5" s="69">
        <f t="shared" si="5"/>
        <v>1147.302022</v>
      </c>
      <c r="P5" s="69">
        <f t="shared" si="11"/>
        <v>5162.859097</v>
      </c>
      <c r="Q5" s="71">
        <f t="shared" si="7"/>
        <v>12.13676909</v>
      </c>
      <c r="R5" s="76">
        <v>150.0</v>
      </c>
      <c r="S5" s="74" t="s">
        <v>248</v>
      </c>
      <c r="T5" s="74" t="s">
        <v>249</v>
      </c>
      <c r="U5" s="74" t="s">
        <v>230</v>
      </c>
      <c r="V5" s="74" t="s">
        <v>250</v>
      </c>
      <c r="W5" s="74" t="s">
        <v>251</v>
      </c>
      <c r="X5" s="74" t="s">
        <v>252</v>
      </c>
      <c r="Y5" s="74" t="s">
        <v>253</v>
      </c>
      <c r="Z5" s="74" t="s">
        <v>254</v>
      </c>
      <c r="AA5" s="75">
        <v>0.02</v>
      </c>
      <c r="AB5" s="76" t="s">
        <v>225</v>
      </c>
      <c r="AC5" s="76" t="s">
        <v>225</v>
      </c>
      <c r="AD5" s="75">
        <v>0.02</v>
      </c>
      <c r="AE5" s="76" t="s">
        <v>225</v>
      </c>
      <c r="AF5" s="76" t="s">
        <v>225</v>
      </c>
      <c r="AG5" s="75">
        <v>0.04</v>
      </c>
      <c r="AH5" s="75">
        <v>0.04</v>
      </c>
      <c r="AI5" s="76" t="s">
        <v>225</v>
      </c>
      <c r="AJ5" s="75">
        <v>0.02</v>
      </c>
      <c r="AK5" s="76" t="s">
        <v>225</v>
      </c>
      <c r="AL5" s="76" t="s">
        <v>225</v>
      </c>
      <c r="AM5" s="87" t="s">
        <v>255</v>
      </c>
      <c r="AN5" s="78"/>
      <c r="AO5" s="88"/>
      <c r="AP5" s="88"/>
      <c r="AQ5" s="88"/>
      <c r="AR5" s="88"/>
      <c r="AS5" s="88"/>
      <c r="AT5" s="88"/>
      <c r="AU5" s="88"/>
      <c r="AV5" s="88"/>
      <c r="AW5" s="88"/>
      <c r="AX5" s="88"/>
      <c r="AY5" s="88"/>
      <c r="AZ5" s="88"/>
      <c r="BA5" s="89"/>
    </row>
    <row r="6" ht="82.5" customHeight="1">
      <c r="A6" s="61" t="s">
        <v>256</v>
      </c>
      <c r="B6" s="62" t="str">
        <f>image("https://i.imgur.com/ktQy3lo.png
")</f>
        <v/>
      </c>
      <c r="C6" s="63" t="s">
        <v>216</v>
      </c>
      <c r="D6" s="46" t="str">
        <f>image("https://i.imgur.com/NchScWh.png")</f>
        <v/>
      </c>
      <c r="E6" s="64" t="str">
        <f>image("https://i.imgur.com/tOS4FvO.png")</f>
        <v/>
      </c>
      <c r="F6" s="64" t="str">
        <f t="shared" si="9"/>
        <v/>
      </c>
      <c r="G6" s="65">
        <v>7091.0</v>
      </c>
      <c r="H6" s="66">
        <v>2696.0</v>
      </c>
      <c r="I6" s="67">
        <v>3643.0</v>
      </c>
      <c r="J6" s="68">
        <f t="shared" ref="J6:L6" si="12">G6/max(G:G)</f>
        <v>0.8712372527</v>
      </c>
      <c r="K6" s="68">
        <f t="shared" si="12"/>
        <v>0.7698458024</v>
      </c>
      <c r="L6" s="68">
        <f t="shared" si="12"/>
        <v>0.9991771805</v>
      </c>
      <c r="M6" s="68">
        <f t="shared" si="3"/>
        <v>2.640260236</v>
      </c>
      <c r="N6" s="69">
        <f t="shared" si="4"/>
        <v>2708.9408</v>
      </c>
      <c r="O6" s="69">
        <f t="shared" si="5"/>
        <v>1148.832461</v>
      </c>
      <c r="P6" s="69">
        <f>O6*2.7</f>
        <v>3101.847644</v>
      </c>
      <c r="Q6" s="71">
        <f t="shared" si="7"/>
        <v>11.15463269</v>
      </c>
      <c r="R6" s="82">
        <v>150.0</v>
      </c>
      <c r="S6" s="73" t="s">
        <v>257</v>
      </c>
      <c r="T6" s="73" t="s">
        <v>258</v>
      </c>
      <c r="U6" s="73" t="s">
        <v>240</v>
      </c>
      <c r="V6" s="74" t="s">
        <v>259</v>
      </c>
      <c r="W6" s="74" t="s">
        <v>260</v>
      </c>
      <c r="X6" s="74" t="s">
        <v>261</v>
      </c>
      <c r="Y6" s="74" t="s">
        <v>262</v>
      </c>
      <c r="Z6" s="74" t="s">
        <v>263</v>
      </c>
      <c r="AA6" s="75">
        <v>0.02</v>
      </c>
      <c r="AB6" s="76" t="s">
        <v>225</v>
      </c>
      <c r="AC6" s="76" t="s">
        <v>225</v>
      </c>
      <c r="AD6" s="75">
        <v>0.08</v>
      </c>
      <c r="AE6" s="76" t="s">
        <v>225</v>
      </c>
      <c r="AF6" s="76" t="s">
        <v>225</v>
      </c>
      <c r="AG6" s="75">
        <v>0.02</v>
      </c>
      <c r="AH6" s="76" t="s">
        <v>225</v>
      </c>
      <c r="AI6" s="76" t="s">
        <v>225</v>
      </c>
      <c r="AJ6" s="75">
        <v>0.02</v>
      </c>
      <c r="AK6" s="76" t="s">
        <v>225</v>
      </c>
      <c r="AL6" s="76" t="s">
        <v>225</v>
      </c>
      <c r="AM6" s="77" t="s">
        <v>264</v>
      </c>
      <c r="AN6" s="78" t="s">
        <v>237</v>
      </c>
      <c r="AO6" s="79"/>
      <c r="AP6" s="79"/>
      <c r="AQ6" s="79"/>
      <c r="AR6" s="79"/>
      <c r="AS6" s="79"/>
      <c r="AT6" s="79"/>
      <c r="AU6" s="79"/>
      <c r="AV6" s="79"/>
      <c r="AW6" s="79"/>
      <c r="AX6" s="79"/>
      <c r="AY6" s="79"/>
      <c r="AZ6" s="79"/>
      <c r="BA6" s="80"/>
    </row>
    <row r="7" ht="82.5" customHeight="1">
      <c r="A7" s="61" t="s">
        <v>265</v>
      </c>
      <c r="B7" s="62" t="str">
        <f>image("https://i.imgur.com/D2icsfV.png")</f>
        <v/>
      </c>
      <c r="C7" s="63" t="s">
        <v>216</v>
      </c>
      <c r="D7" s="46" t="str">
        <f>image("https://i.imgur.com/pQYVkI3.png")</f>
        <v/>
      </c>
      <c r="E7" s="64" t="str">
        <f>image("https://i.imgur.com/P8lUDX0.png")</f>
        <v/>
      </c>
      <c r="F7" s="64" t="str">
        <f t="shared" si="9"/>
        <v/>
      </c>
      <c r="G7" s="65">
        <v>7092.0</v>
      </c>
      <c r="H7" s="66">
        <v>2706.0</v>
      </c>
      <c r="I7" s="67">
        <v>3593.0</v>
      </c>
      <c r="J7" s="68">
        <f t="shared" ref="J7:L7" si="13">G7/max(G:G)</f>
        <v>0.871360118</v>
      </c>
      <c r="K7" s="68">
        <f t="shared" si="13"/>
        <v>0.7727013135</v>
      </c>
      <c r="L7" s="68">
        <f t="shared" si="13"/>
        <v>0.9854635217</v>
      </c>
      <c r="M7" s="68">
        <f t="shared" si="3"/>
        <v>2.629524953</v>
      </c>
      <c r="N7" s="69">
        <f t="shared" si="4"/>
        <v>2709.2472</v>
      </c>
      <c r="O7" s="69">
        <f t="shared" si="5"/>
        <v>1364.161709</v>
      </c>
      <c r="P7" s="69">
        <f t="shared" ref="P7:P9" si="15">O7*4.5</f>
        <v>6138.72769</v>
      </c>
      <c r="Q7" s="71">
        <f t="shared" si="7"/>
        <v>11.06914312</v>
      </c>
      <c r="R7" s="82">
        <v>150.0</v>
      </c>
      <c r="S7" s="73" t="s">
        <v>266</v>
      </c>
      <c r="T7" s="73" t="s">
        <v>258</v>
      </c>
      <c r="U7" s="73" t="s">
        <v>267</v>
      </c>
      <c r="V7" s="74" t="s">
        <v>268</v>
      </c>
      <c r="W7" s="74" t="s">
        <v>269</v>
      </c>
      <c r="X7" s="74" t="s">
        <v>270</v>
      </c>
      <c r="Y7" s="74" t="s">
        <v>271</v>
      </c>
      <c r="Z7" s="74" t="s">
        <v>272</v>
      </c>
      <c r="AA7" s="75">
        <v>0.08</v>
      </c>
      <c r="AB7" s="76" t="s">
        <v>225</v>
      </c>
      <c r="AC7" s="76" t="s">
        <v>225</v>
      </c>
      <c r="AD7" s="75">
        <v>0.02</v>
      </c>
      <c r="AE7" s="76" t="s">
        <v>225</v>
      </c>
      <c r="AF7" s="76" t="s">
        <v>225</v>
      </c>
      <c r="AG7" s="75">
        <v>0.02</v>
      </c>
      <c r="AH7" s="76" t="s">
        <v>225</v>
      </c>
      <c r="AI7" s="76" t="s">
        <v>225</v>
      </c>
      <c r="AJ7" s="75">
        <v>0.02</v>
      </c>
      <c r="AK7" s="76" t="s">
        <v>225</v>
      </c>
      <c r="AL7" s="76" t="s">
        <v>225</v>
      </c>
      <c r="AM7" s="77" t="s">
        <v>273</v>
      </c>
      <c r="AN7" s="78" t="s">
        <v>237</v>
      </c>
      <c r="AO7" s="79"/>
      <c r="AP7" s="79"/>
      <c r="AQ7" s="79"/>
      <c r="AR7" s="79"/>
      <c r="AS7" s="79"/>
      <c r="AT7" s="79"/>
      <c r="AU7" s="79"/>
      <c r="AV7" s="79"/>
      <c r="AW7" s="79"/>
      <c r="AX7" s="79"/>
      <c r="AY7" s="79"/>
      <c r="AZ7" s="79"/>
      <c r="BA7" s="80"/>
    </row>
    <row r="8" ht="82.5" customHeight="1">
      <c r="A8" s="61" t="s">
        <v>274</v>
      </c>
      <c r="B8" s="62" t="str">
        <f>image("https://i.imgur.com/q1LDS6b.png")</f>
        <v/>
      </c>
      <c r="C8" s="63" t="s">
        <v>216</v>
      </c>
      <c r="D8" s="46" t="str">
        <f>image("https://i.imgur.com/hX15sR0.png")</f>
        <v/>
      </c>
      <c r="E8" s="64" t="str">
        <f>image("https://i.imgur.com/tOS4FvO.png")</f>
        <v/>
      </c>
      <c r="F8" s="64" t="str">
        <f t="shared" ref="F8:F16" si="16">image("https://i.imgur.com/MLuLYZy.png")</f>
        <v/>
      </c>
      <c r="G8" s="65">
        <v>7105.0</v>
      </c>
      <c r="H8" s="66">
        <v>2985.0</v>
      </c>
      <c r="I8" s="67">
        <v>3076.0</v>
      </c>
      <c r="J8" s="68">
        <f t="shared" ref="J8:L8" si="14">G8/max(G:G)</f>
        <v>0.8729573658</v>
      </c>
      <c r="K8" s="68">
        <f t="shared" si="14"/>
        <v>0.8523700742</v>
      </c>
      <c r="L8" s="68">
        <f t="shared" si="14"/>
        <v>0.8436642896</v>
      </c>
      <c r="M8" s="68">
        <f t="shared" si="3"/>
        <v>2.56899173</v>
      </c>
      <c r="N8" s="69">
        <f t="shared" si="4"/>
        <v>2988.582</v>
      </c>
      <c r="O8" s="69">
        <f t="shared" si="5"/>
        <v>1271.703132</v>
      </c>
      <c r="P8" s="69">
        <f t="shared" si="15"/>
        <v>5722.664094</v>
      </c>
      <c r="Q8" s="71">
        <f t="shared" si="7"/>
        <v>10.26140959</v>
      </c>
      <c r="R8" s="72">
        <v>150.0</v>
      </c>
      <c r="S8" s="73" t="s">
        <v>266</v>
      </c>
      <c r="T8" s="73" t="s">
        <v>275</v>
      </c>
      <c r="U8" s="73" t="s">
        <v>230</v>
      </c>
      <c r="V8" s="74" t="s">
        <v>276</v>
      </c>
      <c r="W8" s="74" t="s">
        <v>277</v>
      </c>
      <c r="X8" s="74" t="s">
        <v>278</v>
      </c>
      <c r="Y8" s="74" t="s">
        <v>279</v>
      </c>
      <c r="Z8" s="74" t="s">
        <v>280</v>
      </c>
      <c r="AA8" s="75">
        <v>0.02</v>
      </c>
      <c r="AB8" s="76" t="s">
        <v>225</v>
      </c>
      <c r="AC8" s="76" t="s">
        <v>225</v>
      </c>
      <c r="AD8" s="75">
        <v>0.02</v>
      </c>
      <c r="AE8" s="76" t="s">
        <v>225</v>
      </c>
      <c r="AF8" s="76" t="s">
        <v>225</v>
      </c>
      <c r="AG8" s="75">
        <v>0.02</v>
      </c>
      <c r="AH8" s="76" t="s">
        <v>225</v>
      </c>
      <c r="AI8" s="76" t="s">
        <v>225</v>
      </c>
      <c r="AJ8" s="75">
        <v>0.04</v>
      </c>
      <c r="AK8" s="76" t="s">
        <v>225</v>
      </c>
      <c r="AL8" s="76" t="s">
        <v>225</v>
      </c>
      <c r="AM8" s="77" t="s">
        <v>281</v>
      </c>
      <c r="AN8" s="78"/>
      <c r="AO8" s="79"/>
      <c r="AP8" s="79"/>
      <c r="AQ8" s="79"/>
      <c r="AR8" s="79"/>
      <c r="AS8" s="79"/>
      <c r="AT8" s="79"/>
      <c r="AU8" s="79"/>
      <c r="AV8" s="79"/>
      <c r="AW8" s="79"/>
      <c r="AX8" s="79"/>
      <c r="AY8" s="79"/>
      <c r="AZ8" s="79"/>
      <c r="BA8" s="80"/>
    </row>
    <row r="9" ht="82.5" customHeight="1">
      <c r="A9" s="61" t="s">
        <v>282</v>
      </c>
      <c r="B9" s="62" t="str">
        <f>image("https://i.imgur.com/CETbPu5.png")</f>
        <v/>
      </c>
      <c r="C9" s="63" t="s">
        <v>216</v>
      </c>
      <c r="D9" s="46" t="str">
        <f>image("https://i.imgur.com/QndVudD.png")</f>
        <v/>
      </c>
      <c r="E9" s="64" t="str">
        <f t="shared" ref="E9:E10" si="18">image("https://i.imgur.com/P8lUDX0.png")</f>
        <v/>
      </c>
      <c r="F9" s="64" t="str">
        <f t="shared" si="16"/>
        <v/>
      </c>
      <c r="G9" s="65">
        <v>7133.0</v>
      </c>
      <c r="H9" s="66">
        <v>2975.0</v>
      </c>
      <c r="I9" s="67">
        <v>3067.0</v>
      </c>
      <c r="J9" s="68">
        <f t="shared" ref="J9:L9" si="17">G9/max(G:G)</f>
        <v>0.8763975918</v>
      </c>
      <c r="K9" s="68">
        <f t="shared" si="17"/>
        <v>0.8495145631</v>
      </c>
      <c r="L9" s="68">
        <f t="shared" si="17"/>
        <v>0.841195831</v>
      </c>
      <c r="M9" s="68">
        <f t="shared" si="3"/>
        <v>2.567107986</v>
      </c>
      <c r="N9" s="69">
        <f t="shared" si="4"/>
        <v>2982.14</v>
      </c>
      <c r="O9" s="69">
        <f t="shared" si="5"/>
        <v>1345.07128</v>
      </c>
      <c r="P9" s="69">
        <f t="shared" si="15"/>
        <v>6052.82076</v>
      </c>
      <c r="Q9" s="71">
        <f t="shared" si="7"/>
        <v>10.28847541</v>
      </c>
      <c r="R9" s="82">
        <v>150.0</v>
      </c>
      <c r="S9" s="73" t="s">
        <v>283</v>
      </c>
      <c r="T9" s="73" t="s">
        <v>284</v>
      </c>
      <c r="U9" s="73" t="s">
        <v>230</v>
      </c>
      <c r="V9" s="74" t="s">
        <v>285</v>
      </c>
      <c r="W9" s="74" t="s">
        <v>286</v>
      </c>
      <c r="X9" s="74" t="s">
        <v>287</v>
      </c>
      <c r="Y9" s="74" t="s">
        <v>288</v>
      </c>
      <c r="Z9" s="74" t="s">
        <v>289</v>
      </c>
      <c r="AA9" s="75">
        <v>0.04</v>
      </c>
      <c r="AB9" s="76" t="s">
        <v>225</v>
      </c>
      <c r="AC9" s="76" t="s">
        <v>225</v>
      </c>
      <c r="AD9" s="75">
        <v>0.04</v>
      </c>
      <c r="AE9" s="76" t="s">
        <v>225</v>
      </c>
      <c r="AF9" s="76" t="s">
        <v>225</v>
      </c>
      <c r="AG9" s="75">
        <v>0.02</v>
      </c>
      <c r="AH9" s="76" t="s">
        <v>225</v>
      </c>
      <c r="AI9" s="76" t="s">
        <v>225</v>
      </c>
      <c r="AJ9" s="75">
        <v>0.02</v>
      </c>
      <c r="AK9" s="76" t="s">
        <v>225</v>
      </c>
      <c r="AL9" s="76" t="s">
        <v>225</v>
      </c>
      <c r="AM9" s="77" t="s">
        <v>290</v>
      </c>
      <c r="AN9" s="78" t="s">
        <v>237</v>
      </c>
      <c r="AO9" s="79"/>
      <c r="AP9" s="79"/>
      <c r="AQ9" s="79"/>
      <c r="AR9" s="79"/>
      <c r="AS9" s="79"/>
      <c r="AT9" s="79"/>
      <c r="AU9" s="79"/>
      <c r="AV9" s="79"/>
      <c r="AW9" s="79"/>
      <c r="AX9" s="79"/>
      <c r="AY9" s="79"/>
      <c r="AZ9" s="79"/>
      <c r="BA9" s="80"/>
    </row>
    <row r="10" ht="82.5" customHeight="1">
      <c r="A10" s="83" t="s">
        <v>291</v>
      </c>
      <c r="B10" s="90" t="str">
        <f>image("https://i.imgur.com/6SPcIdp.png")</f>
        <v/>
      </c>
      <c r="C10" s="63" t="s">
        <v>216</v>
      </c>
      <c r="D10" s="81" t="str">
        <f>image("https://i.imgur.com/z8bnSYg.png")</f>
        <v/>
      </c>
      <c r="E10" s="64" t="str">
        <f t="shared" si="18"/>
        <v/>
      </c>
      <c r="F10" s="64" t="str">
        <f t="shared" si="16"/>
        <v/>
      </c>
      <c r="G10" s="84">
        <v>7142.0</v>
      </c>
      <c r="H10" s="85">
        <v>3007.0</v>
      </c>
      <c r="I10" s="86">
        <v>3005.0</v>
      </c>
      <c r="J10" s="68">
        <f t="shared" ref="J10:L10" si="19">G10/max(G:G)</f>
        <v>0.8775033788</v>
      </c>
      <c r="K10" s="68">
        <f t="shared" si="19"/>
        <v>0.8586521987</v>
      </c>
      <c r="L10" s="68">
        <f t="shared" si="19"/>
        <v>0.8241908941</v>
      </c>
      <c r="M10" s="68">
        <f t="shared" si="3"/>
        <v>2.560346472</v>
      </c>
      <c r="N10" s="69">
        <f t="shared" si="4"/>
        <v>3014.2168</v>
      </c>
      <c r="O10" s="69">
        <f t="shared" si="5"/>
        <v>1359.539274</v>
      </c>
      <c r="P10" s="69">
        <f>O10*2.7</f>
        <v>3670.756039</v>
      </c>
      <c r="Q10" s="71">
        <f t="shared" si="7"/>
        <v>10.21015011</v>
      </c>
      <c r="R10" s="91">
        <v>150.0</v>
      </c>
      <c r="S10" s="74" t="s">
        <v>292</v>
      </c>
      <c r="T10" s="74" t="s">
        <v>293</v>
      </c>
      <c r="U10" s="74" t="s">
        <v>230</v>
      </c>
      <c r="V10" s="74" t="s">
        <v>294</v>
      </c>
      <c r="W10" s="74" t="s">
        <v>295</v>
      </c>
      <c r="X10" s="74" t="s">
        <v>296</v>
      </c>
      <c r="Y10" s="74" t="s">
        <v>297</v>
      </c>
      <c r="Z10" s="74" t="s">
        <v>298</v>
      </c>
      <c r="AA10" s="75">
        <v>0.04</v>
      </c>
      <c r="AB10" s="76" t="s">
        <v>225</v>
      </c>
      <c r="AC10" s="76" t="s">
        <v>225</v>
      </c>
      <c r="AD10" s="75">
        <v>0.04</v>
      </c>
      <c r="AE10" s="76" t="s">
        <v>225</v>
      </c>
      <c r="AF10" s="76" t="s">
        <v>225</v>
      </c>
      <c r="AG10" s="75">
        <v>0.02</v>
      </c>
      <c r="AH10" s="76" t="s">
        <v>225</v>
      </c>
      <c r="AI10" s="76" t="s">
        <v>225</v>
      </c>
      <c r="AJ10" s="75">
        <v>0.02</v>
      </c>
      <c r="AK10" s="76" t="s">
        <v>225</v>
      </c>
      <c r="AL10" s="76" t="s">
        <v>225</v>
      </c>
      <c r="AM10" s="87" t="s">
        <v>299</v>
      </c>
      <c r="AN10" s="78" t="s">
        <v>237</v>
      </c>
      <c r="AO10" s="88"/>
      <c r="AP10" s="88"/>
      <c r="AQ10" s="88"/>
      <c r="AR10" s="88"/>
      <c r="AS10" s="88"/>
      <c r="AT10" s="88"/>
      <c r="AU10" s="88"/>
      <c r="AV10" s="88"/>
      <c r="AW10" s="88"/>
      <c r="AX10" s="88"/>
      <c r="AY10" s="88"/>
      <c r="AZ10" s="88"/>
      <c r="BA10" s="89"/>
    </row>
    <row r="11" ht="82.5" customHeight="1">
      <c r="A11" s="61" t="s">
        <v>300</v>
      </c>
      <c r="B11" s="62" t="str">
        <f>image("https://i.imgur.com/ngZQlot.png")</f>
        <v/>
      </c>
      <c r="C11" s="63" t="s">
        <v>216</v>
      </c>
      <c r="D11" s="46" t="str">
        <f>image("https://i.imgur.com/hX15sR0.png")</f>
        <v/>
      </c>
      <c r="E11" s="64" t="str">
        <f>image("https://i.imgur.com/tOS4FvO.png")</f>
        <v/>
      </c>
      <c r="F11" s="64" t="str">
        <f t="shared" si="16"/>
        <v/>
      </c>
      <c r="G11" s="65">
        <v>7134.0</v>
      </c>
      <c r="H11" s="66">
        <v>3004.0</v>
      </c>
      <c r="I11" s="67">
        <v>3004.0</v>
      </c>
      <c r="J11" s="68">
        <f t="shared" ref="J11:L11" si="20">G11/max(G:G)</f>
        <v>0.8765204571</v>
      </c>
      <c r="K11" s="68">
        <f t="shared" si="20"/>
        <v>0.8577955454</v>
      </c>
      <c r="L11" s="68">
        <f t="shared" si="20"/>
        <v>0.823916621</v>
      </c>
      <c r="M11" s="68">
        <f t="shared" si="3"/>
        <v>2.558232623</v>
      </c>
      <c r="N11" s="69">
        <f t="shared" si="4"/>
        <v>3011.2096</v>
      </c>
      <c r="O11" s="69">
        <f t="shared" si="5"/>
        <v>1358.182899</v>
      </c>
      <c r="P11" s="69">
        <f t="shared" ref="P11:P16" si="22">O11*4.5</f>
        <v>6111.823046</v>
      </c>
      <c r="Q11" s="71">
        <f t="shared" si="7"/>
        <v>10.19725557</v>
      </c>
      <c r="R11" s="82">
        <v>150.0</v>
      </c>
      <c r="S11" s="73" t="s">
        <v>301</v>
      </c>
      <c r="T11" s="73" t="s">
        <v>284</v>
      </c>
      <c r="U11" s="73" t="s">
        <v>240</v>
      </c>
      <c r="V11" s="74" t="s">
        <v>302</v>
      </c>
      <c r="W11" s="74" t="s">
        <v>303</v>
      </c>
      <c r="X11" s="74" t="s">
        <v>304</v>
      </c>
      <c r="Y11" s="74" t="s">
        <v>305</v>
      </c>
      <c r="Z11" s="74" t="s">
        <v>306</v>
      </c>
      <c r="AA11" s="75">
        <v>0.04</v>
      </c>
      <c r="AB11" s="76" t="s">
        <v>225</v>
      </c>
      <c r="AC11" s="76" t="s">
        <v>225</v>
      </c>
      <c r="AD11" s="75">
        <v>0.04</v>
      </c>
      <c r="AE11" s="76" t="s">
        <v>225</v>
      </c>
      <c r="AF11" s="76" t="s">
        <v>225</v>
      </c>
      <c r="AG11" s="75">
        <v>0.02</v>
      </c>
      <c r="AH11" s="76" t="s">
        <v>225</v>
      </c>
      <c r="AI11" s="76" t="s">
        <v>225</v>
      </c>
      <c r="AJ11" s="75">
        <v>0.02</v>
      </c>
      <c r="AK11" s="76" t="s">
        <v>225</v>
      </c>
      <c r="AL11" s="76" t="s">
        <v>225</v>
      </c>
      <c r="AM11" s="77" t="s">
        <v>307</v>
      </c>
      <c r="AN11" s="78" t="s">
        <v>237</v>
      </c>
      <c r="AO11" s="79"/>
      <c r="AP11" s="79"/>
      <c r="AQ11" s="79"/>
      <c r="AR11" s="79"/>
      <c r="AS11" s="79"/>
      <c r="AT11" s="79"/>
      <c r="AU11" s="79"/>
      <c r="AV11" s="79"/>
      <c r="AW11" s="79"/>
      <c r="AX11" s="79"/>
      <c r="AY11" s="79"/>
      <c r="AZ11" s="79"/>
      <c r="BA11" s="80"/>
    </row>
    <row r="12" ht="82.5" customHeight="1">
      <c r="A12" s="61" t="s">
        <v>308</v>
      </c>
      <c r="B12" s="62" t="str">
        <f>image("https://i.imgur.com/lc781HC.png")</f>
        <v/>
      </c>
      <c r="C12" s="63" t="s">
        <v>216</v>
      </c>
      <c r="D12" s="46" t="str">
        <f>image("https://i.imgur.com/NchScWh.png")</f>
        <v/>
      </c>
      <c r="E12" s="64" t="str">
        <f t="shared" ref="E12:E14" si="23">image("https://i.imgur.com/P8lUDX0.png")</f>
        <v/>
      </c>
      <c r="F12" s="64" t="str">
        <f t="shared" si="16"/>
        <v/>
      </c>
      <c r="G12" s="65">
        <v>7136.0</v>
      </c>
      <c r="H12" s="66">
        <v>3003.0</v>
      </c>
      <c r="I12" s="67">
        <v>3003.0</v>
      </c>
      <c r="J12" s="68">
        <f t="shared" ref="J12:L12" si="21">G12/max(G:G)</f>
        <v>0.8767661875</v>
      </c>
      <c r="K12" s="68">
        <f t="shared" si="21"/>
        <v>0.8575099943</v>
      </c>
      <c r="L12" s="68">
        <f t="shared" si="21"/>
        <v>0.8236423478</v>
      </c>
      <c r="M12" s="68">
        <f t="shared" si="3"/>
        <v>2.55791853</v>
      </c>
      <c r="N12" s="69">
        <f t="shared" si="4"/>
        <v>3010.2072</v>
      </c>
      <c r="O12" s="69">
        <f t="shared" si="5"/>
        <v>1357.730774</v>
      </c>
      <c r="P12" s="69">
        <f t="shared" si="22"/>
        <v>6109.788485</v>
      </c>
      <c r="Q12" s="71">
        <f t="shared" si="7"/>
        <v>10.19865657</v>
      </c>
      <c r="R12" s="82">
        <v>150.0</v>
      </c>
      <c r="S12" s="73" t="s">
        <v>257</v>
      </c>
      <c r="T12" s="73" t="s">
        <v>309</v>
      </c>
      <c r="U12" s="73" t="s">
        <v>267</v>
      </c>
      <c r="V12" s="74" t="s">
        <v>310</v>
      </c>
      <c r="W12" s="74" t="s">
        <v>311</v>
      </c>
      <c r="X12" s="74" t="s">
        <v>312</v>
      </c>
      <c r="Y12" s="74" t="s">
        <v>223</v>
      </c>
      <c r="Z12" s="74" t="s">
        <v>224</v>
      </c>
      <c r="AA12" s="75">
        <v>0.04</v>
      </c>
      <c r="AB12" s="76" t="s">
        <v>225</v>
      </c>
      <c r="AC12" s="76" t="s">
        <v>225</v>
      </c>
      <c r="AD12" s="75">
        <v>0.04</v>
      </c>
      <c r="AE12" s="76" t="s">
        <v>225</v>
      </c>
      <c r="AF12" s="76" t="s">
        <v>225</v>
      </c>
      <c r="AG12" s="75">
        <v>0.02</v>
      </c>
      <c r="AH12" s="76" t="s">
        <v>225</v>
      </c>
      <c r="AI12" s="76" t="s">
        <v>225</v>
      </c>
      <c r="AJ12" s="75">
        <v>0.02</v>
      </c>
      <c r="AK12" s="76" t="s">
        <v>225</v>
      </c>
      <c r="AL12" s="76" t="s">
        <v>225</v>
      </c>
      <c r="AM12" s="77" t="s">
        <v>313</v>
      </c>
      <c r="AN12" s="78" t="s">
        <v>237</v>
      </c>
      <c r="AO12" s="79"/>
      <c r="AP12" s="79"/>
      <c r="AQ12" s="79"/>
      <c r="AR12" s="79"/>
      <c r="AS12" s="79"/>
      <c r="AT12" s="79"/>
      <c r="AU12" s="79"/>
      <c r="AV12" s="79"/>
      <c r="AW12" s="79"/>
      <c r="AX12" s="79"/>
      <c r="AY12" s="79"/>
      <c r="AZ12" s="79"/>
      <c r="BA12" s="80"/>
    </row>
    <row r="13" ht="82.5" customHeight="1">
      <c r="A13" s="61" t="s">
        <v>314</v>
      </c>
      <c r="B13" s="62" t="str">
        <f>image("https://i.imgur.com/zX8yaCh.png")</f>
        <v/>
      </c>
      <c r="C13" s="63" t="s">
        <v>216</v>
      </c>
      <c r="D13" s="46" t="str">
        <f>image("https://i.imgur.com/pQYVkI3.png")</f>
        <v/>
      </c>
      <c r="E13" s="64" t="str">
        <f t="shared" si="23"/>
        <v/>
      </c>
      <c r="F13" s="64" t="str">
        <f t="shared" si="16"/>
        <v/>
      </c>
      <c r="G13" s="65">
        <v>7140.0</v>
      </c>
      <c r="H13" s="66">
        <v>3001.0</v>
      </c>
      <c r="I13" s="67">
        <v>3001.0</v>
      </c>
      <c r="J13" s="68">
        <f t="shared" ref="J13:L13" si="24">G13/max(G:G)</f>
        <v>0.8772576484</v>
      </c>
      <c r="K13" s="68">
        <f t="shared" si="24"/>
        <v>0.8569388921</v>
      </c>
      <c r="L13" s="68">
        <f t="shared" si="24"/>
        <v>0.8230938014</v>
      </c>
      <c r="M13" s="68">
        <f t="shared" si="3"/>
        <v>2.557290342</v>
      </c>
      <c r="N13" s="69">
        <f t="shared" si="4"/>
        <v>3004.6012</v>
      </c>
      <c r="O13" s="69">
        <f t="shared" si="5"/>
        <v>1278.519631</v>
      </c>
      <c r="P13" s="69">
        <f t="shared" si="22"/>
        <v>5753.33834</v>
      </c>
      <c r="Q13" s="71">
        <f t="shared" si="7"/>
        <v>11.0885406</v>
      </c>
      <c r="R13" s="72">
        <v>150.0</v>
      </c>
      <c r="S13" s="73" t="s">
        <v>248</v>
      </c>
      <c r="T13" s="73" t="s">
        <v>218</v>
      </c>
      <c r="U13" s="73" t="s">
        <v>315</v>
      </c>
      <c r="V13" s="74" t="s">
        <v>316</v>
      </c>
      <c r="W13" s="74" t="s">
        <v>317</v>
      </c>
      <c r="X13" s="74" t="s">
        <v>318</v>
      </c>
      <c r="Y13" s="74" t="s">
        <v>223</v>
      </c>
      <c r="Z13" s="74" t="s">
        <v>224</v>
      </c>
      <c r="AA13" s="75">
        <v>0.02</v>
      </c>
      <c r="AB13" s="76" t="s">
        <v>225</v>
      </c>
      <c r="AC13" s="76" t="s">
        <v>225</v>
      </c>
      <c r="AD13" s="75">
        <v>0.02</v>
      </c>
      <c r="AE13" s="76" t="s">
        <v>225</v>
      </c>
      <c r="AF13" s="76" t="s">
        <v>225</v>
      </c>
      <c r="AG13" s="75">
        <v>0.04</v>
      </c>
      <c r="AH13" s="75">
        <v>0.04</v>
      </c>
      <c r="AI13" s="76" t="s">
        <v>225</v>
      </c>
      <c r="AJ13" s="75">
        <v>0.02</v>
      </c>
      <c r="AK13" s="76" t="s">
        <v>225</v>
      </c>
      <c r="AL13" s="76" t="s">
        <v>225</v>
      </c>
      <c r="AM13" s="77" t="s">
        <v>319</v>
      </c>
      <c r="AN13" s="78" t="s">
        <v>237</v>
      </c>
      <c r="AO13" s="79"/>
      <c r="AP13" s="79"/>
      <c r="AQ13" s="79"/>
      <c r="AR13" s="79"/>
      <c r="AS13" s="79"/>
      <c r="AT13" s="79"/>
      <c r="AU13" s="79"/>
      <c r="AV13" s="79"/>
      <c r="AW13" s="79"/>
      <c r="AX13" s="79"/>
      <c r="AY13" s="79"/>
      <c r="AZ13" s="79"/>
      <c r="BA13" s="80"/>
    </row>
    <row r="14" ht="82.5" customHeight="1">
      <c r="A14" s="61" t="s">
        <v>320</v>
      </c>
      <c r="B14" s="62" t="str">
        <f>image("https://i.imgur.com/sMFoSip.png")</f>
        <v/>
      </c>
      <c r="C14" s="63" t="s">
        <v>216</v>
      </c>
      <c r="D14" s="47" t="str">
        <f t="shared" ref="D14:D15" si="26">image("https://i.imgur.com/pzX6NRL.png")</f>
        <v/>
      </c>
      <c r="E14" s="64" t="str">
        <f t="shared" si="23"/>
        <v/>
      </c>
      <c r="F14" s="64" t="str">
        <f t="shared" si="16"/>
        <v/>
      </c>
      <c r="G14" s="65">
        <v>7132.0</v>
      </c>
      <c r="H14" s="66">
        <v>3002.0</v>
      </c>
      <c r="I14" s="67">
        <v>3002.0</v>
      </c>
      <c r="J14" s="68">
        <f t="shared" ref="J14:L14" si="25">G14/max(G:G)</f>
        <v>0.8762747266</v>
      </c>
      <c r="K14" s="68">
        <f t="shared" si="25"/>
        <v>0.8572244432</v>
      </c>
      <c r="L14" s="68">
        <f t="shared" si="25"/>
        <v>0.8233680746</v>
      </c>
      <c r="M14" s="68">
        <f t="shared" si="3"/>
        <v>2.556867244</v>
      </c>
      <c r="N14" s="69">
        <f t="shared" si="4"/>
        <v>3005.6024</v>
      </c>
      <c r="O14" s="69">
        <f t="shared" si="5"/>
        <v>1513.38265</v>
      </c>
      <c r="P14" s="69">
        <f t="shared" si="22"/>
        <v>6810.221923</v>
      </c>
      <c r="Q14" s="71">
        <f t="shared" si="7"/>
        <v>10.19148328</v>
      </c>
      <c r="R14" s="72">
        <v>150.0</v>
      </c>
      <c r="S14" s="73" t="s">
        <v>321</v>
      </c>
      <c r="T14" s="73" t="s">
        <v>322</v>
      </c>
      <c r="U14" s="73" t="s">
        <v>323</v>
      </c>
      <c r="V14" s="74" t="s">
        <v>324</v>
      </c>
      <c r="W14" s="74" t="s">
        <v>325</v>
      </c>
      <c r="X14" s="74" t="s">
        <v>326</v>
      </c>
      <c r="Y14" s="74" t="s">
        <v>327</v>
      </c>
      <c r="Z14" s="74" t="s">
        <v>328</v>
      </c>
      <c r="AA14" s="75">
        <v>0.08</v>
      </c>
      <c r="AB14" s="76" t="s">
        <v>225</v>
      </c>
      <c r="AC14" s="76" t="s">
        <v>225</v>
      </c>
      <c r="AD14" s="75">
        <v>0.02</v>
      </c>
      <c r="AE14" s="76" t="s">
        <v>225</v>
      </c>
      <c r="AF14" s="76" t="s">
        <v>225</v>
      </c>
      <c r="AG14" s="75">
        <v>0.02</v>
      </c>
      <c r="AH14" s="76" t="s">
        <v>225</v>
      </c>
      <c r="AI14" s="76" t="s">
        <v>225</v>
      </c>
      <c r="AJ14" s="75">
        <v>0.02</v>
      </c>
      <c r="AK14" s="76" t="s">
        <v>225</v>
      </c>
      <c r="AL14" s="76" t="s">
        <v>225</v>
      </c>
      <c r="AM14" s="77" t="s">
        <v>329</v>
      </c>
      <c r="AN14" s="78" t="s">
        <v>237</v>
      </c>
      <c r="AO14" s="79"/>
      <c r="AP14" s="79"/>
      <c r="AQ14" s="79"/>
      <c r="AR14" s="79"/>
      <c r="AS14" s="79"/>
      <c r="AT14" s="79"/>
      <c r="AU14" s="79"/>
      <c r="AV14" s="79"/>
      <c r="AW14" s="79"/>
      <c r="AX14" s="79"/>
      <c r="AY14" s="79"/>
      <c r="AZ14" s="79"/>
      <c r="BA14" s="80"/>
    </row>
    <row r="15" ht="82.5" customHeight="1">
      <c r="A15" s="61" t="s">
        <v>330</v>
      </c>
      <c r="B15" s="62" t="str">
        <f>image("https://i.imgur.com/CdChzro.png")</f>
        <v/>
      </c>
      <c r="C15" s="63" t="s">
        <v>216</v>
      </c>
      <c r="D15" s="47" t="str">
        <f t="shared" si="26"/>
        <v/>
      </c>
      <c r="E15" s="64" t="str">
        <f>image("https://i.imgur.com/tOS4FvO.png")</f>
        <v/>
      </c>
      <c r="F15" s="64" t="str">
        <f t="shared" si="16"/>
        <v/>
      </c>
      <c r="G15" s="65">
        <v>7129.0</v>
      </c>
      <c r="H15" s="66">
        <v>3003.0</v>
      </c>
      <c r="I15" s="67">
        <v>3002.0</v>
      </c>
      <c r="J15" s="68">
        <f t="shared" ref="J15:L15" si="27">G15/max(G:G)</f>
        <v>0.875906131</v>
      </c>
      <c r="K15" s="68">
        <f t="shared" si="27"/>
        <v>0.8575099943</v>
      </c>
      <c r="L15" s="68">
        <f t="shared" si="27"/>
        <v>0.8233680746</v>
      </c>
      <c r="M15" s="68">
        <f t="shared" si="3"/>
        <v>2.5567842</v>
      </c>
      <c r="N15" s="69">
        <f t="shared" si="4"/>
        <v>3006.6036</v>
      </c>
      <c r="O15" s="69">
        <f t="shared" si="5"/>
        <v>1279.371694</v>
      </c>
      <c r="P15" s="69">
        <f t="shared" si="22"/>
        <v>5757.172621</v>
      </c>
      <c r="Q15" s="71">
        <f t="shared" si="7"/>
        <v>10.18719634</v>
      </c>
      <c r="R15" s="82">
        <v>150.0</v>
      </c>
      <c r="S15" s="73" t="s">
        <v>331</v>
      </c>
      <c r="T15" s="73" t="s">
        <v>293</v>
      </c>
      <c r="U15" s="73" t="s">
        <v>240</v>
      </c>
      <c r="V15" s="74" t="s">
        <v>332</v>
      </c>
      <c r="W15" s="74" t="s">
        <v>333</v>
      </c>
      <c r="X15" s="74" t="s">
        <v>334</v>
      </c>
      <c r="Y15" s="74" t="s">
        <v>335</v>
      </c>
      <c r="Z15" s="74" t="s">
        <v>336</v>
      </c>
      <c r="AA15" s="75">
        <v>0.02</v>
      </c>
      <c r="AB15" s="76" t="s">
        <v>225</v>
      </c>
      <c r="AC15" s="76" t="s">
        <v>225</v>
      </c>
      <c r="AD15" s="75">
        <v>0.02</v>
      </c>
      <c r="AE15" s="76" t="s">
        <v>225</v>
      </c>
      <c r="AF15" s="76" t="s">
        <v>225</v>
      </c>
      <c r="AG15" s="75">
        <v>0.08</v>
      </c>
      <c r="AH15" s="76" t="s">
        <v>225</v>
      </c>
      <c r="AI15" s="76" t="s">
        <v>225</v>
      </c>
      <c r="AJ15" s="75">
        <v>0.02</v>
      </c>
      <c r="AK15" s="76" t="s">
        <v>225</v>
      </c>
      <c r="AL15" s="76" t="s">
        <v>225</v>
      </c>
      <c r="AM15" s="77" t="s">
        <v>337</v>
      </c>
      <c r="AN15" s="78" t="s">
        <v>237</v>
      </c>
      <c r="AO15" s="79"/>
      <c r="AP15" s="79"/>
      <c r="AQ15" s="79"/>
      <c r="AR15" s="79"/>
      <c r="AS15" s="79"/>
      <c r="AT15" s="79"/>
      <c r="AU15" s="79"/>
      <c r="AV15" s="79"/>
      <c r="AW15" s="79"/>
      <c r="AX15" s="79"/>
      <c r="AY15" s="79"/>
      <c r="AZ15" s="79"/>
      <c r="BA15" s="80"/>
    </row>
    <row r="16" ht="82.5" customHeight="1">
      <c r="A16" s="83" t="s">
        <v>338</v>
      </c>
      <c r="B16" s="62" t="str">
        <f>image("https://i.imgur.com/968GQEC.png")</f>
        <v/>
      </c>
      <c r="C16" s="63" t="s">
        <v>216</v>
      </c>
      <c r="D16" s="81" t="str">
        <f>image("https://i.imgur.com/QndVudD.png")</f>
        <v/>
      </c>
      <c r="E16" s="64" t="str">
        <f>image("https://i.imgur.com/P8lUDX0.png")</f>
        <v/>
      </c>
      <c r="F16" s="64" t="str">
        <f t="shared" si="16"/>
        <v/>
      </c>
      <c r="G16" s="84">
        <v>7142.0</v>
      </c>
      <c r="H16" s="85">
        <v>2994.0</v>
      </c>
      <c r="I16" s="86">
        <v>2994.0</v>
      </c>
      <c r="J16" s="68">
        <f t="shared" ref="J16:L16" si="28">G16/max(G:G)</f>
        <v>0.8775033788</v>
      </c>
      <c r="K16" s="68">
        <f t="shared" si="28"/>
        <v>0.8549400343</v>
      </c>
      <c r="L16" s="68">
        <f t="shared" si="28"/>
        <v>0.8211738892</v>
      </c>
      <c r="M16" s="68">
        <f t="shared" si="3"/>
        <v>2.553617302</v>
      </c>
      <c r="N16" s="69">
        <f t="shared" si="4"/>
        <v>3008.3712</v>
      </c>
      <c r="O16" s="69">
        <f t="shared" si="5"/>
        <v>1275.817651</v>
      </c>
      <c r="P16" s="69">
        <f t="shared" si="22"/>
        <v>5741.17943</v>
      </c>
      <c r="Q16" s="71">
        <f t="shared" si="7"/>
        <v>10.19411933</v>
      </c>
      <c r="R16" s="76">
        <v>150.0</v>
      </c>
      <c r="S16" s="74" t="s">
        <v>339</v>
      </c>
      <c r="T16" s="74" t="s">
        <v>340</v>
      </c>
      <c r="U16" s="74" t="s">
        <v>323</v>
      </c>
      <c r="V16" s="74" t="s">
        <v>341</v>
      </c>
      <c r="W16" s="74" t="s">
        <v>342</v>
      </c>
      <c r="X16" s="74" t="s">
        <v>343</v>
      </c>
      <c r="Y16" s="74" t="s">
        <v>344</v>
      </c>
      <c r="Z16" s="74" t="s">
        <v>345</v>
      </c>
      <c r="AA16" s="75">
        <v>0.02</v>
      </c>
      <c r="AB16" s="76" t="s">
        <v>225</v>
      </c>
      <c r="AC16" s="76" t="s">
        <v>225</v>
      </c>
      <c r="AD16" s="75">
        <v>0.08</v>
      </c>
      <c r="AE16" s="76" t="s">
        <v>225</v>
      </c>
      <c r="AF16" s="76" t="s">
        <v>225</v>
      </c>
      <c r="AG16" s="76">
        <v>2.0</v>
      </c>
      <c r="AH16" s="76" t="s">
        <v>225</v>
      </c>
      <c r="AI16" s="76" t="s">
        <v>225</v>
      </c>
      <c r="AJ16" s="76">
        <v>2.0</v>
      </c>
      <c r="AK16" s="76" t="s">
        <v>225</v>
      </c>
      <c r="AL16" s="76" t="s">
        <v>225</v>
      </c>
      <c r="AM16" s="87"/>
      <c r="AN16" s="78"/>
      <c r="AO16" s="88"/>
      <c r="AP16" s="88"/>
      <c r="AQ16" s="88"/>
      <c r="AR16" s="88"/>
      <c r="AS16" s="88"/>
      <c r="AT16" s="88"/>
      <c r="AU16" s="88"/>
      <c r="AV16" s="88"/>
      <c r="AW16" s="88"/>
      <c r="AX16" s="88"/>
      <c r="AY16" s="88"/>
      <c r="AZ16" s="88"/>
      <c r="BA16" s="89"/>
    </row>
    <row r="17" ht="82.5" customHeight="1">
      <c r="A17" s="61" t="s">
        <v>346</v>
      </c>
      <c r="B17" s="62" t="str">
        <f>image("https://i.imgur.com/404VYk6.png")</f>
        <v/>
      </c>
      <c r="C17" s="63" t="s">
        <v>216</v>
      </c>
      <c r="D17" s="47" t="str">
        <f>image("https://i.imgur.com/pzX6NRL.png")</f>
        <v/>
      </c>
      <c r="E17" s="64" t="str">
        <f t="shared" ref="E17:E19" si="30">image("https://i.imgur.com/tOS4FvO.png")</f>
        <v/>
      </c>
      <c r="F17" s="64" t="str">
        <f t="shared" ref="F17:F30" si="31">image("https://i.imgur.com/yduAVsz.png")</f>
        <v/>
      </c>
      <c r="G17" s="65">
        <v>6891.0</v>
      </c>
      <c r="H17" s="66">
        <v>3240.0</v>
      </c>
      <c r="I17" s="67">
        <v>2622.0</v>
      </c>
      <c r="J17" s="68">
        <f t="shared" ref="J17:L17" si="29">G17/max(G:G)</f>
        <v>0.8466642094</v>
      </c>
      <c r="K17" s="68">
        <f t="shared" si="29"/>
        <v>0.9251856082</v>
      </c>
      <c r="L17" s="68">
        <f t="shared" si="29"/>
        <v>0.7191442677</v>
      </c>
      <c r="M17" s="68">
        <f t="shared" si="3"/>
        <v>2.490994085</v>
      </c>
      <c r="N17" s="69">
        <f t="shared" si="4"/>
        <v>3247.776</v>
      </c>
      <c r="O17" s="69">
        <f t="shared" si="5"/>
        <v>1464.884352</v>
      </c>
      <c r="P17" s="69">
        <f>O17*2.7</f>
        <v>3955.18775</v>
      </c>
      <c r="Q17" s="71">
        <f t="shared" si="7"/>
        <v>9.33992952</v>
      </c>
      <c r="R17" s="72">
        <v>150.0</v>
      </c>
      <c r="S17" s="73" t="s">
        <v>283</v>
      </c>
      <c r="T17" s="73" t="s">
        <v>258</v>
      </c>
      <c r="U17" s="73" t="s">
        <v>219</v>
      </c>
      <c r="V17" s="74" t="s">
        <v>347</v>
      </c>
      <c r="W17" s="74" t="s">
        <v>348</v>
      </c>
      <c r="X17" s="74" t="s">
        <v>349</v>
      </c>
      <c r="Y17" s="74" t="s">
        <v>234</v>
      </c>
      <c r="Z17" s="74" t="s">
        <v>235</v>
      </c>
      <c r="AA17" s="75">
        <v>0.04</v>
      </c>
      <c r="AB17" s="76" t="s">
        <v>225</v>
      </c>
      <c r="AC17" s="76" t="s">
        <v>225</v>
      </c>
      <c r="AD17" s="75">
        <v>0.04</v>
      </c>
      <c r="AE17" s="76" t="s">
        <v>225</v>
      </c>
      <c r="AF17" s="76" t="s">
        <v>225</v>
      </c>
      <c r="AG17" s="75">
        <v>0.02</v>
      </c>
      <c r="AH17" s="76" t="s">
        <v>225</v>
      </c>
      <c r="AI17" s="76" t="s">
        <v>225</v>
      </c>
      <c r="AJ17" s="75">
        <v>0.02</v>
      </c>
      <c r="AK17" s="76" t="s">
        <v>225</v>
      </c>
      <c r="AL17" s="76" t="s">
        <v>225</v>
      </c>
      <c r="AM17" s="77" t="s">
        <v>350</v>
      </c>
      <c r="AN17" s="78" t="s">
        <v>237</v>
      </c>
      <c r="AO17" s="79"/>
      <c r="AP17" s="79"/>
      <c r="AQ17" s="79"/>
      <c r="AR17" s="79"/>
      <c r="AS17" s="79"/>
      <c r="AT17" s="79"/>
      <c r="AU17" s="79"/>
      <c r="AV17" s="79"/>
      <c r="AW17" s="79"/>
      <c r="AX17" s="79"/>
      <c r="AY17" s="79"/>
      <c r="AZ17" s="79"/>
      <c r="BA17" s="80"/>
    </row>
    <row r="18" ht="82.5" customHeight="1">
      <c r="A18" s="61" t="s">
        <v>351</v>
      </c>
      <c r="B18" s="62" t="str">
        <f>image("https://i.imgur.com/NcA5TyD.png")</f>
        <v/>
      </c>
      <c r="C18" s="63" t="s">
        <v>216</v>
      </c>
      <c r="D18" s="81" t="str">
        <f>image("https://i.imgur.com/hX15sR0.png")</f>
        <v/>
      </c>
      <c r="E18" s="64" t="str">
        <f t="shared" si="30"/>
        <v/>
      </c>
      <c r="F18" s="64" t="str">
        <f t="shared" si="31"/>
        <v/>
      </c>
      <c r="G18" s="65">
        <v>6907.0</v>
      </c>
      <c r="H18" s="66">
        <v>3277.0</v>
      </c>
      <c r="I18" s="67">
        <v>2571.0</v>
      </c>
      <c r="J18" s="68">
        <f t="shared" ref="J18:L18" si="32">G18/max(G:G)</f>
        <v>0.8486300528</v>
      </c>
      <c r="K18" s="68">
        <f t="shared" si="32"/>
        <v>0.9357509994</v>
      </c>
      <c r="L18" s="68">
        <f t="shared" si="32"/>
        <v>0.7051563357</v>
      </c>
      <c r="M18" s="68">
        <f t="shared" si="3"/>
        <v>2.489537388</v>
      </c>
      <c r="N18" s="69">
        <f t="shared" si="4"/>
        <v>3280.9324</v>
      </c>
      <c r="O18" s="70">
        <f t="shared" si="5"/>
        <v>1652.01697</v>
      </c>
      <c r="P18" s="70">
        <f>O18*4.7</f>
        <v>7764.479757</v>
      </c>
      <c r="Q18" s="71">
        <f t="shared" si="7"/>
        <v>9.29734823</v>
      </c>
      <c r="R18" s="72">
        <v>150.0</v>
      </c>
      <c r="S18" s="74" t="s">
        <v>352</v>
      </c>
      <c r="T18" s="73" t="s">
        <v>258</v>
      </c>
      <c r="U18" s="73" t="s">
        <v>219</v>
      </c>
      <c r="V18" s="74" t="s">
        <v>353</v>
      </c>
      <c r="W18" s="74" t="s">
        <v>354</v>
      </c>
      <c r="X18" s="74" t="s">
        <v>355</v>
      </c>
      <c r="Y18" s="74" t="s">
        <v>356</v>
      </c>
      <c r="Z18" s="74" t="s">
        <v>357</v>
      </c>
      <c r="AA18" s="75">
        <v>0.08</v>
      </c>
      <c r="AB18" s="76" t="s">
        <v>225</v>
      </c>
      <c r="AC18" s="76" t="s">
        <v>225</v>
      </c>
      <c r="AD18" s="75">
        <v>0.02</v>
      </c>
      <c r="AE18" s="76" t="s">
        <v>225</v>
      </c>
      <c r="AF18" s="76" t="s">
        <v>225</v>
      </c>
      <c r="AG18" s="75">
        <v>0.02</v>
      </c>
      <c r="AH18" s="76" t="s">
        <v>225</v>
      </c>
      <c r="AI18" s="76" t="s">
        <v>225</v>
      </c>
      <c r="AJ18" s="75">
        <v>0.02</v>
      </c>
      <c r="AK18" s="76" t="s">
        <v>225</v>
      </c>
      <c r="AL18" s="76" t="s">
        <v>225</v>
      </c>
      <c r="AM18" s="77" t="s">
        <v>358</v>
      </c>
      <c r="AN18" s="78"/>
      <c r="AO18" s="79"/>
      <c r="AP18" s="79"/>
      <c r="AQ18" s="79"/>
      <c r="AR18" s="79"/>
      <c r="AS18" s="79"/>
      <c r="AT18" s="79"/>
      <c r="AU18" s="79"/>
      <c r="AV18" s="79"/>
      <c r="AW18" s="79"/>
      <c r="AX18" s="79"/>
      <c r="AY18" s="79"/>
      <c r="AZ18" s="79"/>
      <c r="BA18" s="80"/>
    </row>
    <row r="19" ht="82.5" customHeight="1">
      <c r="A19" s="61" t="s">
        <v>359</v>
      </c>
      <c r="B19" s="62" t="str">
        <f>image("https://i.imgur.com/nVZVDYD.png")</f>
        <v/>
      </c>
      <c r="C19" s="63" t="s">
        <v>216</v>
      </c>
      <c r="D19" s="46" t="str">
        <f>image("https://i.imgur.com/z8bnSYg.png")</f>
        <v/>
      </c>
      <c r="E19" s="64" t="str">
        <f t="shared" si="30"/>
        <v/>
      </c>
      <c r="F19" s="64" t="str">
        <f t="shared" si="31"/>
        <v/>
      </c>
      <c r="G19" s="65">
        <v>6891.0</v>
      </c>
      <c r="H19" s="66">
        <v>3253.0</v>
      </c>
      <c r="I19" s="67">
        <v>2601.0</v>
      </c>
      <c r="J19" s="68">
        <f t="shared" ref="J19:L19" si="33">G19/max(G:G)</f>
        <v>0.8466642094</v>
      </c>
      <c r="K19" s="68">
        <f t="shared" si="33"/>
        <v>0.9288977727</v>
      </c>
      <c r="L19" s="68">
        <f t="shared" si="33"/>
        <v>0.713384531</v>
      </c>
      <c r="M19" s="68">
        <f t="shared" si="3"/>
        <v>2.488946513</v>
      </c>
      <c r="N19" s="69">
        <f t="shared" si="4"/>
        <v>3268.6144</v>
      </c>
      <c r="O19" s="69">
        <f t="shared" si="5"/>
        <v>1386.183974</v>
      </c>
      <c r="P19" s="69">
        <f>O19*2.7</f>
        <v>3742.696731</v>
      </c>
      <c r="Q19" s="71">
        <f t="shared" si="7"/>
        <v>9.313420733</v>
      </c>
      <c r="R19" s="82">
        <v>150.0</v>
      </c>
      <c r="S19" s="73" t="s">
        <v>339</v>
      </c>
      <c r="T19" s="73" t="s">
        <v>275</v>
      </c>
      <c r="U19" s="73" t="s">
        <v>323</v>
      </c>
      <c r="V19" s="74" t="s">
        <v>360</v>
      </c>
      <c r="W19" s="74" t="s">
        <v>361</v>
      </c>
      <c r="X19" s="74" t="s">
        <v>362</v>
      </c>
      <c r="Y19" s="74" t="s">
        <v>363</v>
      </c>
      <c r="Z19" s="74" t="s">
        <v>364</v>
      </c>
      <c r="AA19" s="75">
        <v>0.02</v>
      </c>
      <c r="AB19" s="76" t="s">
        <v>225</v>
      </c>
      <c r="AC19" s="76" t="s">
        <v>225</v>
      </c>
      <c r="AD19" s="75">
        <v>0.08</v>
      </c>
      <c r="AE19" s="76" t="s">
        <v>225</v>
      </c>
      <c r="AF19" s="76" t="s">
        <v>225</v>
      </c>
      <c r="AG19" s="75">
        <v>0.02</v>
      </c>
      <c r="AH19" s="76" t="s">
        <v>225</v>
      </c>
      <c r="AI19" s="76" t="s">
        <v>225</v>
      </c>
      <c r="AJ19" s="75">
        <v>0.02</v>
      </c>
      <c r="AK19" s="76" t="s">
        <v>225</v>
      </c>
      <c r="AL19" s="76" t="s">
        <v>225</v>
      </c>
      <c r="AM19" s="77" t="s">
        <v>365</v>
      </c>
      <c r="AN19" s="78" t="s">
        <v>237</v>
      </c>
      <c r="AO19" s="79"/>
      <c r="AP19" s="79"/>
      <c r="AQ19" s="79"/>
      <c r="AR19" s="79"/>
      <c r="AS19" s="79"/>
      <c r="AT19" s="79"/>
      <c r="AU19" s="79"/>
      <c r="AV19" s="79"/>
      <c r="AW19" s="79"/>
      <c r="AX19" s="79"/>
      <c r="AY19" s="79"/>
      <c r="AZ19" s="79"/>
      <c r="BA19" s="80"/>
    </row>
    <row r="20" ht="82.5" customHeight="1">
      <c r="A20" s="61" t="s">
        <v>366</v>
      </c>
      <c r="B20" s="62" t="str">
        <f>image("https://i.imgur.com/3IjlLde.png")</f>
        <v/>
      </c>
      <c r="C20" s="63" t="s">
        <v>216</v>
      </c>
      <c r="D20" s="46" t="str">
        <f>image("https://i.imgur.com/QndVudD.png")</f>
        <v/>
      </c>
      <c r="E20" s="64" t="str">
        <f t="shared" ref="E20:E21" si="35">image("https://i.imgur.com/P8lUDX0.png")</f>
        <v/>
      </c>
      <c r="F20" s="64" t="str">
        <f t="shared" si="31"/>
        <v/>
      </c>
      <c r="G20" s="65">
        <v>6880.0</v>
      </c>
      <c r="H20" s="66">
        <v>3276.0</v>
      </c>
      <c r="I20" s="67">
        <v>2582.0</v>
      </c>
      <c r="J20" s="68">
        <f t="shared" ref="J20:L20" si="34">G20/max(G:G)</f>
        <v>0.845312692</v>
      </c>
      <c r="K20" s="68">
        <f t="shared" si="34"/>
        <v>0.9354654483</v>
      </c>
      <c r="L20" s="68">
        <f t="shared" si="34"/>
        <v>0.7081733406</v>
      </c>
      <c r="M20" s="68">
        <f t="shared" si="3"/>
        <v>2.488951481</v>
      </c>
      <c r="N20" s="69">
        <f t="shared" si="4"/>
        <v>3279.9312</v>
      </c>
      <c r="O20" s="69">
        <f t="shared" si="5"/>
        <v>1920.467203</v>
      </c>
      <c r="P20" s="69">
        <f>O20*4.5</f>
        <v>8642.102414</v>
      </c>
      <c r="Q20" s="71">
        <f t="shared" si="7"/>
        <v>9.274737126</v>
      </c>
      <c r="R20" s="82">
        <v>150.0</v>
      </c>
      <c r="S20" s="73" t="s">
        <v>248</v>
      </c>
      <c r="T20" s="73" t="s">
        <v>275</v>
      </c>
      <c r="U20" s="73" t="s">
        <v>323</v>
      </c>
      <c r="V20" s="74" t="s">
        <v>367</v>
      </c>
      <c r="W20" s="74" t="s">
        <v>368</v>
      </c>
      <c r="X20" s="74" t="s">
        <v>369</v>
      </c>
      <c r="Y20" s="74" t="s">
        <v>370</v>
      </c>
      <c r="Z20" s="74" t="s">
        <v>371</v>
      </c>
      <c r="AA20" s="75">
        <v>0.02</v>
      </c>
      <c r="AB20" s="76">
        <v>8.0</v>
      </c>
      <c r="AC20" s="76" t="s">
        <v>225</v>
      </c>
      <c r="AD20" s="75">
        <v>0.02</v>
      </c>
      <c r="AE20" s="76" t="s">
        <v>225</v>
      </c>
      <c r="AF20" s="76" t="s">
        <v>225</v>
      </c>
      <c r="AG20" s="75">
        <v>0.02</v>
      </c>
      <c r="AH20" s="76" t="s">
        <v>225</v>
      </c>
      <c r="AI20" s="76" t="s">
        <v>225</v>
      </c>
      <c r="AJ20" s="75">
        <v>0.02</v>
      </c>
      <c r="AK20" s="76" t="s">
        <v>225</v>
      </c>
      <c r="AL20" s="76" t="s">
        <v>225</v>
      </c>
      <c r="AM20" s="77" t="s">
        <v>372</v>
      </c>
      <c r="AN20" s="78"/>
      <c r="AO20" s="79"/>
      <c r="AP20" s="79"/>
      <c r="AQ20" s="79"/>
      <c r="AR20" s="79"/>
      <c r="AS20" s="79"/>
      <c r="AT20" s="79"/>
      <c r="AU20" s="79"/>
      <c r="AV20" s="79"/>
      <c r="AW20" s="79"/>
      <c r="AX20" s="79"/>
      <c r="AY20" s="79"/>
      <c r="AZ20" s="79"/>
      <c r="BA20" s="80"/>
    </row>
    <row r="21" ht="82.5" customHeight="1">
      <c r="A21" s="61" t="s">
        <v>373</v>
      </c>
      <c r="B21" s="62" t="str">
        <f>image("https://i.imgur.com/AUuLYqF.png")</f>
        <v/>
      </c>
      <c r="C21" s="63" t="s">
        <v>216</v>
      </c>
      <c r="D21" s="46" t="str">
        <f>image("https://i.imgur.com/pzX6NRL.png")</f>
        <v/>
      </c>
      <c r="E21" s="64" t="str">
        <f t="shared" si="35"/>
        <v/>
      </c>
      <c r="F21" s="64" t="str">
        <f t="shared" si="31"/>
        <v/>
      </c>
      <c r="G21" s="65">
        <v>6891.0</v>
      </c>
      <c r="H21" s="66">
        <v>3256.0</v>
      </c>
      <c r="I21" s="67">
        <v>2597.0</v>
      </c>
      <c r="J21" s="68">
        <f t="shared" ref="J21:L21" si="36">G21/max(G:G)</f>
        <v>0.8466642094</v>
      </c>
      <c r="K21" s="68">
        <f t="shared" si="36"/>
        <v>0.929754426</v>
      </c>
      <c r="L21" s="68">
        <f t="shared" si="36"/>
        <v>0.7122874383</v>
      </c>
      <c r="M21" s="68">
        <f t="shared" si="3"/>
        <v>2.488706074</v>
      </c>
      <c r="N21" s="69">
        <f t="shared" si="4"/>
        <v>3259.9072</v>
      </c>
      <c r="O21" s="69">
        <f t="shared" si="5"/>
        <v>1641.430349</v>
      </c>
      <c r="P21" s="69">
        <f>O21*2.7</f>
        <v>4431.861942</v>
      </c>
      <c r="Q21" s="71">
        <f t="shared" si="7"/>
        <v>9.308388491</v>
      </c>
      <c r="R21" s="82">
        <v>150.0</v>
      </c>
      <c r="S21" s="73" t="s">
        <v>283</v>
      </c>
      <c r="T21" s="73" t="s">
        <v>249</v>
      </c>
      <c r="U21" s="73" t="s">
        <v>374</v>
      </c>
      <c r="V21" s="74" t="s">
        <v>375</v>
      </c>
      <c r="W21" s="74" t="s">
        <v>376</v>
      </c>
      <c r="X21" s="74" t="s">
        <v>377</v>
      </c>
      <c r="Y21" s="74" t="s">
        <v>356</v>
      </c>
      <c r="Z21" s="74" t="s">
        <v>357</v>
      </c>
      <c r="AA21" s="75">
        <v>0.08</v>
      </c>
      <c r="AB21" s="76" t="s">
        <v>225</v>
      </c>
      <c r="AC21" s="76" t="s">
        <v>225</v>
      </c>
      <c r="AD21" s="75">
        <v>0.02</v>
      </c>
      <c r="AE21" s="76" t="s">
        <v>225</v>
      </c>
      <c r="AF21" s="76" t="s">
        <v>225</v>
      </c>
      <c r="AG21" s="75">
        <v>0.02</v>
      </c>
      <c r="AH21" s="76" t="s">
        <v>225</v>
      </c>
      <c r="AI21" s="76" t="s">
        <v>225</v>
      </c>
      <c r="AJ21" s="75">
        <v>0.02</v>
      </c>
      <c r="AK21" s="76" t="s">
        <v>225</v>
      </c>
      <c r="AL21" s="76" t="s">
        <v>225</v>
      </c>
      <c r="AM21" s="77" t="s">
        <v>378</v>
      </c>
      <c r="AN21" s="78" t="s">
        <v>237</v>
      </c>
      <c r="AO21" s="79"/>
      <c r="AP21" s="79"/>
      <c r="AQ21" s="79"/>
      <c r="AR21" s="79"/>
      <c r="AS21" s="79"/>
      <c r="AT21" s="79"/>
      <c r="AU21" s="79"/>
      <c r="AV21" s="79"/>
      <c r="AW21" s="79"/>
      <c r="AX21" s="79"/>
      <c r="AY21" s="79"/>
      <c r="AZ21" s="79"/>
      <c r="BA21" s="80"/>
    </row>
    <row r="22" ht="82.5" customHeight="1">
      <c r="A22" s="83" t="s">
        <v>379</v>
      </c>
      <c r="B22" s="62" t="str">
        <f>image("https://i.imgur.com/eQS2JgG.png")</f>
        <v/>
      </c>
      <c r="C22" s="63" t="s">
        <v>216</v>
      </c>
      <c r="D22" s="46" t="str">
        <f>image("https://i.imgur.com/QndVudD.png")</f>
        <v/>
      </c>
      <c r="E22" s="64" t="str">
        <f>image("https://i.imgur.com/tOS4FvO.png")</f>
        <v/>
      </c>
      <c r="F22" s="64" t="str">
        <f t="shared" si="31"/>
        <v/>
      </c>
      <c r="G22" s="84">
        <v>6889.0</v>
      </c>
      <c r="H22" s="85">
        <v>3280.0</v>
      </c>
      <c r="I22" s="86">
        <v>2572.0</v>
      </c>
      <c r="J22" s="68">
        <f t="shared" ref="J22:L22" si="37">G22/max(G:G)</f>
        <v>0.8464184789</v>
      </c>
      <c r="K22" s="68">
        <f t="shared" si="37"/>
        <v>0.9366076528</v>
      </c>
      <c r="L22" s="68">
        <f t="shared" si="37"/>
        <v>0.7054306089</v>
      </c>
      <c r="M22" s="68">
        <f t="shared" si="3"/>
        <v>2.488456741</v>
      </c>
      <c r="N22" s="69">
        <f t="shared" si="4"/>
        <v>3283.936</v>
      </c>
      <c r="O22" s="69">
        <f t="shared" si="5"/>
        <v>1922.812096</v>
      </c>
      <c r="P22" s="69">
        <f>O22*4.2</f>
        <v>8075.810803</v>
      </c>
      <c r="Q22" s="71">
        <f t="shared" si="7"/>
        <v>9.274367259</v>
      </c>
      <c r="R22" s="76">
        <v>150.0</v>
      </c>
      <c r="S22" s="74" t="s">
        <v>331</v>
      </c>
      <c r="T22" s="74" t="s">
        <v>380</v>
      </c>
      <c r="U22" s="74" t="s">
        <v>323</v>
      </c>
      <c r="V22" s="74" t="s">
        <v>381</v>
      </c>
      <c r="W22" s="74" t="s">
        <v>382</v>
      </c>
      <c r="X22" s="74" t="s">
        <v>383</v>
      </c>
      <c r="Y22" s="74" t="s">
        <v>297</v>
      </c>
      <c r="Z22" s="74" t="s">
        <v>298</v>
      </c>
      <c r="AA22" s="75">
        <v>0.02</v>
      </c>
      <c r="AB22" s="76">
        <v>8.0</v>
      </c>
      <c r="AC22" s="76" t="s">
        <v>225</v>
      </c>
      <c r="AD22" s="75">
        <v>0.02</v>
      </c>
      <c r="AE22" s="76" t="s">
        <v>225</v>
      </c>
      <c r="AF22" s="76" t="s">
        <v>225</v>
      </c>
      <c r="AG22" s="75">
        <v>0.02</v>
      </c>
      <c r="AH22" s="76" t="s">
        <v>225</v>
      </c>
      <c r="AI22" s="76" t="s">
        <v>225</v>
      </c>
      <c r="AJ22" s="75">
        <v>0.02</v>
      </c>
      <c r="AK22" s="76" t="s">
        <v>225</v>
      </c>
      <c r="AL22" s="76" t="s">
        <v>225</v>
      </c>
      <c r="AM22" s="87"/>
      <c r="AN22" s="78"/>
      <c r="AO22" s="88"/>
      <c r="AP22" s="88"/>
      <c r="AQ22" s="88"/>
      <c r="AR22" s="88"/>
      <c r="AS22" s="88"/>
      <c r="AT22" s="88"/>
      <c r="AU22" s="88"/>
      <c r="AV22" s="88"/>
      <c r="AW22" s="88"/>
      <c r="AX22" s="88"/>
      <c r="AY22" s="88"/>
      <c r="AZ22" s="88"/>
      <c r="BA22" s="89"/>
    </row>
    <row r="23" ht="82.5" customHeight="1">
      <c r="A23" s="83" t="s">
        <v>384</v>
      </c>
      <c r="B23" s="90" t="str">
        <f>image("https://i.imgur.com/xvXrqgj.png")</f>
        <v/>
      </c>
      <c r="C23" s="63" t="s">
        <v>216</v>
      </c>
      <c r="D23" s="46" t="str">
        <f t="shared" ref="D23:D24" si="39">image("https://i.imgur.com/pQYVkI3.png")</f>
        <v/>
      </c>
      <c r="E23" s="64" t="str">
        <f t="shared" ref="E23:E24" si="40">image("https://i.imgur.com/P8lUDX0.png")</f>
        <v/>
      </c>
      <c r="F23" s="64" t="str">
        <f t="shared" si="31"/>
        <v/>
      </c>
      <c r="G23" s="84">
        <v>6895.0</v>
      </c>
      <c r="H23" s="85">
        <v>3244.0</v>
      </c>
      <c r="I23" s="86">
        <v>2605.0</v>
      </c>
      <c r="J23" s="68">
        <f t="shared" ref="J23:L23" si="38">G23/max(G:G)</f>
        <v>0.8471556702</v>
      </c>
      <c r="K23" s="68">
        <f t="shared" si="38"/>
        <v>0.9263278127</v>
      </c>
      <c r="L23" s="68">
        <f t="shared" si="38"/>
        <v>0.7144816237</v>
      </c>
      <c r="M23" s="68">
        <f t="shared" si="3"/>
        <v>2.487965107</v>
      </c>
      <c r="N23" s="69">
        <f t="shared" si="4"/>
        <v>3251.7856</v>
      </c>
      <c r="O23" s="69">
        <f t="shared" si="5"/>
        <v>1466.692851</v>
      </c>
      <c r="P23" s="69">
        <f t="shared" ref="P23:P25" si="42">O23*4.5</f>
        <v>6600.11783</v>
      </c>
      <c r="Q23" s="71">
        <f t="shared" si="7"/>
        <v>9.323867478</v>
      </c>
      <c r="R23" s="76">
        <v>150.0</v>
      </c>
      <c r="S23" s="74" t="s">
        <v>352</v>
      </c>
      <c r="T23" s="74" t="s">
        <v>385</v>
      </c>
      <c r="U23" s="74" t="s">
        <v>267</v>
      </c>
      <c r="V23" s="74" t="s">
        <v>386</v>
      </c>
      <c r="W23" s="74" t="s">
        <v>387</v>
      </c>
      <c r="X23" s="74" t="s">
        <v>388</v>
      </c>
      <c r="Y23" s="74" t="s">
        <v>389</v>
      </c>
      <c r="Z23" s="74" t="s">
        <v>336</v>
      </c>
      <c r="AA23" s="75">
        <v>0.04</v>
      </c>
      <c r="AB23" s="76" t="s">
        <v>225</v>
      </c>
      <c r="AC23" s="76" t="s">
        <v>225</v>
      </c>
      <c r="AD23" s="75">
        <v>0.04</v>
      </c>
      <c r="AE23" s="76" t="s">
        <v>225</v>
      </c>
      <c r="AF23" s="76" t="s">
        <v>225</v>
      </c>
      <c r="AG23" s="75">
        <v>0.02</v>
      </c>
      <c r="AH23" s="76" t="s">
        <v>225</v>
      </c>
      <c r="AI23" s="76" t="s">
        <v>225</v>
      </c>
      <c r="AJ23" s="75">
        <v>0.02</v>
      </c>
      <c r="AK23" s="76" t="s">
        <v>225</v>
      </c>
      <c r="AL23" s="76" t="s">
        <v>225</v>
      </c>
      <c r="AM23" s="87"/>
      <c r="AN23" s="78" t="s">
        <v>237</v>
      </c>
      <c r="AO23" s="88"/>
      <c r="AP23" s="88"/>
      <c r="AQ23" s="88"/>
      <c r="AR23" s="88"/>
      <c r="AS23" s="88"/>
      <c r="AT23" s="88"/>
      <c r="AU23" s="88"/>
      <c r="AV23" s="88"/>
      <c r="AW23" s="88"/>
      <c r="AX23" s="88"/>
      <c r="AY23" s="88"/>
      <c r="AZ23" s="88"/>
      <c r="BA23" s="89"/>
    </row>
    <row r="24" ht="82.5" customHeight="1">
      <c r="A24" s="61" t="s">
        <v>390</v>
      </c>
      <c r="B24" s="62" t="str">
        <f>image("https://i.imgur.com/40LXmBk.png")</f>
        <v/>
      </c>
      <c r="C24" s="63" t="s">
        <v>216</v>
      </c>
      <c r="D24" s="46" t="str">
        <f t="shared" si="39"/>
        <v/>
      </c>
      <c r="E24" s="64" t="str">
        <f t="shared" si="40"/>
        <v/>
      </c>
      <c r="F24" s="64" t="str">
        <f t="shared" si="31"/>
        <v/>
      </c>
      <c r="G24" s="65">
        <v>6889.0</v>
      </c>
      <c r="H24" s="66">
        <v>3259.0</v>
      </c>
      <c r="I24" s="67">
        <v>2592.0</v>
      </c>
      <c r="J24" s="68">
        <f t="shared" ref="J24:L24" si="41">G24/max(G:G)</f>
        <v>0.8464184789</v>
      </c>
      <c r="K24" s="68">
        <f t="shared" si="41"/>
        <v>0.9306110794</v>
      </c>
      <c r="L24" s="68">
        <f t="shared" si="41"/>
        <v>0.7109160724</v>
      </c>
      <c r="M24" s="68">
        <f t="shared" si="3"/>
        <v>2.487945631</v>
      </c>
      <c r="N24" s="69">
        <f t="shared" si="4"/>
        <v>3262.9108</v>
      </c>
      <c r="O24" s="69">
        <f t="shared" si="5"/>
        <v>1393.656338</v>
      </c>
      <c r="P24" s="69">
        <f t="shared" si="42"/>
        <v>6271.453521</v>
      </c>
      <c r="Q24" s="71">
        <f t="shared" si="7"/>
        <v>9.299406048</v>
      </c>
      <c r="R24" s="82">
        <v>150.0</v>
      </c>
      <c r="S24" s="73" t="s">
        <v>228</v>
      </c>
      <c r="T24" s="73" t="s">
        <v>340</v>
      </c>
      <c r="U24" s="73" t="s">
        <v>267</v>
      </c>
      <c r="V24" s="74" t="s">
        <v>391</v>
      </c>
      <c r="W24" s="74" t="s">
        <v>392</v>
      </c>
      <c r="X24" s="74" t="s">
        <v>393</v>
      </c>
      <c r="Y24" s="74" t="s">
        <v>394</v>
      </c>
      <c r="Z24" s="74" t="s">
        <v>395</v>
      </c>
      <c r="AA24" s="75">
        <v>0.02</v>
      </c>
      <c r="AB24" s="75">
        <v>0.08</v>
      </c>
      <c r="AC24" s="76" t="s">
        <v>225</v>
      </c>
      <c r="AD24" s="75">
        <v>0.02</v>
      </c>
      <c r="AE24" s="76" t="s">
        <v>225</v>
      </c>
      <c r="AF24" s="76" t="s">
        <v>225</v>
      </c>
      <c r="AG24" s="75">
        <v>0.02</v>
      </c>
      <c r="AH24" s="76" t="s">
        <v>225</v>
      </c>
      <c r="AI24" s="76" t="s">
        <v>225</v>
      </c>
      <c r="AJ24" s="75">
        <v>0.02</v>
      </c>
      <c r="AK24" s="76" t="s">
        <v>225</v>
      </c>
      <c r="AL24" s="76" t="s">
        <v>225</v>
      </c>
      <c r="AM24" s="77" t="s">
        <v>396</v>
      </c>
      <c r="AN24" s="78" t="s">
        <v>237</v>
      </c>
      <c r="AO24" s="79"/>
      <c r="AP24" s="79"/>
      <c r="AQ24" s="79"/>
      <c r="AR24" s="79"/>
      <c r="AS24" s="79"/>
      <c r="AT24" s="79"/>
      <c r="AU24" s="79"/>
      <c r="AV24" s="79"/>
      <c r="AW24" s="79"/>
      <c r="AX24" s="79"/>
      <c r="AY24" s="79"/>
      <c r="AZ24" s="79"/>
      <c r="BA24" s="80"/>
    </row>
    <row r="25" ht="82.5" customHeight="1">
      <c r="A25" s="61" t="s">
        <v>397</v>
      </c>
      <c r="B25" s="62" t="str">
        <f>image("https://i.imgur.com/yLCmBhK.png")</f>
        <v/>
      </c>
      <c r="C25" s="63" t="s">
        <v>216</v>
      </c>
      <c r="D25" s="47" t="str">
        <f t="shared" ref="D25:D26" si="44">image("https://i.imgur.com/pzX6NRL.png")</f>
        <v/>
      </c>
      <c r="E25" s="64" t="str">
        <f>image("https://i.imgur.com/tOS4FvO.png")</f>
        <v/>
      </c>
      <c r="F25" s="64" t="str">
        <f t="shared" si="31"/>
        <v/>
      </c>
      <c r="G25" s="65">
        <v>6892.0</v>
      </c>
      <c r="H25" s="66">
        <v>3269.0</v>
      </c>
      <c r="I25" s="67">
        <v>2578.0</v>
      </c>
      <c r="J25" s="68">
        <f t="shared" ref="J25:L25" si="43">G25/max(G:G)</f>
        <v>0.8467870746</v>
      </c>
      <c r="K25" s="68">
        <f t="shared" si="43"/>
        <v>0.9334665905</v>
      </c>
      <c r="L25" s="68">
        <f t="shared" si="43"/>
        <v>0.7070762479</v>
      </c>
      <c r="M25" s="68">
        <f t="shared" si="3"/>
        <v>2.487329913</v>
      </c>
      <c r="N25" s="69">
        <f t="shared" si="4"/>
        <v>3272.9228</v>
      </c>
      <c r="O25" s="69">
        <f t="shared" si="5"/>
        <v>1397.932669</v>
      </c>
      <c r="P25" s="69">
        <f t="shared" si="42"/>
        <v>6290.697012</v>
      </c>
      <c r="Q25" s="71">
        <f t="shared" si="7"/>
        <v>9.285906764</v>
      </c>
      <c r="R25" s="72">
        <v>150.0</v>
      </c>
      <c r="S25" s="73" t="s">
        <v>398</v>
      </c>
      <c r="T25" s="73" t="s">
        <v>399</v>
      </c>
      <c r="U25" s="73" t="s">
        <v>323</v>
      </c>
      <c r="V25" s="74" t="s">
        <v>400</v>
      </c>
      <c r="W25" s="74" t="s">
        <v>401</v>
      </c>
      <c r="X25" s="74" t="s">
        <v>402</v>
      </c>
      <c r="Y25" s="74" t="s">
        <v>403</v>
      </c>
      <c r="Z25" s="74" t="s">
        <v>404</v>
      </c>
      <c r="AA25" s="75">
        <v>0.02</v>
      </c>
      <c r="AB25" s="75">
        <v>0.08</v>
      </c>
      <c r="AC25" s="76" t="s">
        <v>225</v>
      </c>
      <c r="AD25" s="75">
        <v>0.02</v>
      </c>
      <c r="AE25" s="76" t="s">
        <v>225</v>
      </c>
      <c r="AF25" s="76" t="s">
        <v>225</v>
      </c>
      <c r="AG25" s="75">
        <v>0.02</v>
      </c>
      <c r="AH25" s="76" t="s">
        <v>225</v>
      </c>
      <c r="AI25" s="76" t="s">
        <v>225</v>
      </c>
      <c r="AJ25" s="75">
        <v>0.02</v>
      </c>
      <c r="AK25" s="76" t="s">
        <v>225</v>
      </c>
      <c r="AL25" s="76" t="s">
        <v>225</v>
      </c>
      <c r="AM25" s="77" t="s">
        <v>405</v>
      </c>
      <c r="AN25" s="78" t="s">
        <v>237</v>
      </c>
      <c r="AO25" s="79"/>
      <c r="AP25" s="79"/>
      <c r="AQ25" s="79"/>
      <c r="AR25" s="79"/>
      <c r="AS25" s="79"/>
      <c r="AT25" s="79"/>
      <c r="AU25" s="79"/>
      <c r="AV25" s="79"/>
      <c r="AW25" s="79"/>
      <c r="AX25" s="79"/>
      <c r="AY25" s="79"/>
      <c r="AZ25" s="79"/>
      <c r="BA25" s="80"/>
    </row>
    <row r="26" ht="82.5" customHeight="1">
      <c r="A26" s="61" t="s">
        <v>406</v>
      </c>
      <c r="B26" s="62" t="str">
        <f>image("https://i.imgur.com/VYGPVhy.png")</f>
        <v/>
      </c>
      <c r="C26" s="63" t="s">
        <v>216</v>
      </c>
      <c r="D26" s="47" t="str">
        <f t="shared" si="44"/>
        <v/>
      </c>
      <c r="E26" s="64" t="str">
        <f t="shared" ref="E26:E27" si="46">image("https://i.imgur.com/P8lUDX0.png")</f>
        <v/>
      </c>
      <c r="F26" s="64" t="str">
        <f t="shared" si="31"/>
        <v/>
      </c>
      <c r="G26" s="65">
        <v>6893.0</v>
      </c>
      <c r="H26" s="66">
        <v>3273.0</v>
      </c>
      <c r="I26" s="67">
        <v>2573.0</v>
      </c>
      <c r="J26" s="68">
        <f t="shared" ref="J26:L26" si="45">G26/max(G:G)</f>
        <v>0.8469099398</v>
      </c>
      <c r="K26" s="68">
        <f t="shared" si="45"/>
        <v>0.934608795</v>
      </c>
      <c r="L26" s="68">
        <f t="shared" si="45"/>
        <v>0.7057048821</v>
      </c>
      <c r="M26" s="68">
        <f t="shared" si="3"/>
        <v>2.487223617</v>
      </c>
      <c r="N26" s="69">
        <f t="shared" si="4"/>
        <v>3276.9276</v>
      </c>
      <c r="O26" s="69">
        <f t="shared" si="5"/>
        <v>1394.400118</v>
      </c>
      <c r="P26" s="69">
        <f t="shared" ref="P26:P28" si="48">O26*2.7</f>
        <v>3764.880318</v>
      </c>
      <c r="Q26" s="71">
        <f t="shared" si="7"/>
        <v>9.28100175</v>
      </c>
      <c r="R26" s="82">
        <v>150.0</v>
      </c>
      <c r="S26" s="73" t="s">
        <v>217</v>
      </c>
      <c r="T26" s="73" t="s">
        <v>229</v>
      </c>
      <c r="U26" s="73" t="s">
        <v>323</v>
      </c>
      <c r="V26" s="74" t="s">
        <v>407</v>
      </c>
      <c r="W26" s="74" t="s">
        <v>408</v>
      </c>
      <c r="X26" s="74" t="s">
        <v>409</v>
      </c>
      <c r="Y26" s="74" t="s">
        <v>410</v>
      </c>
      <c r="Z26" s="74" t="s">
        <v>411</v>
      </c>
      <c r="AA26" s="75">
        <v>0.02</v>
      </c>
      <c r="AB26" s="76" t="s">
        <v>225</v>
      </c>
      <c r="AC26" s="76" t="s">
        <v>225</v>
      </c>
      <c r="AD26" s="75">
        <v>0.02</v>
      </c>
      <c r="AE26" s="76" t="s">
        <v>225</v>
      </c>
      <c r="AF26" s="76" t="s">
        <v>225</v>
      </c>
      <c r="AG26" s="75">
        <v>0.02</v>
      </c>
      <c r="AH26" s="76" t="s">
        <v>225</v>
      </c>
      <c r="AI26" s="76" t="s">
        <v>225</v>
      </c>
      <c r="AJ26" s="75">
        <v>0.02</v>
      </c>
      <c r="AK26" s="75">
        <v>0.08</v>
      </c>
      <c r="AL26" s="76" t="s">
        <v>225</v>
      </c>
      <c r="AM26" s="77" t="s">
        <v>412</v>
      </c>
      <c r="AN26" s="78" t="s">
        <v>237</v>
      </c>
      <c r="AO26" s="79"/>
      <c r="AP26" s="79"/>
      <c r="AQ26" s="79"/>
      <c r="AR26" s="79"/>
      <c r="AS26" s="79"/>
      <c r="AT26" s="79"/>
      <c r="AU26" s="79"/>
      <c r="AV26" s="79"/>
      <c r="AW26" s="79"/>
      <c r="AX26" s="79"/>
      <c r="AY26" s="79"/>
      <c r="AZ26" s="79"/>
      <c r="BA26" s="80"/>
    </row>
    <row r="27" ht="82.5" customHeight="1">
      <c r="A27" s="61" t="s">
        <v>413</v>
      </c>
      <c r="B27" s="92" t="str">
        <f>image("https://i.imgur.com/5EddaaK.png")</f>
        <v/>
      </c>
      <c r="C27" s="63" t="s">
        <v>216</v>
      </c>
      <c r="D27" s="46" t="str">
        <f>image("https://i.imgur.com/AHPti72.png")</f>
        <v/>
      </c>
      <c r="E27" s="64" t="str">
        <f t="shared" si="46"/>
        <v/>
      </c>
      <c r="F27" s="64" t="str">
        <f t="shared" si="31"/>
        <v/>
      </c>
      <c r="G27" s="65">
        <v>6891.0</v>
      </c>
      <c r="H27" s="66">
        <v>3265.0</v>
      </c>
      <c r="I27" s="67">
        <v>2582.0</v>
      </c>
      <c r="J27" s="68">
        <f t="shared" ref="J27:L27" si="47">G27/max(G:G)</f>
        <v>0.8466642094</v>
      </c>
      <c r="K27" s="68">
        <f t="shared" si="47"/>
        <v>0.9323243861</v>
      </c>
      <c r="L27" s="68">
        <f t="shared" si="47"/>
        <v>0.7081733406</v>
      </c>
      <c r="M27" s="68">
        <f t="shared" si="3"/>
        <v>2.487161936</v>
      </c>
      <c r="N27" s="69">
        <f t="shared" si="4"/>
        <v>3268.918</v>
      </c>
      <c r="O27" s="69">
        <f t="shared" si="5"/>
        <v>1475.983736</v>
      </c>
      <c r="P27" s="69">
        <f t="shared" si="48"/>
        <v>3985.156087</v>
      </c>
      <c r="Q27" s="71">
        <f t="shared" si="7"/>
        <v>9.289565921</v>
      </c>
      <c r="R27" s="82">
        <v>150.0</v>
      </c>
      <c r="S27" s="73" t="s">
        <v>301</v>
      </c>
      <c r="T27" s="73" t="s">
        <v>322</v>
      </c>
      <c r="U27" s="73" t="s">
        <v>323</v>
      </c>
      <c r="V27" s="74" t="s">
        <v>414</v>
      </c>
      <c r="W27" s="74" t="s">
        <v>415</v>
      </c>
      <c r="X27" s="74" t="s">
        <v>416</v>
      </c>
      <c r="Y27" s="74" t="s">
        <v>297</v>
      </c>
      <c r="Z27" s="74" t="s">
        <v>298</v>
      </c>
      <c r="AA27" s="75">
        <v>0.04</v>
      </c>
      <c r="AB27" s="76" t="s">
        <v>225</v>
      </c>
      <c r="AC27" s="76" t="s">
        <v>225</v>
      </c>
      <c r="AD27" s="75">
        <v>0.02</v>
      </c>
      <c r="AE27" s="76" t="s">
        <v>225</v>
      </c>
      <c r="AF27" s="76" t="s">
        <v>225</v>
      </c>
      <c r="AG27" s="75">
        <v>0.04</v>
      </c>
      <c r="AH27" s="76" t="s">
        <v>225</v>
      </c>
      <c r="AI27" s="76" t="s">
        <v>225</v>
      </c>
      <c r="AJ27" s="75">
        <v>0.02</v>
      </c>
      <c r="AK27" s="76" t="s">
        <v>225</v>
      </c>
      <c r="AL27" s="76" t="s">
        <v>225</v>
      </c>
      <c r="AM27" s="77" t="s">
        <v>417</v>
      </c>
      <c r="AN27" s="78" t="s">
        <v>237</v>
      </c>
      <c r="AO27" s="79"/>
      <c r="AP27" s="79"/>
      <c r="AQ27" s="79"/>
      <c r="AR27" s="79"/>
      <c r="AS27" s="79"/>
      <c r="AT27" s="79"/>
      <c r="AU27" s="79"/>
      <c r="AV27" s="79"/>
      <c r="AW27" s="79"/>
      <c r="AX27" s="79"/>
      <c r="AY27" s="79"/>
      <c r="AZ27" s="79"/>
      <c r="BA27" s="80"/>
    </row>
    <row r="28" ht="82.5" customHeight="1">
      <c r="A28" s="61" t="s">
        <v>418</v>
      </c>
      <c r="B28" s="90" t="str">
        <f>image("https://i.imgur.com/ao6dhXV.png")</f>
        <v/>
      </c>
      <c r="C28" s="63" t="s">
        <v>216</v>
      </c>
      <c r="D28" s="46" t="str">
        <f>image("https://i.imgur.com/QndVudD.png")</f>
        <v/>
      </c>
      <c r="E28" s="64" t="str">
        <f>image("https://i.imgur.com/tOS4FvO.png")</f>
        <v/>
      </c>
      <c r="F28" s="64" t="str">
        <f t="shared" si="31"/>
        <v/>
      </c>
      <c r="G28" s="65">
        <v>6894.0</v>
      </c>
      <c r="H28" s="66">
        <v>3269.0</v>
      </c>
      <c r="I28" s="67">
        <v>2576.0</v>
      </c>
      <c r="J28" s="68">
        <f t="shared" ref="J28:L28" si="49">G28/max(G:G)</f>
        <v>0.847032805</v>
      </c>
      <c r="K28" s="68">
        <f t="shared" si="49"/>
        <v>0.9334665905</v>
      </c>
      <c r="L28" s="68">
        <f t="shared" si="49"/>
        <v>0.7065277016</v>
      </c>
      <c r="M28" s="68">
        <f t="shared" si="3"/>
        <v>2.487027097</v>
      </c>
      <c r="N28" s="69">
        <f t="shared" si="4"/>
        <v>3272.9228</v>
      </c>
      <c r="O28" s="69">
        <f t="shared" si="5"/>
        <v>1392.695993</v>
      </c>
      <c r="P28" s="69">
        <f t="shared" si="48"/>
        <v>3760.279181</v>
      </c>
      <c r="Q28" s="71">
        <f t="shared" si="7"/>
        <v>9.286099138</v>
      </c>
      <c r="R28" s="82">
        <v>150.0</v>
      </c>
      <c r="S28" s="73" t="s">
        <v>419</v>
      </c>
      <c r="T28" s="73" t="s">
        <v>420</v>
      </c>
      <c r="U28" s="73" t="s">
        <v>240</v>
      </c>
      <c r="V28" s="74" t="s">
        <v>421</v>
      </c>
      <c r="W28" s="74" t="s">
        <v>422</v>
      </c>
      <c r="X28" s="74" t="s">
        <v>423</v>
      </c>
      <c r="Y28" s="74" t="s">
        <v>279</v>
      </c>
      <c r="Z28" s="74" t="s">
        <v>280</v>
      </c>
      <c r="AA28" s="75">
        <v>0.02</v>
      </c>
      <c r="AB28" s="76" t="s">
        <v>225</v>
      </c>
      <c r="AC28" s="76" t="s">
        <v>225</v>
      </c>
      <c r="AD28" s="75">
        <v>0.02</v>
      </c>
      <c r="AE28" s="76" t="s">
        <v>225</v>
      </c>
      <c r="AF28" s="76" t="s">
        <v>225</v>
      </c>
      <c r="AG28" s="75">
        <v>0.08</v>
      </c>
      <c r="AH28" s="76" t="s">
        <v>225</v>
      </c>
      <c r="AI28" s="76" t="s">
        <v>225</v>
      </c>
      <c r="AJ28" s="75">
        <v>0.02</v>
      </c>
      <c r="AK28" s="76" t="s">
        <v>225</v>
      </c>
      <c r="AL28" s="76" t="s">
        <v>225</v>
      </c>
      <c r="AM28" s="77" t="s">
        <v>424</v>
      </c>
      <c r="AN28" s="78" t="s">
        <v>237</v>
      </c>
      <c r="AO28" s="79"/>
      <c r="AP28" s="79"/>
      <c r="AQ28" s="79"/>
      <c r="AR28" s="79"/>
      <c r="AS28" s="79"/>
      <c r="AT28" s="79"/>
      <c r="AU28" s="79"/>
      <c r="AV28" s="79"/>
      <c r="AW28" s="79"/>
      <c r="AX28" s="79"/>
      <c r="AY28" s="79"/>
      <c r="AZ28" s="79"/>
      <c r="BA28" s="80"/>
    </row>
    <row r="29" ht="82.5" customHeight="1">
      <c r="A29" s="61" t="s">
        <v>425</v>
      </c>
      <c r="B29" s="62" t="str">
        <f>image("https://i.imgur.com/fH8gCvW.png")</f>
        <v/>
      </c>
      <c r="C29" s="63" t="s">
        <v>216</v>
      </c>
      <c r="D29" s="46" t="str">
        <f>image("https://i.imgur.com/hX15sR0.png")</f>
        <v/>
      </c>
      <c r="E29" s="64" t="str">
        <f>image("https://i.imgur.com/P8lUDX0.png")</f>
        <v/>
      </c>
      <c r="F29" s="64" t="str">
        <f t="shared" si="31"/>
        <v/>
      </c>
      <c r="G29" s="65">
        <v>6891.0</v>
      </c>
      <c r="H29" s="66">
        <v>3271.0</v>
      </c>
      <c r="I29" s="67">
        <v>2575.0</v>
      </c>
      <c r="J29" s="68">
        <f t="shared" ref="J29:L29" si="50">G29/max(G:G)</f>
        <v>0.8466642094</v>
      </c>
      <c r="K29" s="68">
        <f t="shared" si="50"/>
        <v>0.9340376927</v>
      </c>
      <c r="L29" s="68">
        <f t="shared" si="50"/>
        <v>0.7062534284</v>
      </c>
      <c r="M29" s="68">
        <f t="shared" si="3"/>
        <v>2.486955331</v>
      </c>
      <c r="N29" s="69">
        <f t="shared" si="4"/>
        <v>3274.9252</v>
      </c>
      <c r="O29" s="69">
        <f t="shared" si="5"/>
        <v>1393.548055</v>
      </c>
      <c r="P29" s="69">
        <f>O29*4.5</f>
        <v>6270.966248</v>
      </c>
      <c r="Q29" s="71">
        <f t="shared" si="7"/>
        <v>9.280808081</v>
      </c>
      <c r="R29" s="82">
        <v>150.0</v>
      </c>
      <c r="S29" s="73" t="s">
        <v>339</v>
      </c>
      <c r="T29" s="73" t="s">
        <v>380</v>
      </c>
      <c r="U29" s="73" t="s">
        <v>230</v>
      </c>
      <c r="V29" s="74" t="s">
        <v>426</v>
      </c>
      <c r="W29" s="74" t="s">
        <v>427</v>
      </c>
      <c r="X29" s="74" t="s">
        <v>428</v>
      </c>
      <c r="Y29" s="74" t="s">
        <v>403</v>
      </c>
      <c r="Z29" s="74" t="s">
        <v>404</v>
      </c>
      <c r="AA29" s="75">
        <v>0.02</v>
      </c>
      <c r="AB29" s="76" t="s">
        <v>225</v>
      </c>
      <c r="AC29" s="76" t="s">
        <v>225</v>
      </c>
      <c r="AD29" s="75">
        <v>0.02</v>
      </c>
      <c r="AE29" s="76" t="s">
        <v>225</v>
      </c>
      <c r="AF29" s="76" t="s">
        <v>225</v>
      </c>
      <c r="AG29" s="75">
        <v>0.08</v>
      </c>
      <c r="AH29" s="76" t="s">
        <v>225</v>
      </c>
      <c r="AI29" s="76" t="s">
        <v>225</v>
      </c>
      <c r="AJ29" s="75">
        <v>0.02</v>
      </c>
      <c r="AK29" s="76" t="s">
        <v>225</v>
      </c>
      <c r="AL29" s="76" t="s">
        <v>225</v>
      </c>
      <c r="AM29" s="77" t="s">
        <v>429</v>
      </c>
      <c r="AN29" s="78" t="s">
        <v>237</v>
      </c>
      <c r="AO29" s="79"/>
      <c r="AP29" s="79"/>
      <c r="AQ29" s="79"/>
      <c r="AR29" s="79"/>
      <c r="AS29" s="79"/>
      <c r="AT29" s="79"/>
      <c r="AU29" s="79"/>
      <c r="AV29" s="79"/>
      <c r="AW29" s="79"/>
      <c r="AX29" s="79"/>
      <c r="AY29" s="79"/>
      <c r="AZ29" s="79"/>
      <c r="BA29" s="80"/>
    </row>
    <row r="30" ht="82.5" customHeight="1">
      <c r="A30" s="61" t="s">
        <v>430</v>
      </c>
      <c r="B30" s="62" t="str">
        <f>image("https://i.imgur.com/KpuPfqM.png")</f>
        <v/>
      </c>
      <c r="C30" s="63" t="s">
        <v>216</v>
      </c>
      <c r="D30" s="46" t="str">
        <f t="shared" ref="D30:D31" si="52">image("https://i.imgur.com/pQYVkI3.png")</f>
        <v/>
      </c>
      <c r="E30" s="64" t="str">
        <f t="shared" ref="E30:E33" si="53">image("https://i.imgur.com/tOS4FvO.png")</f>
        <v/>
      </c>
      <c r="F30" s="64" t="str">
        <f t="shared" si="31"/>
        <v/>
      </c>
      <c r="G30" s="65">
        <v>6891.0</v>
      </c>
      <c r="H30" s="66">
        <v>3271.0</v>
      </c>
      <c r="I30" s="67">
        <v>2575.0</v>
      </c>
      <c r="J30" s="68">
        <f t="shared" ref="J30:L30" si="51">G30/max(G:G)</f>
        <v>0.8466642094</v>
      </c>
      <c r="K30" s="68">
        <f t="shared" si="51"/>
        <v>0.9340376927</v>
      </c>
      <c r="L30" s="68">
        <f t="shared" si="51"/>
        <v>0.7062534284</v>
      </c>
      <c r="M30" s="68">
        <f t="shared" si="3"/>
        <v>2.486955331</v>
      </c>
      <c r="N30" s="69">
        <f t="shared" si="4"/>
        <v>3274.9252</v>
      </c>
      <c r="O30" s="69">
        <f t="shared" si="5"/>
        <v>1478.69611</v>
      </c>
      <c r="P30" s="69">
        <f t="shared" ref="P30:P31" si="55">O30*2.7</f>
        <v>3992.479498</v>
      </c>
      <c r="Q30" s="71">
        <f t="shared" si="7"/>
        <v>9.280808081</v>
      </c>
      <c r="R30" s="82">
        <v>150.0</v>
      </c>
      <c r="S30" s="73" t="s">
        <v>248</v>
      </c>
      <c r="T30" s="73" t="s">
        <v>420</v>
      </c>
      <c r="U30" s="73" t="s">
        <v>323</v>
      </c>
      <c r="V30" s="74" t="s">
        <v>431</v>
      </c>
      <c r="W30" s="74" t="s">
        <v>432</v>
      </c>
      <c r="X30" s="74" t="s">
        <v>433</v>
      </c>
      <c r="Y30" s="74" t="s">
        <v>297</v>
      </c>
      <c r="Z30" s="74" t="s">
        <v>298</v>
      </c>
      <c r="AA30" s="75">
        <v>0.04</v>
      </c>
      <c r="AB30" s="76" t="s">
        <v>225</v>
      </c>
      <c r="AC30" s="76" t="s">
        <v>225</v>
      </c>
      <c r="AD30" s="75">
        <v>0.02</v>
      </c>
      <c r="AE30" s="76" t="s">
        <v>225</v>
      </c>
      <c r="AF30" s="76" t="s">
        <v>225</v>
      </c>
      <c r="AG30" s="75">
        <v>0.04</v>
      </c>
      <c r="AH30" s="76" t="s">
        <v>225</v>
      </c>
      <c r="AI30" s="76" t="s">
        <v>225</v>
      </c>
      <c r="AJ30" s="75">
        <v>0.02</v>
      </c>
      <c r="AK30" s="76" t="s">
        <v>225</v>
      </c>
      <c r="AL30" s="76" t="s">
        <v>225</v>
      </c>
      <c r="AM30" s="77" t="s">
        <v>434</v>
      </c>
      <c r="AN30" s="78" t="s">
        <v>237</v>
      </c>
      <c r="AO30" s="79"/>
      <c r="AP30" s="79"/>
      <c r="AQ30" s="79"/>
      <c r="AR30" s="79"/>
      <c r="AS30" s="79"/>
      <c r="AT30" s="79"/>
      <c r="AU30" s="79"/>
      <c r="AV30" s="79"/>
      <c r="AW30" s="79"/>
      <c r="AX30" s="79"/>
      <c r="AY30" s="79"/>
      <c r="AZ30" s="79"/>
      <c r="BA30" s="80"/>
    </row>
    <row r="31" ht="84.0" customHeight="1">
      <c r="A31" s="61" t="s">
        <v>435</v>
      </c>
      <c r="B31" s="62" t="str">
        <f>image("https://i.imgur.com/sMTNj2A.png")</f>
        <v/>
      </c>
      <c r="C31" s="63" t="s">
        <v>216</v>
      </c>
      <c r="D31" s="46" t="str">
        <f t="shared" si="52"/>
        <v/>
      </c>
      <c r="E31" s="64" t="str">
        <f t="shared" si="53"/>
        <v/>
      </c>
      <c r="F31" s="64" t="str">
        <f t="shared" ref="F31:F38" si="56">image("https://i.imgur.com/P4N7gFs.png")</f>
        <v/>
      </c>
      <c r="G31" s="65">
        <v>5958.0</v>
      </c>
      <c r="H31" s="66">
        <v>2280.0</v>
      </c>
      <c r="I31" s="86">
        <v>2990.0</v>
      </c>
      <c r="J31" s="68">
        <f t="shared" ref="J31:L31" si="54">G31/max(G:G)</f>
        <v>0.732030962</v>
      </c>
      <c r="K31" s="68">
        <f t="shared" si="54"/>
        <v>0.6510565391</v>
      </c>
      <c r="L31" s="68">
        <f t="shared" si="54"/>
        <v>0.8200767965</v>
      </c>
      <c r="M31" s="68">
        <f t="shared" si="3"/>
        <v>2.203164298</v>
      </c>
      <c r="N31" s="69">
        <f t="shared" si="4"/>
        <v>2282.736</v>
      </c>
      <c r="O31" s="69">
        <f t="shared" si="5"/>
        <v>971.351136</v>
      </c>
      <c r="P31" s="69">
        <f t="shared" si="55"/>
        <v>2622.648067</v>
      </c>
      <c r="Q31" s="71">
        <f t="shared" si="7"/>
        <v>9.238355145</v>
      </c>
      <c r="R31" s="72">
        <v>150.0</v>
      </c>
      <c r="S31" s="73" t="s">
        <v>436</v>
      </c>
      <c r="T31" s="73" t="s">
        <v>218</v>
      </c>
      <c r="U31" s="73" t="s">
        <v>240</v>
      </c>
      <c r="V31" s="74" t="s">
        <v>437</v>
      </c>
      <c r="W31" s="74" t="s">
        <v>438</v>
      </c>
      <c r="X31" s="74" t="s">
        <v>439</v>
      </c>
      <c r="Y31" s="74" t="s">
        <v>440</v>
      </c>
      <c r="Z31" s="74" t="s">
        <v>441</v>
      </c>
      <c r="AA31" s="75">
        <v>0.02</v>
      </c>
      <c r="AB31" s="76" t="s">
        <v>225</v>
      </c>
      <c r="AC31" s="76" t="s">
        <v>225</v>
      </c>
      <c r="AD31" s="75">
        <v>0.02</v>
      </c>
      <c r="AE31" s="76" t="s">
        <v>225</v>
      </c>
      <c r="AF31" s="76" t="s">
        <v>225</v>
      </c>
      <c r="AG31" s="75">
        <v>0.04</v>
      </c>
      <c r="AH31" s="75">
        <v>0.04</v>
      </c>
      <c r="AI31" s="76" t="s">
        <v>225</v>
      </c>
      <c r="AJ31" s="75">
        <v>0.02</v>
      </c>
      <c r="AK31" s="76" t="s">
        <v>225</v>
      </c>
      <c r="AL31" s="76" t="s">
        <v>225</v>
      </c>
      <c r="AM31" s="77" t="s">
        <v>442</v>
      </c>
      <c r="AN31" s="78" t="s">
        <v>237</v>
      </c>
      <c r="AO31" s="79"/>
      <c r="AP31" s="79"/>
      <c r="AQ31" s="79"/>
      <c r="AR31" s="79"/>
      <c r="AS31" s="79"/>
      <c r="AT31" s="79"/>
      <c r="AU31" s="79"/>
      <c r="AV31" s="79"/>
      <c r="AW31" s="79"/>
      <c r="AX31" s="79"/>
      <c r="AY31" s="79"/>
      <c r="AZ31" s="79"/>
      <c r="BA31" s="80"/>
    </row>
    <row r="32" ht="84.0" customHeight="1">
      <c r="A32" s="61" t="s">
        <v>443</v>
      </c>
      <c r="B32" s="62" t="str">
        <f>image("https://i.imgur.com/1R0Bd7H.png")</f>
        <v/>
      </c>
      <c r="C32" s="63" t="s">
        <v>444</v>
      </c>
      <c r="D32" s="46" t="str">
        <f>image("https://i.imgur.com/AHPti72.png")</f>
        <v/>
      </c>
      <c r="E32" s="64" t="str">
        <f t="shared" si="53"/>
        <v/>
      </c>
      <c r="F32" s="64" t="str">
        <f t="shared" si="56"/>
        <v/>
      </c>
      <c r="G32" s="65">
        <v>5983.0</v>
      </c>
      <c r="H32" s="66">
        <v>2255.0</v>
      </c>
      <c r="I32" s="67">
        <v>2997.0</v>
      </c>
      <c r="J32" s="68">
        <f t="shared" ref="J32:L32" si="57">G32/max(G:G)</f>
        <v>0.7351025925</v>
      </c>
      <c r="K32" s="68">
        <f t="shared" si="57"/>
        <v>0.6439177613</v>
      </c>
      <c r="L32" s="68">
        <f t="shared" si="57"/>
        <v>0.8219967087</v>
      </c>
      <c r="M32" s="68">
        <f t="shared" si="3"/>
        <v>2.201017062</v>
      </c>
      <c r="N32" s="69">
        <f t="shared" si="4"/>
        <v>2257.706</v>
      </c>
      <c r="O32" s="69">
        <f t="shared" si="5"/>
        <v>960.700356</v>
      </c>
      <c r="P32" s="69">
        <f>O32*2.6</f>
        <v>2497.820926</v>
      </c>
      <c r="Q32" s="71">
        <f t="shared" si="7"/>
        <v>8.543481365</v>
      </c>
      <c r="R32" s="72">
        <v>300.0</v>
      </c>
      <c r="S32" s="73" t="s">
        <v>248</v>
      </c>
      <c r="T32" s="73" t="s">
        <v>385</v>
      </c>
      <c r="U32" s="73" t="s">
        <v>240</v>
      </c>
      <c r="V32" s="74" t="s">
        <v>445</v>
      </c>
      <c r="W32" s="74" t="s">
        <v>446</v>
      </c>
      <c r="X32" s="74" t="s">
        <v>447</v>
      </c>
      <c r="Y32" s="74" t="s">
        <v>448</v>
      </c>
      <c r="Z32" s="74" t="s">
        <v>449</v>
      </c>
      <c r="AA32" s="75">
        <v>0.02</v>
      </c>
      <c r="AB32" s="76" t="s">
        <v>225</v>
      </c>
      <c r="AC32" s="76" t="s">
        <v>225</v>
      </c>
      <c r="AD32" s="75">
        <v>0.02</v>
      </c>
      <c r="AE32" s="76" t="s">
        <v>225</v>
      </c>
      <c r="AF32" s="76" t="s">
        <v>225</v>
      </c>
      <c r="AG32" s="75">
        <v>0.02</v>
      </c>
      <c r="AH32" s="76" t="s">
        <v>225</v>
      </c>
      <c r="AI32" s="76" t="s">
        <v>225</v>
      </c>
      <c r="AJ32" s="76" t="s">
        <v>225</v>
      </c>
      <c r="AK32" s="75">
        <v>0.08</v>
      </c>
      <c r="AL32" s="76" t="s">
        <v>225</v>
      </c>
      <c r="AM32" s="77" t="s">
        <v>450</v>
      </c>
      <c r="AN32" s="78" t="s">
        <v>237</v>
      </c>
      <c r="AO32" s="79"/>
      <c r="AP32" s="79"/>
      <c r="AQ32" s="79"/>
      <c r="AR32" s="79"/>
      <c r="AS32" s="79"/>
      <c r="AT32" s="79"/>
      <c r="AU32" s="79"/>
      <c r="AV32" s="79"/>
      <c r="AW32" s="79"/>
      <c r="AX32" s="79"/>
      <c r="AY32" s="79"/>
      <c r="AZ32" s="79"/>
      <c r="BA32" s="80"/>
    </row>
    <row r="33" ht="82.5" customHeight="1">
      <c r="A33" s="61" t="s">
        <v>451</v>
      </c>
      <c r="B33" s="62" t="str">
        <f>image("https://i.imgur.com/ZnR0UHh.png")</f>
        <v/>
      </c>
      <c r="C33" s="63" t="s">
        <v>444</v>
      </c>
      <c r="D33" s="46" t="str">
        <f>image("https://i.imgur.com/pQYVkI3.png")</f>
        <v/>
      </c>
      <c r="E33" s="64" t="str">
        <f t="shared" si="53"/>
        <v/>
      </c>
      <c r="F33" s="64" t="str">
        <f t="shared" si="56"/>
        <v/>
      </c>
      <c r="G33" s="65">
        <v>5983.0</v>
      </c>
      <c r="H33" s="66">
        <v>2254.0</v>
      </c>
      <c r="I33" s="67">
        <v>2995.0</v>
      </c>
      <c r="J33" s="68">
        <f t="shared" ref="J33:L33" si="58">G33/max(G:G)</f>
        <v>0.7351025925</v>
      </c>
      <c r="K33" s="68">
        <f t="shared" si="58"/>
        <v>0.6436322102</v>
      </c>
      <c r="L33" s="68">
        <f t="shared" si="58"/>
        <v>0.8214481624</v>
      </c>
      <c r="M33" s="68">
        <f t="shared" si="3"/>
        <v>2.200182965</v>
      </c>
      <c r="N33" s="69">
        <f t="shared" si="4"/>
        <v>2256.7048</v>
      </c>
      <c r="O33" s="69">
        <f t="shared" si="5"/>
        <v>960.2743248</v>
      </c>
      <c r="P33" s="69">
        <f>O33*4.35</f>
        <v>4177.193313</v>
      </c>
      <c r="Q33" s="71">
        <f t="shared" si="7"/>
        <v>8.541042113</v>
      </c>
      <c r="R33" s="72">
        <v>300.0</v>
      </c>
      <c r="S33" s="73" t="s">
        <v>321</v>
      </c>
      <c r="T33" s="73" t="s">
        <v>229</v>
      </c>
      <c r="U33" s="73" t="s">
        <v>374</v>
      </c>
      <c r="V33" s="74" t="s">
        <v>452</v>
      </c>
      <c r="W33" s="74" t="s">
        <v>453</v>
      </c>
      <c r="X33" s="74" t="s">
        <v>454</v>
      </c>
      <c r="Y33" s="74" t="s">
        <v>455</v>
      </c>
      <c r="Z33" s="74" t="s">
        <v>456</v>
      </c>
      <c r="AA33" s="75">
        <v>0.02</v>
      </c>
      <c r="AB33" s="76" t="s">
        <v>225</v>
      </c>
      <c r="AC33" s="76" t="s">
        <v>225</v>
      </c>
      <c r="AD33" s="75">
        <v>0.02</v>
      </c>
      <c r="AE33" s="76" t="s">
        <v>225</v>
      </c>
      <c r="AF33" s="76" t="s">
        <v>225</v>
      </c>
      <c r="AG33" s="75">
        <v>0.02</v>
      </c>
      <c r="AH33" s="76" t="s">
        <v>225</v>
      </c>
      <c r="AI33" s="76" t="s">
        <v>225</v>
      </c>
      <c r="AJ33" s="75">
        <v>0.02</v>
      </c>
      <c r="AK33" s="75">
        <v>0.08</v>
      </c>
      <c r="AL33" s="76" t="s">
        <v>225</v>
      </c>
      <c r="AM33" s="77" t="s">
        <v>457</v>
      </c>
      <c r="AN33" s="78" t="s">
        <v>237</v>
      </c>
      <c r="AO33" s="79"/>
      <c r="AP33" s="79"/>
      <c r="AQ33" s="79"/>
      <c r="AR33" s="79"/>
      <c r="AS33" s="79"/>
      <c r="AT33" s="79"/>
      <c r="AU33" s="79"/>
      <c r="AV33" s="79"/>
      <c r="AW33" s="79"/>
      <c r="AX33" s="79"/>
      <c r="AY33" s="79"/>
      <c r="AZ33" s="79"/>
      <c r="BA33" s="80"/>
    </row>
    <row r="34" ht="82.5" customHeight="1">
      <c r="A34" s="61" t="s">
        <v>458</v>
      </c>
      <c r="B34" s="62" t="str">
        <f>image("https://i.imgur.com/ZOSmIuz.png")</f>
        <v/>
      </c>
      <c r="C34" s="63" t="s">
        <v>444</v>
      </c>
      <c r="D34" s="46" t="str">
        <f>image("https://i.imgur.com/NchScWh.png")</f>
        <v/>
      </c>
      <c r="E34" s="64" t="str">
        <f>image("https://i.imgur.com/P8lUDX0.png")</f>
        <v/>
      </c>
      <c r="F34" s="64" t="str">
        <f t="shared" si="56"/>
        <v/>
      </c>
      <c r="G34" s="65">
        <v>5983.0</v>
      </c>
      <c r="H34" s="66">
        <v>2260.0</v>
      </c>
      <c r="I34" s="67">
        <v>2987.0</v>
      </c>
      <c r="J34" s="68">
        <f t="shared" ref="J34:L34" si="59">G34/max(G:G)</f>
        <v>0.7351025925</v>
      </c>
      <c r="K34" s="68">
        <f t="shared" si="59"/>
        <v>0.6453455168</v>
      </c>
      <c r="L34" s="68">
        <f t="shared" si="59"/>
        <v>0.819253977</v>
      </c>
      <c r="M34" s="68">
        <f t="shared" si="3"/>
        <v>2.199702086</v>
      </c>
      <c r="N34" s="69">
        <f t="shared" si="4"/>
        <v>2262.712</v>
      </c>
      <c r="O34" s="69">
        <f t="shared" si="5"/>
        <v>962.830512</v>
      </c>
      <c r="P34" s="69">
        <f>O34*2.6</f>
        <v>2503.359331</v>
      </c>
      <c r="Q34" s="71">
        <f t="shared" si="7"/>
        <v>8.531299016</v>
      </c>
      <c r="R34" s="82">
        <v>300.0</v>
      </c>
      <c r="S34" s="73" t="s">
        <v>217</v>
      </c>
      <c r="T34" s="73" t="s">
        <v>459</v>
      </c>
      <c r="U34" s="73" t="s">
        <v>315</v>
      </c>
      <c r="V34" s="74" t="s">
        <v>460</v>
      </c>
      <c r="W34" s="74" t="s">
        <v>461</v>
      </c>
      <c r="X34" s="74" t="s">
        <v>462</v>
      </c>
      <c r="Y34" s="74" t="s">
        <v>463</v>
      </c>
      <c r="Z34" s="74" t="s">
        <v>464</v>
      </c>
      <c r="AA34" s="75">
        <v>0.02</v>
      </c>
      <c r="AB34" s="76" t="s">
        <v>225</v>
      </c>
      <c r="AC34" s="76" t="s">
        <v>225</v>
      </c>
      <c r="AD34" s="75">
        <v>0.02</v>
      </c>
      <c r="AE34" s="76" t="s">
        <v>225</v>
      </c>
      <c r="AF34" s="76" t="s">
        <v>225</v>
      </c>
      <c r="AG34" s="75">
        <v>0.02</v>
      </c>
      <c r="AH34" s="76" t="s">
        <v>225</v>
      </c>
      <c r="AI34" s="76" t="s">
        <v>225</v>
      </c>
      <c r="AJ34" s="75">
        <v>0.04</v>
      </c>
      <c r="AK34" s="76" t="s">
        <v>225</v>
      </c>
      <c r="AL34" s="76" t="s">
        <v>225</v>
      </c>
      <c r="AM34" s="77" t="s">
        <v>465</v>
      </c>
      <c r="AN34" s="78" t="s">
        <v>237</v>
      </c>
      <c r="AO34" s="79"/>
      <c r="AP34" s="79"/>
      <c r="AQ34" s="79"/>
      <c r="AR34" s="79"/>
      <c r="AS34" s="79"/>
      <c r="AT34" s="79"/>
      <c r="AU34" s="79"/>
      <c r="AV34" s="79"/>
      <c r="AW34" s="79"/>
      <c r="AX34" s="79"/>
      <c r="AY34" s="79"/>
      <c r="AZ34" s="79"/>
      <c r="BA34" s="80"/>
    </row>
    <row r="35" ht="82.5" customHeight="1">
      <c r="A35" s="61" t="s">
        <v>466</v>
      </c>
      <c r="B35" s="62" t="str">
        <f>image("https://i.imgur.com/cqAFb6o.png")</f>
        <v/>
      </c>
      <c r="C35" s="63" t="s">
        <v>444</v>
      </c>
      <c r="D35" s="46" t="str">
        <f>image("https://i.imgur.com/z8bnSYg.png")</f>
        <v/>
      </c>
      <c r="E35" s="64" t="str">
        <f t="shared" ref="E35:E37" si="61">image("https://i.imgur.com/tOS4FvO.png")</f>
        <v/>
      </c>
      <c r="F35" s="64" t="str">
        <f t="shared" si="56"/>
        <v/>
      </c>
      <c r="G35" s="65">
        <v>5986.0</v>
      </c>
      <c r="H35" s="66">
        <v>2261.0</v>
      </c>
      <c r="I35" s="67">
        <v>2980.0</v>
      </c>
      <c r="J35" s="68">
        <f t="shared" ref="J35:L35" si="60">G35/max(G:G)</f>
        <v>0.7354711881</v>
      </c>
      <c r="K35" s="68">
        <f t="shared" si="60"/>
        <v>0.645631068</v>
      </c>
      <c r="L35" s="68">
        <f t="shared" si="60"/>
        <v>0.8173340647</v>
      </c>
      <c r="M35" s="68">
        <f t="shared" si="3"/>
        <v>2.198436321</v>
      </c>
      <c r="N35" s="69">
        <f t="shared" si="4"/>
        <v>2263.7132</v>
      </c>
      <c r="O35" s="69">
        <f t="shared" si="5"/>
        <v>963.2565432</v>
      </c>
      <c r="P35" s="69">
        <f t="shared" ref="P35:P36" si="63">O35*4.35</f>
        <v>4190.165963</v>
      </c>
      <c r="Q35" s="71">
        <f t="shared" si="7"/>
        <v>9.268549486</v>
      </c>
      <c r="R35" s="72">
        <v>300.0</v>
      </c>
      <c r="S35" s="73" t="s">
        <v>301</v>
      </c>
      <c r="T35" s="73" t="s">
        <v>380</v>
      </c>
      <c r="U35" s="73" t="s">
        <v>240</v>
      </c>
      <c r="V35" s="74" t="s">
        <v>467</v>
      </c>
      <c r="W35" s="74" t="s">
        <v>468</v>
      </c>
      <c r="X35" s="74" t="s">
        <v>469</v>
      </c>
      <c r="Y35" s="74" t="s">
        <v>470</v>
      </c>
      <c r="Z35" s="74" t="s">
        <v>471</v>
      </c>
      <c r="AA35" s="75">
        <v>0.02</v>
      </c>
      <c r="AB35" s="76" t="s">
        <v>225</v>
      </c>
      <c r="AC35" s="76" t="s">
        <v>225</v>
      </c>
      <c r="AD35" s="75">
        <v>0.02</v>
      </c>
      <c r="AE35" s="76" t="s">
        <v>225</v>
      </c>
      <c r="AF35" s="76" t="s">
        <v>225</v>
      </c>
      <c r="AG35" s="75">
        <v>0.04</v>
      </c>
      <c r="AH35" s="75">
        <v>0.04</v>
      </c>
      <c r="AI35" s="76" t="s">
        <v>225</v>
      </c>
      <c r="AJ35" s="75">
        <v>0.02</v>
      </c>
      <c r="AK35" s="76" t="s">
        <v>225</v>
      </c>
      <c r="AL35" s="76" t="s">
        <v>225</v>
      </c>
      <c r="AM35" s="77" t="s">
        <v>472</v>
      </c>
      <c r="AN35" s="78" t="s">
        <v>237</v>
      </c>
      <c r="AO35" s="79"/>
      <c r="AP35" s="79"/>
      <c r="AQ35" s="79"/>
      <c r="AR35" s="79"/>
      <c r="AS35" s="79"/>
      <c r="AT35" s="79"/>
      <c r="AU35" s="79"/>
      <c r="AV35" s="79"/>
      <c r="AW35" s="79"/>
      <c r="AX35" s="79"/>
      <c r="AY35" s="79"/>
      <c r="AZ35" s="79"/>
      <c r="BA35" s="80"/>
    </row>
    <row r="36" ht="82.5" customHeight="1">
      <c r="A36" s="61" t="s">
        <v>473</v>
      </c>
      <c r="B36" s="62" t="str">
        <f>image("https://i.imgur.com/pB0vBcu.png")</f>
        <v/>
      </c>
      <c r="C36" s="63" t="s">
        <v>444</v>
      </c>
      <c r="D36" s="46" t="str">
        <f>image("https://i.imgur.com/hX15sR0.png")</f>
        <v/>
      </c>
      <c r="E36" s="64" t="str">
        <f t="shared" si="61"/>
        <v/>
      </c>
      <c r="F36" s="64" t="str">
        <f t="shared" si="56"/>
        <v/>
      </c>
      <c r="G36" s="65">
        <v>5983.0</v>
      </c>
      <c r="H36" s="66">
        <v>2266.0</v>
      </c>
      <c r="I36" s="67">
        <v>2975.0</v>
      </c>
      <c r="J36" s="68">
        <f t="shared" ref="J36:L36" si="62">G36/max(G:G)</f>
        <v>0.7351025925</v>
      </c>
      <c r="K36" s="68">
        <f t="shared" si="62"/>
        <v>0.6470588235</v>
      </c>
      <c r="L36" s="68">
        <f t="shared" si="62"/>
        <v>0.8159626988</v>
      </c>
      <c r="M36" s="68">
        <f t="shared" si="3"/>
        <v>2.198124115</v>
      </c>
      <c r="N36" s="69">
        <f t="shared" si="4"/>
        <v>2271.4384</v>
      </c>
      <c r="O36" s="69">
        <f t="shared" si="5"/>
        <v>1024.514797</v>
      </c>
      <c r="P36" s="69">
        <f t="shared" si="63"/>
        <v>4456.639366</v>
      </c>
      <c r="Q36" s="71">
        <f t="shared" si="7"/>
        <v>8.516725979</v>
      </c>
      <c r="R36" s="72">
        <v>300.0</v>
      </c>
      <c r="S36" s="73" t="s">
        <v>436</v>
      </c>
      <c r="T36" s="73" t="s">
        <v>284</v>
      </c>
      <c r="U36" s="73" t="s">
        <v>323</v>
      </c>
      <c r="V36" s="74" t="s">
        <v>474</v>
      </c>
      <c r="W36" s="74" t="s">
        <v>475</v>
      </c>
      <c r="X36" s="74" t="s">
        <v>476</v>
      </c>
      <c r="Y36" s="74" t="s">
        <v>477</v>
      </c>
      <c r="Z36" s="74" t="s">
        <v>478</v>
      </c>
      <c r="AA36" s="75">
        <v>0.04</v>
      </c>
      <c r="AB36" s="76" t="s">
        <v>225</v>
      </c>
      <c r="AC36" s="76" t="s">
        <v>225</v>
      </c>
      <c r="AD36" s="75">
        <v>0.04</v>
      </c>
      <c r="AE36" s="76" t="s">
        <v>225</v>
      </c>
      <c r="AF36" s="76" t="s">
        <v>225</v>
      </c>
      <c r="AG36" s="75">
        <v>0.02</v>
      </c>
      <c r="AH36" s="76" t="s">
        <v>225</v>
      </c>
      <c r="AI36" s="76" t="s">
        <v>225</v>
      </c>
      <c r="AJ36" s="75">
        <v>0.02</v>
      </c>
      <c r="AK36" s="76" t="s">
        <v>225</v>
      </c>
      <c r="AL36" s="76" t="s">
        <v>225</v>
      </c>
      <c r="AM36" s="77" t="s">
        <v>479</v>
      </c>
      <c r="AN36" s="78" t="s">
        <v>237</v>
      </c>
      <c r="AO36" s="79"/>
      <c r="AP36" s="79"/>
      <c r="AQ36" s="79"/>
      <c r="AR36" s="79"/>
      <c r="AS36" s="79"/>
      <c r="AT36" s="79"/>
      <c r="AU36" s="79"/>
      <c r="AV36" s="79"/>
      <c r="AW36" s="79"/>
      <c r="AX36" s="79"/>
      <c r="AY36" s="79"/>
      <c r="AZ36" s="79"/>
      <c r="BA36" s="80"/>
    </row>
    <row r="37" ht="82.5" customHeight="1">
      <c r="A37" s="61" t="s">
        <v>480</v>
      </c>
      <c r="B37" s="62" t="str">
        <f>image("https://i.imgur.com/3rHl8BI.png")</f>
        <v/>
      </c>
      <c r="C37" s="63" t="s">
        <v>444</v>
      </c>
      <c r="D37" s="46" t="str">
        <f>image("https://i.imgur.com/pzX6NRL.png")</f>
        <v/>
      </c>
      <c r="E37" s="64" t="str">
        <f t="shared" si="61"/>
        <v/>
      </c>
      <c r="F37" s="64" t="str">
        <f t="shared" si="56"/>
        <v/>
      </c>
      <c r="G37" s="65">
        <v>5988.0</v>
      </c>
      <c r="H37" s="66">
        <v>2266.0</v>
      </c>
      <c r="I37" s="67">
        <v>2971.0</v>
      </c>
      <c r="J37" s="68">
        <f t="shared" ref="J37:L37" si="64">G37/max(G:G)</f>
        <v>0.7357169185</v>
      </c>
      <c r="K37" s="68">
        <f t="shared" si="64"/>
        <v>0.6470588235</v>
      </c>
      <c r="L37" s="68">
        <f t="shared" si="64"/>
        <v>0.8148656061</v>
      </c>
      <c r="M37" s="68">
        <f t="shared" si="3"/>
        <v>2.197641348</v>
      </c>
      <c r="N37" s="69">
        <f t="shared" si="4"/>
        <v>2271.4384</v>
      </c>
      <c r="O37" s="69">
        <f t="shared" si="5"/>
        <v>1024.514797</v>
      </c>
      <c r="P37" s="69">
        <f>O37*2.6</f>
        <v>2663.738472</v>
      </c>
      <c r="Q37" s="71">
        <f t="shared" si="7"/>
        <v>8.518992744</v>
      </c>
      <c r="R37" s="72">
        <v>300.0</v>
      </c>
      <c r="S37" s="73" t="s">
        <v>331</v>
      </c>
      <c r="T37" s="73" t="s">
        <v>459</v>
      </c>
      <c r="U37" s="73" t="s">
        <v>240</v>
      </c>
      <c r="V37" s="74" t="s">
        <v>481</v>
      </c>
      <c r="W37" s="74" t="s">
        <v>482</v>
      </c>
      <c r="X37" s="74" t="s">
        <v>483</v>
      </c>
      <c r="Y37" s="74" t="s">
        <v>484</v>
      </c>
      <c r="Z37" s="74" t="s">
        <v>485</v>
      </c>
      <c r="AA37" s="75">
        <v>0.04</v>
      </c>
      <c r="AB37" s="76" t="s">
        <v>225</v>
      </c>
      <c r="AC37" s="76" t="s">
        <v>225</v>
      </c>
      <c r="AD37" s="75">
        <v>0.04</v>
      </c>
      <c r="AE37" s="76" t="s">
        <v>225</v>
      </c>
      <c r="AF37" s="76" t="s">
        <v>225</v>
      </c>
      <c r="AG37" s="75">
        <v>0.02</v>
      </c>
      <c r="AH37" s="76" t="s">
        <v>225</v>
      </c>
      <c r="AI37" s="76" t="s">
        <v>225</v>
      </c>
      <c r="AJ37" s="75">
        <v>0.02</v>
      </c>
      <c r="AK37" s="76" t="s">
        <v>225</v>
      </c>
      <c r="AL37" s="76" t="s">
        <v>225</v>
      </c>
      <c r="AM37" s="77" t="s">
        <v>486</v>
      </c>
      <c r="AN37" s="78" t="s">
        <v>237</v>
      </c>
      <c r="AO37" s="79"/>
      <c r="AP37" s="79"/>
      <c r="AQ37" s="79"/>
      <c r="AR37" s="79"/>
      <c r="AS37" s="79"/>
      <c r="AT37" s="79"/>
      <c r="AU37" s="79"/>
      <c r="AV37" s="79"/>
      <c r="AW37" s="79"/>
      <c r="AX37" s="79"/>
      <c r="AY37" s="79"/>
      <c r="AZ37" s="79"/>
      <c r="BA37" s="80"/>
    </row>
    <row r="38" ht="82.5" customHeight="1">
      <c r="A38" s="61" t="s">
        <v>487</v>
      </c>
      <c r="B38" s="62" t="str">
        <f>image("https://i.imgur.com/TnMxtXa.png")</f>
        <v/>
      </c>
      <c r="C38" s="63" t="s">
        <v>444</v>
      </c>
      <c r="D38" s="46" t="str">
        <f>image("https://i.imgur.com/AHPti72.png")</f>
        <v/>
      </c>
      <c r="E38" s="64" t="str">
        <f>image("https://i.imgur.com/P8lUDX0.png")</f>
        <v/>
      </c>
      <c r="F38" s="64" t="str">
        <f t="shared" si="56"/>
        <v/>
      </c>
      <c r="G38" s="65">
        <v>5983.0</v>
      </c>
      <c r="H38" s="66">
        <v>2266.0</v>
      </c>
      <c r="I38" s="67">
        <v>2971.0</v>
      </c>
      <c r="J38" s="68">
        <f t="shared" ref="J38:L38" si="65">G38/max(G:G)</f>
        <v>0.7351025925</v>
      </c>
      <c r="K38" s="68">
        <f t="shared" si="65"/>
        <v>0.6470588235</v>
      </c>
      <c r="L38" s="68">
        <f t="shared" si="65"/>
        <v>0.8148656061</v>
      </c>
      <c r="M38" s="68">
        <f t="shared" si="3"/>
        <v>2.197027022</v>
      </c>
      <c r="N38" s="69">
        <f t="shared" si="4"/>
        <v>2268.7192</v>
      </c>
      <c r="O38" s="69">
        <f t="shared" si="5"/>
        <v>965.3866992</v>
      </c>
      <c r="P38" s="69">
        <f>O38*4.35</f>
        <v>4199.432142</v>
      </c>
      <c r="Q38" s="71">
        <f t="shared" si="7"/>
        <v>8.511879357</v>
      </c>
      <c r="R38" s="72">
        <v>300.0</v>
      </c>
      <c r="S38" s="73" t="s">
        <v>239</v>
      </c>
      <c r="T38" s="73" t="s">
        <v>488</v>
      </c>
      <c r="U38" s="73" t="s">
        <v>323</v>
      </c>
      <c r="V38" s="74" t="s">
        <v>489</v>
      </c>
      <c r="W38" s="74" t="s">
        <v>490</v>
      </c>
      <c r="X38" s="74" t="s">
        <v>491</v>
      </c>
      <c r="Y38" s="74" t="s">
        <v>492</v>
      </c>
      <c r="Z38" s="74" t="s">
        <v>493</v>
      </c>
      <c r="AA38" s="75">
        <v>0.02</v>
      </c>
      <c r="AB38" s="76" t="s">
        <v>225</v>
      </c>
      <c r="AC38" s="76" t="s">
        <v>225</v>
      </c>
      <c r="AD38" s="75">
        <v>0.02</v>
      </c>
      <c r="AE38" s="76" t="s">
        <v>225</v>
      </c>
      <c r="AF38" s="76" t="s">
        <v>225</v>
      </c>
      <c r="AG38" s="75">
        <v>0.02</v>
      </c>
      <c r="AH38" s="76" t="s">
        <v>225</v>
      </c>
      <c r="AI38" s="76" t="s">
        <v>225</v>
      </c>
      <c r="AJ38" s="75">
        <v>0.02</v>
      </c>
      <c r="AK38" s="75">
        <v>0.08</v>
      </c>
      <c r="AL38" s="76" t="s">
        <v>225</v>
      </c>
      <c r="AM38" s="93"/>
      <c r="AN38" s="78" t="s">
        <v>237</v>
      </c>
      <c r="AO38" s="79"/>
      <c r="AP38" s="79"/>
      <c r="AQ38" s="79"/>
      <c r="AR38" s="79"/>
      <c r="AS38" s="79"/>
      <c r="AT38" s="79"/>
      <c r="AU38" s="79"/>
      <c r="AV38" s="79"/>
      <c r="AW38" s="79"/>
      <c r="AX38" s="79"/>
      <c r="AY38" s="79"/>
      <c r="AZ38" s="79"/>
      <c r="BA38" s="80"/>
    </row>
    <row r="39" ht="82.5" customHeight="1">
      <c r="A39" s="61" t="s">
        <v>494</v>
      </c>
      <c r="B39" s="62" t="str">
        <f>image("https://i.imgur.com/Kn2kQJS.png")</f>
        <v/>
      </c>
      <c r="C39" s="63" t="s">
        <v>444</v>
      </c>
      <c r="D39" s="46" t="str">
        <f>image("https://i.imgur.com/NchScWh.png")</f>
        <v/>
      </c>
      <c r="E39" s="64" t="str">
        <f t="shared" ref="E39:E40" si="67">image("https://i.imgur.com/tOS4FvO.png")</f>
        <v/>
      </c>
      <c r="F39" s="64" t="str">
        <f t="shared" ref="F39:F49" si="68">image("https://i.imgur.com/MLuLYZy.png")</f>
        <v/>
      </c>
      <c r="G39" s="65">
        <v>6035.0</v>
      </c>
      <c r="H39" s="66">
        <v>2514.0</v>
      </c>
      <c r="I39" s="67">
        <v>2518.0</v>
      </c>
      <c r="J39" s="68">
        <f t="shared" ref="J39:L39" si="66">G39/max(G:G)</f>
        <v>0.7414915837</v>
      </c>
      <c r="K39" s="68">
        <f t="shared" si="66"/>
        <v>0.7178754997</v>
      </c>
      <c r="L39" s="68">
        <f t="shared" si="66"/>
        <v>0.6906198574</v>
      </c>
      <c r="M39" s="68">
        <f t="shared" si="3"/>
        <v>2.149986941</v>
      </c>
      <c r="N39" s="69">
        <f t="shared" si="4"/>
        <v>2517.0168</v>
      </c>
      <c r="O39" s="69">
        <f t="shared" si="5"/>
        <v>1267.369747</v>
      </c>
      <c r="P39" s="69">
        <f t="shared" ref="P39:P40" si="70">O39*2.6</f>
        <v>3295.161343</v>
      </c>
      <c r="Q39" s="71">
        <f t="shared" si="7"/>
        <v>8.066025127</v>
      </c>
      <c r="R39" s="72">
        <v>300.0</v>
      </c>
      <c r="S39" s="73" t="s">
        <v>257</v>
      </c>
      <c r="T39" s="73" t="s">
        <v>322</v>
      </c>
      <c r="U39" s="73" t="s">
        <v>240</v>
      </c>
      <c r="V39" s="74" t="s">
        <v>495</v>
      </c>
      <c r="W39" s="74" t="s">
        <v>496</v>
      </c>
      <c r="X39" s="74" t="s">
        <v>497</v>
      </c>
      <c r="Y39" s="74" t="s">
        <v>498</v>
      </c>
      <c r="Z39" s="74" t="s">
        <v>499</v>
      </c>
      <c r="AA39" s="75">
        <v>0.08</v>
      </c>
      <c r="AB39" s="76" t="s">
        <v>225</v>
      </c>
      <c r="AC39" s="76" t="s">
        <v>225</v>
      </c>
      <c r="AD39" s="75">
        <v>0.02</v>
      </c>
      <c r="AE39" s="76" t="s">
        <v>225</v>
      </c>
      <c r="AF39" s="76" t="s">
        <v>225</v>
      </c>
      <c r="AG39" s="75">
        <v>0.02</v>
      </c>
      <c r="AH39" s="76" t="s">
        <v>225</v>
      </c>
      <c r="AI39" s="76" t="s">
        <v>225</v>
      </c>
      <c r="AJ39" s="75">
        <v>0.02</v>
      </c>
      <c r="AK39" s="76" t="s">
        <v>225</v>
      </c>
      <c r="AL39" s="76" t="s">
        <v>225</v>
      </c>
      <c r="AM39" s="77" t="s">
        <v>500</v>
      </c>
      <c r="AN39" s="78" t="s">
        <v>237</v>
      </c>
      <c r="AO39" s="79"/>
      <c r="AP39" s="79"/>
      <c r="AQ39" s="79"/>
      <c r="AR39" s="79"/>
      <c r="AS39" s="79"/>
      <c r="AT39" s="79"/>
      <c r="AU39" s="79"/>
      <c r="AV39" s="79"/>
      <c r="AW39" s="79"/>
      <c r="AX39" s="79"/>
      <c r="AY39" s="79"/>
      <c r="AZ39" s="79"/>
      <c r="BA39" s="80"/>
    </row>
    <row r="40" ht="82.5" customHeight="1">
      <c r="A40" s="61" t="s">
        <v>501</v>
      </c>
      <c r="B40" s="92" t="str">
        <f>image("https://i.imgur.com/aemLadL.png")</f>
        <v/>
      </c>
      <c r="C40" s="63" t="s">
        <v>444</v>
      </c>
      <c r="D40" s="46" t="str">
        <f>image("https://i.imgur.com/hX15sR0.png")</f>
        <v/>
      </c>
      <c r="E40" s="64" t="str">
        <f t="shared" si="67"/>
        <v/>
      </c>
      <c r="F40" s="64" t="str">
        <f t="shared" si="68"/>
        <v/>
      </c>
      <c r="G40" s="65">
        <v>6025.0</v>
      </c>
      <c r="H40" s="66">
        <v>2498.0</v>
      </c>
      <c r="I40" s="67">
        <v>2498.0</v>
      </c>
      <c r="J40" s="68">
        <f t="shared" ref="J40:L40" si="69">G40/max(G:G)</f>
        <v>0.7402629316</v>
      </c>
      <c r="K40" s="68">
        <f t="shared" si="69"/>
        <v>0.7133066819</v>
      </c>
      <c r="L40" s="68">
        <f t="shared" si="69"/>
        <v>0.6851343939</v>
      </c>
      <c r="M40" s="68">
        <f t="shared" si="3"/>
        <v>2.138704007</v>
      </c>
      <c r="N40" s="69">
        <f t="shared" si="4"/>
        <v>2500.9976</v>
      </c>
      <c r="O40" s="69">
        <f t="shared" si="5"/>
        <v>1064.225938</v>
      </c>
      <c r="P40" s="69">
        <f t="shared" si="70"/>
        <v>2766.987438</v>
      </c>
      <c r="Q40" s="71">
        <f t="shared" si="7"/>
        <v>8.729556176</v>
      </c>
      <c r="R40" s="82">
        <v>300.0</v>
      </c>
      <c r="S40" s="73" t="s">
        <v>436</v>
      </c>
      <c r="T40" s="73" t="s">
        <v>385</v>
      </c>
      <c r="U40" s="73" t="s">
        <v>240</v>
      </c>
      <c r="V40" s="74" t="s">
        <v>502</v>
      </c>
      <c r="W40" s="74" t="s">
        <v>503</v>
      </c>
      <c r="X40" s="74" t="s">
        <v>504</v>
      </c>
      <c r="Y40" s="74" t="s">
        <v>505</v>
      </c>
      <c r="Z40" s="74" t="s">
        <v>506</v>
      </c>
      <c r="AA40" s="75">
        <v>0.02</v>
      </c>
      <c r="AB40" s="76" t="s">
        <v>225</v>
      </c>
      <c r="AC40" s="76" t="s">
        <v>225</v>
      </c>
      <c r="AD40" s="75">
        <v>0.02</v>
      </c>
      <c r="AE40" s="76" t="s">
        <v>225</v>
      </c>
      <c r="AF40" s="76" t="s">
        <v>225</v>
      </c>
      <c r="AG40" s="75">
        <v>0.04</v>
      </c>
      <c r="AH40" s="75">
        <v>0.04</v>
      </c>
      <c r="AI40" s="76" t="s">
        <v>225</v>
      </c>
      <c r="AJ40" s="75">
        <v>0.02</v>
      </c>
      <c r="AK40" s="76" t="s">
        <v>225</v>
      </c>
      <c r="AL40" s="76" t="s">
        <v>225</v>
      </c>
      <c r="AM40" s="94"/>
      <c r="AN40" s="78" t="s">
        <v>237</v>
      </c>
      <c r="AO40" s="80"/>
      <c r="AP40" s="80"/>
      <c r="AQ40" s="80"/>
      <c r="AR40" s="80"/>
      <c r="AS40" s="80"/>
      <c r="AT40" s="80"/>
      <c r="AU40" s="80"/>
      <c r="AV40" s="80"/>
      <c r="AW40" s="80"/>
      <c r="AX40" s="80"/>
      <c r="AY40" s="80"/>
      <c r="AZ40" s="80"/>
      <c r="BA40" s="80"/>
    </row>
    <row r="41" ht="82.5" customHeight="1">
      <c r="A41" s="61" t="s">
        <v>507</v>
      </c>
      <c r="B41" s="62" t="str">
        <f>image("https://i.imgur.com/53d93fY.png")</f>
        <v/>
      </c>
      <c r="C41" s="63" t="s">
        <v>444</v>
      </c>
      <c r="D41" s="46" t="str">
        <f t="shared" ref="D41:D42" si="72">image("https://i.imgur.com/pQYVkI3.png")</f>
        <v/>
      </c>
      <c r="E41" s="64" t="str">
        <f t="shared" ref="E41:E42" si="73">image("https://i.imgur.com/P8lUDX0.png")</f>
        <v/>
      </c>
      <c r="F41" s="64" t="str">
        <f t="shared" si="68"/>
        <v/>
      </c>
      <c r="G41" s="65">
        <v>6020.0</v>
      </c>
      <c r="H41" s="66">
        <v>2499.0</v>
      </c>
      <c r="I41" s="67">
        <v>2499.0</v>
      </c>
      <c r="J41" s="68">
        <f t="shared" ref="J41:L41" si="71">G41/max(G:G)</f>
        <v>0.7396486055</v>
      </c>
      <c r="K41" s="68">
        <f t="shared" si="71"/>
        <v>0.713592233</v>
      </c>
      <c r="L41" s="68">
        <f t="shared" si="71"/>
        <v>0.685408667</v>
      </c>
      <c r="M41" s="68">
        <f t="shared" si="3"/>
        <v>2.138649506</v>
      </c>
      <c r="N41" s="69">
        <f t="shared" si="4"/>
        <v>2501.9988</v>
      </c>
      <c r="O41" s="69">
        <f t="shared" si="5"/>
        <v>1064.651969</v>
      </c>
      <c r="P41" s="69">
        <f t="shared" ref="P41:P42" si="75">O41*4.35</f>
        <v>4631.236064</v>
      </c>
      <c r="Q41" s="71">
        <f t="shared" si="7"/>
        <v>8.025596587</v>
      </c>
      <c r="R41" s="72">
        <v>300.0</v>
      </c>
      <c r="S41" s="73" t="s">
        <v>228</v>
      </c>
      <c r="T41" s="73" t="s">
        <v>275</v>
      </c>
      <c r="U41" s="73" t="s">
        <v>323</v>
      </c>
      <c r="V41" s="74" t="s">
        <v>508</v>
      </c>
      <c r="W41" s="74" t="s">
        <v>509</v>
      </c>
      <c r="X41" s="74" t="s">
        <v>510</v>
      </c>
      <c r="Y41" s="74" t="s">
        <v>511</v>
      </c>
      <c r="Z41" s="74" t="s">
        <v>512</v>
      </c>
      <c r="AA41" s="75">
        <v>0.02</v>
      </c>
      <c r="AB41" s="76" t="s">
        <v>225</v>
      </c>
      <c r="AC41" s="76" t="s">
        <v>225</v>
      </c>
      <c r="AD41" s="75">
        <v>0.02</v>
      </c>
      <c r="AE41" s="76" t="s">
        <v>225</v>
      </c>
      <c r="AF41" s="76" t="s">
        <v>225</v>
      </c>
      <c r="AG41" s="75">
        <v>0.02</v>
      </c>
      <c r="AH41" s="76" t="s">
        <v>225</v>
      </c>
      <c r="AI41" s="76" t="s">
        <v>225</v>
      </c>
      <c r="AJ41" s="75">
        <v>0.04</v>
      </c>
      <c r="AK41" s="76" t="s">
        <v>225</v>
      </c>
      <c r="AL41" s="76" t="s">
        <v>225</v>
      </c>
      <c r="AM41" s="93"/>
      <c r="AN41" s="78" t="s">
        <v>237</v>
      </c>
      <c r="AO41" s="79"/>
      <c r="AP41" s="79"/>
      <c r="AQ41" s="79"/>
      <c r="AR41" s="79"/>
      <c r="AS41" s="79"/>
      <c r="AT41" s="79"/>
      <c r="AU41" s="79"/>
      <c r="AV41" s="79"/>
      <c r="AW41" s="79"/>
      <c r="AX41" s="79"/>
      <c r="AY41" s="79"/>
      <c r="AZ41" s="79"/>
      <c r="BA41" s="80"/>
    </row>
    <row r="42" ht="82.5" customHeight="1">
      <c r="A42" s="95" t="s">
        <v>513</v>
      </c>
      <c r="B42" s="62" t="str">
        <f>image("https://i.imgur.com/uLU0yqg.png")</f>
        <v/>
      </c>
      <c r="C42" s="63" t="s">
        <v>444</v>
      </c>
      <c r="D42" s="47" t="str">
        <f t="shared" si="72"/>
        <v/>
      </c>
      <c r="E42" s="64" t="str">
        <f t="shared" si="73"/>
        <v/>
      </c>
      <c r="F42" s="64" t="str">
        <f t="shared" si="68"/>
        <v/>
      </c>
      <c r="G42" s="65">
        <v>6024.0</v>
      </c>
      <c r="H42" s="66">
        <v>2497.0</v>
      </c>
      <c r="I42" s="67">
        <v>2497.0</v>
      </c>
      <c r="J42" s="68">
        <f t="shared" ref="J42:L42" si="74">G42/max(G:G)</f>
        <v>0.7401400663</v>
      </c>
      <c r="K42" s="68">
        <f t="shared" si="74"/>
        <v>0.7130211308</v>
      </c>
      <c r="L42" s="68">
        <f t="shared" si="74"/>
        <v>0.6848601207</v>
      </c>
      <c r="M42" s="68">
        <f t="shared" si="3"/>
        <v>2.138021318</v>
      </c>
      <c r="N42" s="69">
        <f t="shared" si="4"/>
        <v>2499.9964</v>
      </c>
      <c r="O42" s="69">
        <f t="shared" si="5"/>
        <v>1067.799901</v>
      </c>
      <c r="P42" s="69">
        <f t="shared" si="75"/>
        <v>4644.929568</v>
      </c>
      <c r="Q42" s="71">
        <f t="shared" si="7"/>
        <v>8.028788485</v>
      </c>
      <c r="R42" s="72">
        <v>300.0</v>
      </c>
      <c r="S42" s="73" t="s">
        <v>292</v>
      </c>
      <c r="T42" s="73" t="s">
        <v>309</v>
      </c>
      <c r="U42" s="73" t="s">
        <v>230</v>
      </c>
      <c r="V42" s="74" t="s">
        <v>514</v>
      </c>
      <c r="W42" s="74" t="s">
        <v>515</v>
      </c>
      <c r="X42" s="74" t="s">
        <v>516</v>
      </c>
      <c r="Y42" s="74" t="s">
        <v>370</v>
      </c>
      <c r="Z42" s="74" t="s">
        <v>371</v>
      </c>
      <c r="AA42" s="75">
        <v>0.02</v>
      </c>
      <c r="AB42" s="75">
        <v>0.08</v>
      </c>
      <c r="AC42" s="76" t="s">
        <v>225</v>
      </c>
      <c r="AD42" s="75">
        <v>0.02</v>
      </c>
      <c r="AE42" s="76" t="s">
        <v>225</v>
      </c>
      <c r="AF42" s="76" t="s">
        <v>225</v>
      </c>
      <c r="AG42" s="75">
        <v>0.02</v>
      </c>
      <c r="AH42" s="76" t="s">
        <v>225</v>
      </c>
      <c r="AI42" s="76" t="s">
        <v>225</v>
      </c>
      <c r="AJ42" s="75">
        <v>0.02</v>
      </c>
      <c r="AK42" s="76" t="s">
        <v>225</v>
      </c>
      <c r="AL42" s="76" t="s">
        <v>225</v>
      </c>
      <c r="AM42" s="93"/>
      <c r="AN42" s="78" t="s">
        <v>237</v>
      </c>
      <c r="AO42" s="79"/>
      <c r="AP42" s="79"/>
      <c r="AQ42" s="79"/>
      <c r="AR42" s="79"/>
      <c r="AS42" s="79"/>
      <c r="AT42" s="79"/>
      <c r="AU42" s="79"/>
      <c r="AV42" s="79"/>
      <c r="AW42" s="79"/>
      <c r="AX42" s="79"/>
      <c r="AY42" s="79"/>
      <c r="AZ42" s="79"/>
      <c r="BA42" s="80"/>
    </row>
    <row r="43" ht="82.5" customHeight="1">
      <c r="A43" s="61" t="s">
        <v>517</v>
      </c>
      <c r="B43" s="62" t="str">
        <f>image("https://i.imgur.com/ekVXA7y.png")</f>
        <v/>
      </c>
      <c r="C43" s="63" t="s">
        <v>444</v>
      </c>
      <c r="D43" s="46" t="str">
        <f>image("https://i.imgur.com/QndVudD.png")</f>
        <v/>
      </c>
      <c r="E43" s="64" t="str">
        <f>image("https://i.imgur.com/tOS4FvO.png")</f>
        <v/>
      </c>
      <c r="F43" s="64" t="str">
        <f t="shared" si="68"/>
        <v/>
      </c>
      <c r="G43" s="65">
        <v>6024.0</v>
      </c>
      <c r="H43" s="66">
        <v>2497.0</v>
      </c>
      <c r="I43" s="67">
        <v>2495.0</v>
      </c>
      <c r="J43" s="68">
        <f t="shared" ref="J43:L43" si="76">G43/max(G:G)</f>
        <v>0.7401400663</v>
      </c>
      <c r="K43" s="68">
        <f t="shared" si="76"/>
        <v>0.7130211308</v>
      </c>
      <c r="L43" s="68">
        <f t="shared" si="76"/>
        <v>0.6843115743</v>
      </c>
      <c r="M43" s="68">
        <f t="shared" si="3"/>
        <v>2.137472771</v>
      </c>
      <c r="N43" s="69">
        <f t="shared" si="4"/>
        <v>2502.9928</v>
      </c>
      <c r="O43" s="69">
        <f t="shared" si="5"/>
        <v>1128.955626</v>
      </c>
      <c r="P43" s="69">
        <f>O43*2.6</f>
        <v>2935.284627</v>
      </c>
      <c r="Q43" s="71">
        <f t="shared" si="7"/>
        <v>8.026648901</v>
      </c>
      <c r="R43" s="72">
        <v>300.0</v>
      </c>
      <c r="S43" s="73" t="s">
        <v>301</v>
      </c>
      <c r="T43" s="73" t="s">
        <v>380</v>
      </c>
      <c r="U43" s="73" t="s">
        <v>240</v>
      </c>
      <c r="V43" s="74" t="s">
        <v>518</v>
      </c>
      <c r="W43" s="74" t="s">
        <v>519</v>
      </c>
      <c r="X43" s="74" t="s">
        <v>520</v>
      </c>
      <c r="Y43" s="74" t="s">
        <v>521</v>
      </c>
      <c r="Z43" s="74" t="s">
        <v>522</v>
      </c>
      <c r="AA43" s="75">
        <v>0.04</v>
      </c>
      <c r="AB43" s="76" t="s">
        <v>225</v>
      </c>
      <c r="AC43" s="76" t="s">
        <v>225</v>
      </c>
      <c r="AD43" s="75">
        <v>0.04</v>
      </c>
      <c r="AE43" s="76" t="s">
        <v>225</v>
      </c>
      <c r="AF43" s="76" t="s">
        <v>225</v>
      </c>
      <c r="AG43" s="75">
        <v>0.02</v>
      </c>
      <c r="AH43" s="76" t="s">
        <v>225</v>
      </c>
      <c r="AI43" s="76" t="s">
        <v>225</v>
      </c>
      <c r="AJ43" s="75">
        <v>0.02</v>
      </c>
      <c r="AK43" s="76" t="s">
        <v>225</v>
      </c>
      <c r="AL43" s="76" t="s">
        <v>225</v>
      </c>
      <c r="AM43" s="93"/>
      <c r="AN43" s="78" t="s">
        <v>237</v>
      </c>
      <c r="AO43" s="79"/>
      <c r="AP43" s="79"/>
      <c r="AQ43" s="79"/>
      <c r="AR43" s="79"/>
      <c r="AS43" s="79"/>
      <c r="AT43" s="79"/>
      <c r="AU43" s="79"/>
      <c r="AV43" s="79"/>
      <c r="AW43" s="79"/>
      <c r="AX43" s="79"/>
      <c r="AY43" s="79"/>
      <c r="AZ43" s="79"/>
      <c r="BA43" s="80"/>
    </row>
    <row r="44" ht="82.5" customHeight="1">
      <c r="A44" s="61" t="s">
        <v>523</v>
      </c>
      <c r="B44" s="62" t="str">
        <f>image("https://i.imgur.com/qxRJV3v.png")</f>
        <v/>
      </c>
      <c r="C44" s="63" t="s">
        <v>444</v>
      </c>
      <c r="D44" s="46" t="str">
        <f>image("https://i.imgur.com/z8bnSYg.png")</f>
        <v/>
      </c>
      <c r="E44" s="64" t="str">
        <f t="shared" ref="E44:E45" si="78">image("https://i.imgur.com/P8lUDX0.png")</f>
        <v/>
      </c>
      <c r="F44" s="64" t="str">
        <f t="shared" si="68"/>
        <v/>
      </c>
      <c r="G44" s="65">
        <v>6021.0</v>
      </c>
      <c r="H44" s="66">
        <v>2497.0</v>
      </c>
      <c r="I44" s="67">
        <v>2495.0</v>
      </c>
      <c r="J44" s="68">
        <f t="shared" ref="J44:L44" si="77">G44/max(G:G)</f>
        <v>0.7397714707</v>
      </c>
      <c r="K44" s="68">
        <f t="shared" si="77"/>
        <v>0.7130211308</v>
      </c>
      <c r="L44" s="68">
        <f t="shared" si="77"/>
        <v>0.6843115743</v>
      </c>
      <c r="M44" s="68">
        <f t="shared" si="3"/>
        <v>2.137104176</v>
      </c>
      <c r="N44" s="69">
        <f t="shared" si="4"/>
        <v>2499.9964</v>
      </c>
      <c r="O44" s="69">
        <f t="shared" si="5"/>
        <v>1063.799906</v>
      </c>
      <c r="P44" s="69">
        <f>O44*4.35</f>
        <v>4627.529593</v>
      </c>
      <c r="Q44" s="71">
        <f t="shared" si="7"/>
        <v>8.022651566</v>
      </c>
      <c r="R44" s="72">
        <v>300.0</v>
      </c>
      <c r="S44" s="73" t="s">
        <v>228</v>
      </c>
      <c r="T44" s="73" t="s">
        <v>309</v>
      </c>
      <c r="U44" s="73" t="s">
        <v>267</v>
      </c>
      <c r="V44" s="74" t="s">
        <v>524</v>
      </c>
      <c r="W44" s="74" t="s">
        <v>525</v>
      </c>
      <c r="X44" s="74" t="s">
        <v>526</v>
      </c>
      <c r="Y44" s="74" t="s">
        <v>370</v>
      </c>
      <c r="Z44" s="74" t="s">
        <v>371</v>
      </c>
      <c r="AA44" s="75">
        <v>0.02</v>
      </c>
      <c r="AB44" s="76" t="s">
        <v>225</v>
      </c>
      <c r="AC44" s="76" t="s">
        <v>225</v>
      </c>
      <c r="AD44" s="75">
        <v>0.02</v>
      </c>
      <c r="AE44" s="76" t="s">
        <v>225</v>
      </c>
      <c r="AF44" s="76" t="s">
        <v>225</v>
      </c>
      <c r="AG44" s="75">
        <v>0.02</v>
      </c>
      <c r="AH44" s="76" t="s">
        <v>225</v>
      </c>
      <c r="AI44" s="76" t="s">
        <v>225</v>
      </c>
      <c r="AJ44" s="75">
        <v>0.02</v>
      </c>
      <c r="AK44" s="75">
        <v>0.08</v>
      </c>
      <c r="AL44" s="76" t="s">
        <v>225</v>
      </c>
      <c r="AM44" s="93"/>
      <c r="AN44" s="78" t="s">
        <v>237</v>
      </c>
      <c r="AO44" s="79"/>
      <c r="AP44" s="79"/>
      <c r="AQ44" s="79"/>
      <c r="AR44" s="79"/>
      <c r="AS44" s="79"/>
      <c r="AT44" s="79"/>
      <c r="AU44" s="79"/>
      <c r="AV44" s="79"/>
      <c r="AW44" s="79"/>
      <c r="AX44" s="79"/>
      <c r="AY44" s="79"/>
      <c r="AZ44" s="79"/>
      <c r="BA44" s="80"/>
    </row>
    <row r="45" ht="82.5" customHeight="1">
      <c r="A45" s="61" t="s">
        <v>527</v>
      </c>
      <c r="B45" s="62" t="str">
        <f>image("https://i.imgur.com/UqpyGhC.png")</f>
        <v/>
      </c>
      <c r="C45" s="63" t="s">
        <v>444</v>
      </c>
      <c r="D45" s="46" t="str">
        <f>image("https://i.imgur.com/AHPti72.png")</f>
        <v/>
      </c>
      <c r="E45" s="64" t="str">
        <f t="shared" si="78"/>
        <v/>
      </c>
      <c r="F45" s="64" t="str">
        <f t="shared" si="68"/>
        <v/>
      </c>
      <c r="G45" s="65">
        <v>6021.0</v>
      </c>
      <c r="H45" s="66">
        <v>2497.0</v>
      </c>
      <c r="I45" s="67">
        <v>2495.0</v>
      </c>
      <c r="J45" s="68">
        <f t="shared" ref="J45:L45" si="79">G45/max(G:G)</f>
        <v>0.7397714707</v>
      </c>
      <c r="K45" s="68">
        <f t="shared" si="79"/>
        <v>0.7130211308</v>
      </c>
      <c r="L45" s="68">
        <f t="shared" si="79"/>
        <v>0.6843115743</v>
      </c>
      <c r="M45" s="68">
        <f t="shared" si="3"/>
        <v>2.137104176</v>
      </c>
      <c r="N45" s="69">
        <f t="shared" si="4"/>
        <v>2499.9964</v>
      </c>
      <c r="O45" s="69">
        <f t="shared" si="5"/>
        <v>1063.799906</v>
      </c>
      <c r="P45" s="69">
        <f>O45*2.6</f>
        <v>2765.879757</v>
      </c>
      <c r="Q45" s="71">
        <f t="shared" si="7"/>
        <v>8.720273441</v>
      </c>
      <c r="R45" s="72">
        <v>300.0</v>
      </c>
      <c r="S45" s="73" t="s">
        <v>266</v>
      </c>
      <c r="T45" s="73" t="s">
        <v>380</v>
      </c>
      <c r="U45" s="73" t="s">
        <v>528</v>
      </c>
      <c r="V45" s="74" t="s">
        <v>529</v>
      </c>
      <c r="W45" s="74" t="s">
        <v>530</v>
      </c>
      <c r="X45" s="74" t="s">
        <v>531</v>
      </c>
      <c r="Y45" s="74" t="s">
        <v>532</v>
      </c>
      <c r="Z45" s="74" t="s">
        <v>533</v>
      </c>
      <c r="AA45" s="75">
        <v>0.02</v>
      </c>
      <c r="AB45" s="76" t="s">
        <v>225</v>
      </c>
      <c r="AC45" s="76" t="s">
        <v>225</v>
      </c>
      <c r="AD45" s="75">
        <v>0.02</v>
      </c>
      <c r="AE45" s="76" t="s">
        <v>225</v>
      </c>
      <c r="AF45" s="76" t="s">
        <v>225</v>
      </c>
      <c r="AG45" s="75">
        <v>0.04</v>
      </c>
      <c r="AH45" s="75">
        <v>0.04</v>
      </c>
      <c r="AI45" s="76" t="s">
        <v>225</v>
      </c>
      <c r="AJ45" s="75">
        <v>0.02</v>
      </c>
      <c r="AK45" s="76" t="s">
        <v>225</v>
      </c>
      <c r="AL45" s="76" t="s">
        <v>225</v>
      </c>
      <c r="AM45" s="93"/>
      <c r="AN45" s="78" t="s">
        <v>237</v>
      </c>
      <c r="AO45" s="79"/>
      <c r="AP45" s="79"/>
      <c r="AQ45" s="79"/>
      <c r="AR45" s="79"/>
      <c r="AS45" s="79"/>
      <c r="AT45" s="79"/>
      <c r="AU45" s="79"/>
      <c r="AV45" s="79"/>
      <c r="AW45" s="79"/>
      <c r="AX45" s="79"/>
      <c r="AY45" s="79"/>
      <c r="AZ45" s="79"/>
      <c r="BA45" s="80"/>
    </row>
    <row r="46" ht="82.5" customHeight="1">
      <c r="A46" s="96" t="s">
        <v>534</v>
      </c>
      <c r="B46" s="62" t="str">
        <f>image("https://i.imgur.com/mohh3bu.png")</f>
        <v/>
      </c>
      <c r="C46" s="63" t="s">
        <v>444</v>
      </c>
      <c r="D46" s="46" t="str">
        <f>image("https://i.imgur.com/pzX6NRL.png")</f>
        <v/>
      </c>
      <c r="E46" s="64" t="str">
        <f t="shared" ref="E46:E48" si="81">image("https://i.imgur.com/tOS4FvO.png")</f>
        <v/>
      </c>
      <c r="F46" s="64" t="str">
        <f t="shared" si="68"/>
        <v/>
      </c>
      <c r="G46" s="65">
        <v>6025.0</v>
      </c>
      <c r="H46" s="66">
        <v>2507.0</v>
      </c>
      <c r="I46" s="67">
        <v>2474.0</v>
      </c>
      <c r="J46" s="68">
        <f t="shared" ref="J46:L46" si="80">G46/max(G:G)</f>
        <v>0.7402629316</v>
      </c>
      <c r="K46" s="68">
        <f t="shared" si="80"/>
        <v>0.7158766419</v>
      </c>
      <c r="L46" s="68">
        <f t="shared" si="80"/>
        <v>0.6785518376</v>
      </c>
      <c r="M46" s="68">
        <f t="shared" si="3"/>
        <v>2.134691411</v>
      </c>
      <c r="N46" s="69">
        <f t="shared" si="4"/>
        <v>2510.0084</v>
      </c>
      <c r="O46" s="69">
        <f t="shared" si="5"/>
        <v>1068.060218</v>
      </c>
      <c r="P46" s="69">
        <f>O46*4.35</f>
        <v>4646.06195</v>
      </c>
      <c r="Q46" s="71">
        <f t="shared" si="7"/>
        <v>8.005580654</v>
      </c>
      <c r="R46" s="72">
        <v>300.0</v>
      </c>
      <c r="S46" s="73" t="s">
        <v>248</v>
      </c>
      <c r="T46" s="73" t="s">
        <v>399</v>
      </c>
      <c r="U46" s="73" t="s">
        <v>230</v>
      </c>
      <c r="V46" s="74" t="s">
        <v>535</v>
      </c>
      <c r="W46" s="74" t="s">
        <v>536</v>
      </c>
      <c r="X46" s="74" t="s">
        <v>537</v>
      </c>
      <c r="Y46" s="74" t="s">
        <v>538</v>
      </c>
      <c r="Z46" s="74" t="s">
        <v>539</v>
      </c>
      <c r="AA46" s="75">
        <v>0.02</v>
      </c>
      <c r="AB46" s="76" t="s">
        <v>225</v>
      </c>
      <c r="AC46" s="76" t="s">
        <v>225</v>
      </c>
      <c r="AD46" s="75">
        <v>0.02</v>
      </c>
      <c r="AE46" s="76" t="s">
        <v>225</v>
      </c>
      <c r="AF46" s="76" t="s">
        <v>225</v>
      </c>
      <c r="AG46" s="75">
        <v>0.02</v>
      </c>
      <c r="AH46" s="76" t="s">
        <v>225</v>
      </c>
      <c r="AI46" s="76" t="s">
        <v>225</v>
      </c>
      <c r="AJ46" s="75">
        <v>0.04</v>
      </c>
      <c r="AK46" s="76" t="s">
        <v>225</v>
      </c>
      <c r="AL46" s="76" t="s">
        <v>225</v>
      </c>
      <c r="AM46" s="77" t="s">
        <v>540</v>
      </c>
      <c r="AN46" s="78" t="s">
        <v>237</v>
      </c>
      <c r="AO46" s="79"/>
      <c r="AP46" s="79"/>
      <c r="AQ46" s="79"/>
      <c r="AR46" s="79"/>
      <c r="AS46" s="79"/>
      <c r="AT46" s="79"/>
      <c r="AU46" s="79"/>
      <c r="AV46" s="79"/>
      <c r="AW46" s="79"/>
      <c r="AX46" s="79"/>
      <c r="AY46" s="79"/>
      <c r="AZ46" s="79"/>
      <c r="BA46" s="80"/>
    </row>
    <row r="47" ht="82.5" customHeight="1">
      <c r="A47" s="61" t="s">
        <v>541</v>
      </c>
      <c r="B47" s="62" t="str">
        <f>image("https://i.imgur.com/NW2Ty49.png")</f>
        <v/>
      </c>
      <c r="C47" s="63" t="s">
        <v>444</v>
      </c>
      <c r="D47" s="46" t="str">
        <f>image("https://i.imgur.com/hX15sR0.png")</f>
        <v/>
      </c>
      <c r="E47" s="64" t="str">
        <f t="shared" si="81"/>
        <v/>
      </c>
      <c r="F47" s="64" t="str">
        <f t="shared" si="68"/>
        <v/>
      </c>
      <c r="G47" s="65">
        <v>7355.0</v>
      </c>
      <c r="H47" s="66">
        <v>2169.0</v>
      </c>
      <c r="I47" s="67">
        <v>2179.0</v>
      </c>
      <c r="J47" s="68">
        <f t="shared" ref="J47:L47" si="82">G47/max(G:G)</f>
        <v>0.90367367</v>
      </c>
      <c r="K47" s="68">
        <f t="shared" si="82"/>
        <v>0.6193603655</v>
      </c>
      <c r="L47" s="68">
        <f t="shared" si="82"/>
        <v>0.5976412507</v>
      </c>
      <c r="M47" s="68">
        <f t="shared" si="3"/>
        <v>2.120675286</v>
      </c>
      <c r="N47" s="69">
        <f t="shared" si="4"/>
        <v>2169</v>
      </c>
      <c r="O47" s="69">
        <f t="shared" si="5"/>
        <v>867.6</v>
      </c>
      <c r="P47" s="69">
        <f t="shared" ref="P47:P50" si="84">O47*2.6</f>
        <v>2255.76</v>
      </c>
      <c r="Q47" s="71">
        <f t="shared" si="7"/>
        <v>9.404168265</v>
      </c>
      <c r="R47" s="72">
        <v>300.0</v>
      </c>
      <c r="S47" s="73" t="s">
        <v>436</v>
      </c>
      <c r="T47" s="73" t="s">
        <v>284</v>
      </c>
      <c r="U47" s="73" t="s">
        <v>374</v>
      </c>
      <c r="V47" s="74" t="s">
        <v>542</v>
      </c>
      <c r="W47" s="74" t="s">
        <v>543</v>
      </c>
      <c r="X47" s="74" t="s">
        <v>544</v>
      </c>
      <c r="Y47" s="74" t="s">
        <v>463</v>
      </c>
      <c r="Z47" s="74" t="s">
        <v>464</v>
      </c>
      <c r="AA47" s="75"/>
      <c r="AB47" s="76"/>
      <c r="AC47" s="76"/>
      <c r="AD47" s="75"/>
      <c r="AE47" s="76"/>
      <c r="AF47" s="76"/>
      <c r="AG47" s="75"/>
      <c r="AH47" s="76"/>
      <c r="AI47" s="76"/>
      <c r="AJ47" s="75"/>
      <c r="AK47" s="76"/>
      <c r="AL47" s="76"/>
      <c r="AM47" s="93"/>
      <c r="AN47" s="78"/>
      <c r="AO47" s="79"/>
      <c r="AP47" s="79"/>
      <c r="AQ47" s="79"/>
      <c r="AR47" s="79"/>
      <c r="AS47" s="79"/>
      <c r="AT47" s="79"/>
      <c r="AU47" s="79"/>
      <c r="AV47" s="79"/>
      <c r="AW47" s="79"/>
      <c r="AX47" s="79"/>
      <c r="AY47" s="79"/>
      <c r="AZ47" s="79"/>
      <c r="BA47" s="80"/>
    </row>
    <row r="48" ht="82.5" customHeight="1">
      <c r="A48" s="61" t="s">
        <v>545</v>
      </c>
      <c r="B48" s="62" t="str">
        <f>image("https://i.imgur.com/smLdbNz.png")</f>
        <v/>
      </c>
      <c r="C48" s="63" t="s">
        <v>444</v>
      </c>
      <c r="D48" s="46" t="str">
        <f>image("https://i.imgur.com/QndVudD.png")</f>
        <v/>
      </c>
      <c r="E48" s="64" t="str">
        <f t="shared" si="81"/>
        <v/>
      </c>
      <c r="F48" s="64" t="str">
        <f t="shared" si="68"/>
        <v/>
      </c>
      <c r="G48" s="65">
        <v>7355.0</v>
      </c>
      <c r="H48" s="66">
        <v>2184.0</v>
      </c>
      <c r="I48" s="67">
        <v>2153.0</v>
      </c>
      <c r="J48" s="68">
        <f t="shared" ref="J48:L48" si="83">G48/max(G:G)</f>
        <v>0.90367367</v>
      </c>
      <c r="K48" s="68">
        <f t="shared" si="83"/>
        <v>0.6236436322</v>
      </c>
      <c r="L48" s="68">
        <f t="shared" si="83"/>
        <v>0.5905101481</v>
      </c>
      <c r="M48" s="68">
        <f t="shared" si="3"/>
        <v>2.11782745</v>
      </c>
      <c r="N48" s="69">
        <f t="shared" si="4"/>
        <v>2194.4832</v>
      </c>
      <c r="O48" s="69">
        <f t="shared" si="5"/>
        <v>930.6565632</v>
      </c>
      <c r="P48" s="69">
        <f t="shared" si="84"/>
        <v>2419.707064</v>
      </c>
      <c r="Q48" s="71">
        <f t="shared" si="7"/>
        <v>9.373008793</v>
      </c>
      <c r="R48" s="72">
        <v>300.0</v>
      </c>
      <c r="S48" s="73" t="s">
        <v>436</v>
      </c>
      <c r="T48" s="73" t="s">
        <v>385</v>
      </c>
      <c r="U48" s="73" t="s">
        <v>219</v>
      </c>
      <c r="V48" s="74" t="s">
        <v>546</v>
      </c>
      <c r="W48" s="74" t="s">
        <v>547</v>
      </c>
      <c r="X48" s="74" t="s">
        <v>548</v>
      </c>
      <c r="Y48" s="74" t="s">
        <v>549</v>
      </c>
      <c r="Z48" s="74" t="s">
        <v>550</v>
      </c>
      <c r="AA48" s="75">
        <v>0.02</v>
      </c>
      <c r="AB48" s="76" t="s">
        <v>225</v>
      </c>
      <c r="AC48" s="76" t="s">
        <v>225</v>
      </c>
      <c r="AD48" s="75">
        <v>0.08</v>
      </c>
      <c r="AE48" s="76" t="s">
        <v>225</v>
      </c>
      <c r="AF48" s="76" t="s">
        <v>225</v>
      </c>
      <c r="AG48" s="75">
        <v>0.02</v>
      </c>
      <c r="AH48" s="76" t="s">
        <v>225</v>
      </c>
      <c r="AI48" s="76" t="s">
        <v>225</v>
      </c>
      <c r="AJ48" s="75">
        <v>0.02</v>
      </c>
      <c r="AK48" s="76" t="s">
        <v>225</v>
      </c>
      <c r="AL48" s="76" t="s">
        <v>225</v>
      </c>
      <c r="AM48" s="93"/>
      <c r="AN48" s="78"/>
      <c r="AO48" s="79"/>
      <c r="AP48" s="79"/>
      <c r="AQ48" s="79"/>
      <c r="AR48" s="79"/>
      <c r="AS48" s="79"/>
      <c r="AT48" s="79"/>
      <c r="AU48" s="79"/>
      <c r="AV48" s="79"/>
      <c r="AW48" s="79"/>
      <c r="AX48" s="79"/>
      <c r="AY48" s="79"/>
      <c r="AZ48" s="79"/>
      <c r="BA48" s="80"/>
    </row>
    <row r="49" ht="82.5" customHeight="1">
      <c r="A49" s="61" t="s">
        <v>551</v>
      </c>
      <c r="B49" s="62" t="str">
        <f>image("https://i.imgur.com/KfsLa0C.png")</f>
        <v/>
      </c>
      <c r="C49" s="63" t="s">
        <v>444</v>
      </c>
      <c r="D49" s="46" t="str">
        <f>image("https://i.imgur.com/pQYVkI3.png")</f>
        <v/>
      </c>
      <c r="E49" s="64" t="str">
        <f t="shared" ref="E49:E50" si="86">image("https://i.imgur.com/P8lUDX0.png")</f>
        <v/>
      </c>
      <c r="F49" s="64" t="str">
        <f t="shared" si="68"/>
        <v/>
      </c>
      <c r="G49" s="65">
        <v>7349.0</v>
      </c>
      <c r="H49" s="66">
        <v>2177.0</v>
      </c>
      <c r="I49" s="67">
        <v>2161.0</v>
      </c>
      <c r="J49" s="68">
        <f t="shared" ref="J49:L49" si="85">G49/max(G:G)</f>
        <v>0.9029364787</v>
      </c>
      <c r="K49" s="68">
        <f t="shared" si="85"/>
        <v>0.6216447744</v>
      </c>
      <c r="L49" s="68">
        <f t="shared" si="85"/>
        <v>0.5927043335</v>
      </c>
      <c r="M49" s="68">
        <f t="shared" si="3"/>
        <v>2.117285587</v>
      </c>
      <c r="N49" s="69">
        <f t="shared" si="4"/>
        <v>2179.6124</v>
      </c>
      <c r="O49" s="69">
        <f t="shared" si="5"/>
        <v>927.4699224</v>
      </c>
      <c r="P49" s="69">
        <f t="shared" si="84"/>
        <v>2411.421798</v>
      </c>
      <c r="Q49" s="71">
        <f t="shared" si="7"/>
        <v>9.37492027</v>
      </c>
      <c r="R49" s="72">
        <v>300.0</v>
      </c>
      <c r="S49" s="73" t="s">
        <v>301</v>
      </c>
      <c r="T49" s="73" t="s">
        <v>249</v>
      </c>
      <c r="U49" s="73" t="s">
        <v>528</v>
      </c>
      <c r="V49" s="74" t="s">
        <v>552</v>
      </c>
      <c r="W49" s="74" t="s">
        <v>553</v>
      </c>
      <c r="X49" s="74" t="s">
        <v>554</v>
      </c>
      <c r="Y49" s="74" t="s">
        <v>555</v>
      </c>
      <c r="Z49" s="74" t="s">
        <v>556</v>
      </c>
      <c r="AA49" s="75">
        <v>0.02</v>
      </c>
      <c r="AB49" s="76" t="s">
        <v>225</v>
      </c>
      <c r="AC49" s="76" t="s">
        <v>225</v>
      </c>
      <c r="AD49" s="75">
        <v>0.02</v>
      </c>
      <c r="AE49" s="76" t="s">
        <v>225</v>
      </c>
      <c r="AF49" s="76" t="s">
        <v>225</v>
      </c>
      <c r="AG49" s="75">
        <v>0.02</v>
      </c>
      <c r="AH49" s="76" t="s">
        <v>225</v>
      </c>
      <c r="AI49" s="76" t="s">
        <v>225</v>
      </c>
      <c r="AJ49" s="75">
        <v>0.02</v>
      </c>
      <c r="AK49" s="75">
        <v>0.08</v>
      </c>
      <c r="AL49" s="76" t="s">
        <v>225</v>
      </c>
      <c r="AM49" s="77" t="s">
        <v>557</v>
      </c>
      <c r="AN49" s="78" t="s">
        <v>237</v>
      </c>
      <c r="AO49" s="79"/>
      <c r="AP49" s="79"/>
      <c r="AQ49" s="79"/>
      <c r="AR49" s="79"/>
      <c r="AS49" s="79"/>
      <c r="AT49" s="79"/>
      <c r="AU49" s="79"/>
      <c r="AV49" s="79"/>
      <c r="AW49" s="79"/>
      <c r="AX49" s="79"/>
      <c r="AY49" s="79"/>
      <c r="AZ49" s="79"/>
      <c r="BA49" s="80"/>
    </row>
    <row r="50" ht="82.5" customHeight="1">
      <c r="A50" s="61" t="s">
        <v>558</v>
      </c>
      <c r="B50" s="62" t="str">
        <f>image("https://i.imgur.com/TParYD2.png")</f>
        <v/>
      </c>
      <c r="C50" s="63" t="s">
        <v>444</v>
      </c>
      <c r="D50" s="46" t="str">
        <f>image("https://i.imgur.com/hX15sR0.png")</f>
        <v/>
      </c>
      <c r="E50" s="64" t="str">
        <f t="shared" si="86"/>
        <v/>
      </c>
      <c r="F50" s="64" t="str">
        <f t="shared" ref="F50:F54" si="88">image("https://i.imgur.com/yduAVsz.png")</f>
        <v/>
      </c>
      <c r="G50" s="65">
        <v>5787.0</v>
      </c>
      <c r="H50" s="66">
        <v>2711.0</v>
      </c>
      <c r="I50" s="67">
        <v>2161.0</v>
      </c>
      <c r="J50" s="68">
        <f t="shared" ref="J50:L50" si="87">G50/max(G:G)</f>
        <v>0.71102101</v>
      </c>
      <c r="K50" s="68">
        <f t="shared" si="87"/>
        <v>0.7741290691</v>
      </c>
      <c r="L50" s="68">
        <f t="shared" si="87"/>
        <v>0.5927043335</v>
      </c>
      <c r="M50" s="68">
        <f t="shared" si="3"/>
        <v>2.077854413</v>
      </c>
      <c r="N50" s="69">
        <f t="shared" si="4"/>
        <v>2714.2532</v>
      </c>
      <c r="O50" s="69">
        <f t="shared" si="5"/>
        <v>1159.313388</v>
      </c>
      <c r="P50" s="69">
        <f t="shared" si="84"/>
        <v>3014.21481</v>
      </c>
      <c r="Q50" s="71">
        <f t="shared" si="7"/>
        <v>7.382319173</v>
      </c>
      <c r="R50" s="72">
        <v>300.0</v>
      </c>
      <c r="S50" s="73" t="s">
        <v>301</v>
      </c>
      <c r="T50" s="73" t="s">
        <v>309</v>
      </c>
      <c r="U50" s="73" t="s">
        <v>267</v>
      </c>
      <c r="V50" s="74" t="s">
        <v>559</v>
      </c>
      <c r="W50" s="74" t="s">
        <v>560</v>
      </c>
      <c r="X50" s="74" t="s">
        <v>561</v>
      </c>
      <c r="Y50" s="74" t="s">
        <v>562</v>
      </c>
      <c r="Z50" s="74" t="s">
        <v>563</v>
      </c>
      <c r="AA50" s="75">
        <v>0.02</v>
      </c>
      <c r="AB50" s="75">
        <v>0.08</v>
      </c>
      <c r="AC50" s="76" t="s">
        <v>225</v>
      </c>
      <c r="AD50" s="75">
        <v>0.02</v>
      </c>
      <c r="AE50" s="76" t="s">
        <v>225</v>
      </c>
      <c r="AF50" s="76" t="s">
        <v>225</v>
      </c>
      <c r="AG50" s="75">
        <v>0.02</v>
      </c>
      <c r="AH50" s="76" t="s">
        <v>225</v>
      </c>
      <c r="AI50" s="76" t="s">
        <v>225</v>
      </c>
      <c r="AJ50" s="75">
        <v>0.02</v>
      </c>
      <c r="AK50" s="76" t="s">
        <v>225</v>
      </c>
      <c r="AL50" s="76" t="s">
        <v>225</v>
      </c>
      <c r="AM50" s="77" t="s">
        <v>564</v>
      </c>
      <c r="AN50" s="78" t="s">
        <v>237</v>
      </c>
      <c r="AO50" s="79"/>
      <c r="AP50" s="79"/>
      <c r="AQ50" s="79"/>
      <c r="AR50" s="79"/>
      <c r="AS50" s="79"/>
      <c r="AT50" s="79"/>
      <c r="AU50" s="79"/>
      <c r="AV50" s="79"/>
      <c r="AW50" s="79"/>
      <c r="AX50" s="79"/>
      <c r="AY50" s="79"/>
      <c r="AZ50" s="79"/>
      <c r="BA50" s="80"/>
    </row>
    <row r="51" ht="82.5" customHeight="1">
      <c r="A51" s="61" t="s">
        <v>565</v>
      </c>
      <c r="B51" s="62" t="str">
        <f>image("https://i.imgur.com/fATSopL.png")</f>
        <v/>
      </c>
      <c r="C51" s="63" t="s">
        <v>444</v>
      </c>
      <c r="D51" s="46" t="str">
        <f>image("https://i.imgur.com/pQYVkI3.png")</f>
        <v/>
      </c>
      <c r="E51" s="64" t="str">
        <f>image("https://i.imgur.com/tOS4FvO.png")</f>
        <v/>
      </c>
      <c r="F51" s="64" t="str">
        <f t="shared" si="88"/>
        <v/>
      </c>
      <c r="G51" s="65">
        <v>5783.0</v>
      </c>
      <c r="H51" s="66">
        <v>2713.0</v>
      </c>
      <c r="I51" s="67">
        <v>2158.0</v>
      </c>
      <c r="J51" s="68">
        <f t="shared" ref="J51:L51" si="89">G51/max(G:G)</f>
        <v>0.7105295491</v>
      </c>
      <c r="K51" s="68">
        <f t="shared" si="89"/>
        <v>0.7747001713</v>
      </c>
      <c r="L51" s="68">
        <f t="shared" si="89"/>
        <v>0.591881514</v>
      </c>
      <c r="M51" s="68">
        <f t="shared" si="3"/>
        <v>2.077111234</v>
      </c>
      <c r="N51" s="69">
        <f t="shared" si="4"/>
        <v>2719.5112</v>
      </c>
      <c r="O51" s="69">
        <f t="shared" si="5"/>
        <v>1226.614582</v>
      </c>
      <c r="P51" s="69">
        <f t="shared" ref="P51:P52" si="91">O51*4.35</f>
        <v>5335.773433</v>
      </c>
      <c r="Q51" s="71">
        <f t="shared" si="7"/>
        <v>7.374394287</v>
      </c>
      <c r="R51" s="72">
        <v>300.0</v>
      </c>
      <c r="S51" s="73" t="s">
        <v>321</v>
      </c>
      <c r="T51" s="73" t="s">
        <v>309</v>
      </c>
      <c r="U51" s="73" t="s">
        <v>323</v>
      </c>
      <c r="V51" s="74" t="s">
        <v>566</v>
      </c>
      <c r="W51" s="74" t="s">
        <v>567</v>
      </c>
      <c r="X51" s="74" t="s">
        <v>568</v>
      </c>
      <c r="Y51" s="74" t="s">
        <v>484</v>
      </c>
      <c r="Z51" s="74" t="s">
        <v>485</v>
      </c>
      <c r="AA51" s="75">
        <v>0.04</v>
      </c>
      <c r="AB51" s="76" t="s">
        <v>225</v>
      </c>
      <c r="AC51" s="76" t="s">
        <v>225</v>
      </c>
      <c r="AD51" s="75">
        <v>0.04</v>
      </c>
      <c r="AE51" s="76" t="s">
        <v>225</v>
      </c>
      <c r="AF51" s="76" t="s">
        <v>225</v>
      </c>
      <c r="AG51" s="75">
        <v>0.02</v>
      </c>
      <c r="AH51" s="76" t="s">
        <v>225</v>
      </c>
      <c r="AI51" s="76" t="s">
        <v>225</v>
      </c>
      <c r="AJ51" s="75">
        <v>0.02</v>
      </c>
      <c r="AK51" s="76" t="s">
        <v>225</v>
      </c>
      <c r="AL51" s="76" t="s">
        <v>225</v>
      </c>
      <c r="AM51" s="93"/>
      <c r="AN51" s="78" t="s">
        <v>237</v>
      </c>
      <c r="AO51" s="79"/>
      <c r="AP51" s="79"/>
      <c r="AQ51" s="79"/>
      <c r="AR51" s="79"/>
      <c r="AS51" s="79"/>
      <c r="AT51" s="79"/>
      <c r="AU51" s="79"/>
      <c r="AV51" s="79"/>
      <c r="AW51" s="79"/>
      <c r="AX51" s="79"/>
      <c r="AY51" s="79"/>
      <c r="AZ51" s="79"/>
      <c r="BA51" s="80"/>
    </row>
    <row r="52" ht="82.5" customHeight="1">
      <c r="A52" s="61" t="s">
        <v>569</v>
      </c>
      <c r="B52" s="62" t="str">
        <f>image("https://i.imgur.com/g7dCIEO.png")</f>
        <v/>
      </c>
      <c r="C52" s="63" t="s">
        <v>444</v>
      </c>
      <c r="D52" s="46" t="str">
        <f>image("https://i.imgur.com/NchScWh.png")</f>
        <v/>
      </c>
      <c r="E52" s="64" t="str">
        <f>image("https://i.imgur.com/P8lUDX0.png")</f>
        <v/>
      </c>
      <c r="F52" s="64" t="str">
        <f t="shared" si="88"/>
        <v/>
      </c>
      <c r="G52" s="65">
        <v>5795.0</v>
      </c>
      <c r="H52" s="66">
        <v>2713.0</v>
      </c>
      <c r="I52" s="67">
        <v>2151.0</v>
      </c>
      <c r="J52" s="68">
        <f t="shared" ref="J52:L52" si="90">G52/max(G:G)</f>
        <v>0.7120039317</v>
      </c>
      <c r="K52" s="68">
        <f t="shared" si="90"/>
        <v>0.7747001713</v>
      </c>
      <c r="L52" s="68">
        <f t="shared" si="90"/>
        <v>0.5899616018</v>
      </c>
      <c r="M52" s="68">
        <f t="shared" si="3"/>
        <v>2.076665705</v>
      </c>
      <c r="N52" s="69">
        <f t="shared" si="4"/>
        <v>2716.2556</v>
      </c>
      <c r="O52" s="69">
        <f t="shared" si="5"/>
        <v>1160.168655</v>
      </c>
      <c r="P52" s="69">
        <f t="shared" si="91"/>
        <v>5046.733647</v>
      </c>
      <c r="Q52" s="71">
        <f t="shared" si="7"/>
        <v>7.383106128</v>
      </c>
      <c r="R52" s="72">
        <v>300.0</v>
      </c>
      <c r="S52" s="73" t="s">
        <v>352</v>
      </c>
      <c r="T52" s="73" t="s">
        <v>459</v>
      </c>
      <c r="U52" s="73" t="s">
        <v>323</v>
      </c>
      <c r="V52" s="74" t="s">
        <v>570</v>
      </c>
      <c r="W52" s="74" t="s">
        <v>571</v>
      </c>
      <c r="X52" s="74" t="s">
        <v>572</v>
      </c>
      <c r="Y52" s="74" t="s">
        <v>573</v>
      </c>
      <c r="Z52" s="74" t="s">
        <v>574</v>
      </c>
      <c r="AA52" s="75">
        <v>0.02</v>
      </c>
      <c r="AB52" s="75">
        <v>0.08</v>
      </c>
      <c r="AC52" s="76" t="s">
        <v>225</v>
      </c>
      <c r="AD52" s="75">
        <v>0.02</v>
      </c>
      <c r="AE52" s="97" t="s">
        <v>225</v>
      </c>
      <c r="AF52" s="76" t="s">
        <v>225</v>
      </c>
      <c r="AG52" s="75">
        <v>0.02</v>
      </c>
      <c r="AH52" s="76" t="s">
        <v>225</v>
      </c>
      <c r="AI52" s="76" t="s">
        <v>225</v>
      </c>
      <c r="AJ52" s="75">
        <v>0.02</v>
      </c>
      <c r="AK52" s="76" t="s">
        <v>225</v>
      </c>
      <c r="AL52" s="76" t="s">
        <v>225</v>
      </c>
      <c r="AM52" s="93"/>
      <c r="AN52" s="78" t="s">
        <v>237</v>
      </c>
      <c r="AO52" s="79"/>
      <c r="AP52" s="79"/>
      <c r="AQ52" s="79"/>
      <c r="AR52" s="79"/>
      <c r="AS52" s="79"/>
      <c r="AT52" s="79"/>
      <c r="AU52" s="79"/>
      <c r="AV52" s="79"/>
      <c r="AW52" s="79"/>
      <c r="AX52" s="79"/>
      <c r="AY52" s="79"/>
      <c r="AZ52" s="79"/>
      <c r="BA52" s="80"/>
    </row>
    <row r="53" ht="82.5" customHeight="1">
      <c r="A53" s="61" t="s">
        <v>575</v>
      </c>
      <c r="B53" s="62" t="str">
        <f>image("https://i.imgur.com/y3EmiZT.png")</f>
        <v/>
      </c>
      <c r="C53" s="63" t="s">
        <v>444</v>
      </c>
      <c r="D53" s="46" t="str">
        <f t="shared" ref="D53:D54" si="93">image("https://i.imgur.com/QndVudD.png")</f>
        <v/>
      </c>
      <c r="E53" s="64" t="str">
        <f>image("https://i.imgur.com/tOS4FvO.png")</f>
        <v/>
      </c>
      <c r="F53" s="64" t="str">
        <f t="shared" si="88"/>
        <v/>
      </c>
      <c r="G53" s="65">
        <v>5783.0</v>
      </c>
      <c r="H53" s="66">
        <v>2719.0</v>
      </c>
      <c r="I53" s="67">
        <v>2150.0</v>
      </c>
      <c r="J53" s="68">
        <f t="shared" ref="J53:L53" si="92">G53/max(G:G)</f>
        <v>0.7105295491</v>
      </c>
      <c r="K53" s="68">
        <f t="shared" si="92"/>
        <v>0.776413478</v>
      </c>
      <c r="L53" s="68">
        <f t="shared" si="92"/>
        <v>0.5896873286</v>
      </c>
      <c r="M53" s="68">
        <f t="shared" si="3"/>
        <v>2.076630356</v>
      </c>
      <c r="N53" s="69">
        <f t="shared" si="4"/>
        <v>2722.2628</v>
      </c>
      <c r="O53" s="69">
        <f t="shared" si="5"/>
        <v>1158.378833</v>
      </c>
      <c r="P53" s="69">
        <f>O53*2.6</f>
        <v>3011.784965</v>
      </c>
      <c r="Q53" s="71">
        <f t="shared" si="7"/>
        <v>7.366878981</v>
      </c>
      <c r="R53" s="72">
        <v>300.0</v>
      </c>
      <c r="S53" s="73" t="s">
        <v>352</v>
      </c>
      <c r="T53" s="73" t="s">
        <v>340</v>
      </c>
      <c r="U53" s="73" t="s">
        <v>323</v>
      </c>
      <c r="V53" s="74" t="s">
        <v>576</v>
      </c>
      <c r="W53" s="74" t="s">
        <v>577</v>
      </c>
      <c r="X53" s="74" t="s">
        <v>578</v>
      </c>
      <c r="Y53" s="74" t="s">
        <v>579</v>
      </c>
      <c r="Z53" s="74" t="s">
        <v>580</v>
      </c>
      <c r="AA53" s="75">
        <v>0.02</v>
      </c>
      <c r="AB53" s="76" t="s">
        <v>225</v>
      </c>
      <c r="AC53" s="76" t="s">
        <v>225</v>
      </c>
      <c r="AD53" s="75">
        <v>0.02</v>
      </c>
      <c r="AE53" s="76" t="s">
        <v>225</v>
      </c>
      <c r="AF53" s="76" t="s">
        <v>225</v>
      </c>
      <c r="AG53" s="75">
        <v>0.02</v>
      </c>
      <c r="AH53" s="76" t="s">
        <v>225</v>
      </c>
      <c r="AI53" s="76" t="s">
        <v>225</v>
      </c>
      <c r="AJ53" s="76" t="s">
        <v>225</v>
      </c>
      <c r="AK53" s="75">
        <v>0.08</v>
      </c>
      <c r="AL53" s="76" t="s">
        <v>225</v>
      </c>
      <c r="AM53" s="93"/>
      <c r="AN53" s="78" t="s">
        <v>237</v>
      </c>
      <c r="AO53" s="79"/>
      <c r="AP53" s="79"/>
      <c r="AQ53" s="79"/>
      <c r="AR53" s="79"/>
      <c r="AS53" s="79"/>
      <c r="AT53" s="79"/>
      <c r="AU53" s="79"/>
      <c r="AV53" s="79"/>
      <c r="AW53" s="79"/>
      <c r="AX53" s="79"/>
      <c r="AY53" s="79"/>
      <c r="AZ53" s="79"/>
      <c r="BA53" s="80"/>
    </row>
    <row r="54" ht="82.5" customHeight="1">
      <c r="A54" s="61" t="s">
        <v>581</v>
      </c>
      <c r="B54" s="62" t="str">
        <f>image("https://i.imgur.com/grH0PJ6.png")</f>
        <v/>
      </c>
      <c r="C54" s="63" t="s">
        <v>444</v>
      </c>
      <c r="D54" s="46" t="str">
        <f t="shared" si="93"/>
        <v/>
      </c>
      <c r="E54" s="64" t="str">
        <f t="shared" ref="E54:E55" si="95">image("https://i.imgur.com/P8lUDX0.png")</f>
        <v/>
      </c>
      <c r="F54" s="64" t="str">
        <f t="shared" si="88"/>
        <v/>
      </c>
      <c r="G54" s="65">
        <v>5783.0</v>
      </c>
      <c r="H54" s="66">
        <v>2720.0</v>
      </c>
      <c r="I54" s="67">
        <v>2147.0</v>
      </c>
      <c r="J54" s="68">
        <f t="shared" ref="J54:L54" si="94">G54/max(G:G)</f>
        <v>0.7105295491</v>
      </c>
      <c r="K54" s="68">
        <f t="shared" si="94"/>
        <v>0.7766990291</v>
      </c>
      <c r="L54" s="68">
        <f t="shared" si="94"/>
        <v>0.5888645091</v>
      </c>
      <c r="M54" s="68">
        <f t="shared" si="3"/>
        <v>2.076093087</v>
      </c>
      <c r="N54" s="69">
        <f t="shared" si="4"/>
        <v>2723.264</v>
      </c>
      <c r="O54" s="69">
        <f t="shared" si="5"/>
        <v>1158.804864</v>
      </c>
      <c r="P54" s="69">
        <f>O54*4.35</f>
        <v>5040.801158</v>
      </c>
      <c r="Q54" s="71">
        <f t="shared" si="7"/>
        <v>8.00441814</v>
      </c>
      <c r="R54" s="72">
        <v>300.0</v>
      </c>
      <c r="S54" s="73" t="s">
        <v>292</v>
      </c>
      <c r="T54" s="73" t="s">
        <v>340</v>
      </c>
      <c r="U54" s="73" t="s">
        <v>230</v>
      </c>
      <c r="V54" s="74" t="s">
        <v>582</v>
      </c>
      <c r="W54" s="74" t="s">
        <v>583</v>
      </c>
      <c r="X54" s="74" t="s">
        <v>584</v>
      </c>
      <c r="Y54" s="74" t="s">
        <v>585</v>
      </c>
      <c r="Z54" s="74" t="s">
        <v>586</v>
      </c>
      <c r="AA54" s="75">
        <v>0.02</v>
      </c>
      <c r="AB54" s="76" t="s">
        <v>225</v>
      </c>
      <c r="AC54" s="76" t="s">
        <v>225</v>
      </c>
      <c r="AD54" s="75">
        <v>0.02</v>
      </c>
      <c r="AE54" s="76" t="s">
        <v>225</v>
      </c>
      <c r="AF54" s="76" t="s">
        <v>225</v>
      </c>
      <c r="AG54" s="75">
        <v>0.04</v>
      </c>
      <c r="AH54" s="75">
        <v>0.04</v>
      </c>
      <c r="AI54" s="76" t="s">
        <v>225</v>
      </c>
      <c r="AJ54" s="75">
        <v>0.02</v>
      </c>
      <c r="AK54" s="76" t="s">
        <v>225</v>
      </c>
      <c r="AL54" s="76" t="s">
        <v>225</v>
      </c>
      <c r="AM54" s="93"/>
      <c r="AN54" s="78" t="s">
        <v>237</v>
      </c>
      <c r="AO54" s="79"/>
      <c r="AP54" s="79"/>
      <c r="AQ54" s="79"/>
      <c r="AR54" s="79"/>
      <c r="AS54" s="79"/>
      <c r="AT54" s="79"/>
      <c r="AU54" s="79"/>
      <c r="AV54" s="79"/>
      <c r="AW54" s="79"/>
      <c r="AX54" s="79"/>
      <c r="AY54" s="79"/>
      <c r="AZ54" s="79"/>
      <c r="BA54" s="80"/>
    </row>
    <row r="55" ht="82.5" customHeight="1">
      <c r="A55" s="61" t="s">
        <v>587</v>
      </c>
      <c r="B55" s="62" t="str">
        <f>image("https://i.imgur.com/PaQHYZW.png")</f>
        <v/>
      </c>
      <c r="C55" s="63" t="s">
        <v>588</v>
      </c>
      <c r="D55" s="46" t="str">
        <f>image("https://i.imgur.com/pQYVkI3.png")</f>
        <v/>
      </c>
      <c r="E55" s="64" t="str">
        <f t="shared" si="95"/>
        <v/>
      </c>
      <c r="F55" s="64" t="str">
        <f t="shared" ref="F55:F57" si="97">image("https://i.imgur.com/P4N7gFs.png")</f>
        <v/>
      </c>
      <c r="G55" s="65">
        <v>5679.0</v>
      </c>
      <c r="H55" s="66">
        <v>2134.0</v>
      </c>
      <c r="I55" s="67">
        <v>2803.0</v>
      </c>
      <c r="J55" s="68">
        <f t="shared" ref="J55:L55" si="96">G55/max(G:G)</f>
        <v>0.6977515665</v>
      </c>
      <c r="K55" s="68">
        <f t="shared" si="96"/>
        <v>0.6093660765</v>
      </c>
      <c r="L55" s="68">
        <f t="shared" si="96"/>
        <v>0.7687877126</v>
      </c>
      <c r="M55" s="68">
        <f t="shared" si="3"/>
        <v>2.075905356</v>
      </c>
      <c r="N55" s="69">
        <f t="shared" si="4"/>
        <v>2136.5608</v>
      </c>
      <c r="O55" s="69">
        <f t="shared" si="5"/>
        <v>909.1505808</v>
      </c>
      <c r="P55" s="69">
        <f t="shared" ref="P55:P57" si="99">O55*4.2</f>
        <v>3818.432439</v>
      </c>
      <c r="Q55" s="71">
        <f t="shared" si="7"/>
        <v>8.576943292</v>
      </c>
      <c r="R55" s="72">
        <v>450.0</v>
      </c>
      <c r="S55" s="73" t="s">
        <v>266</v>
      </c>
      <c r="T55" s="73" t="s">
        <v>275</v>
      </c>
      <c r="U55" s="73" t="s">
        <v>323</v>
      </c>
      <c r="V55" s="74" t="s">
        <v>589</v>
      </c>
      <c r="W55" s="74" t="s">
        <v>590</v>
      </c>
      <c r="X55" s="74" t="s">
        <v>591</v>
      </c>
      <c r="Y55" s="74" t="s">
        <v>592</v>
      </c>
      <c r="Z55" s="74" t="s">
        <v>593</v>
      </c>
      <c r="AA55" s="75">
        <v>0.02</v>
      </c>
      <c r="AB55" s="76" t="s">
        <v>225</v>
      </c>
      <c r="AC55" s="76" t="s">
        <v>225</v>
      </c>
      <c r="AD55" s="75">
        <v>0.02</v>
      </c>
      <c r="AE55" s="76" t="s">
        <v>225</v>
      </c>
      <c r="AF55" s="76" t="s">
        <v>225</v>
      </c>
      <c r="AG55" s="75">
        <v>0.04</v>
      </c>
      <c r="AH55" s="75">
        <v>0.04</v>
      </c>
      <c r="AI55" s="76" t="s">
        <v>225</v>
      </c>
      <c r="AJ55" s="76" t="s">
        <v>225</v>
      </c>
      <c r="AK55" s="76" t="s">
        <v>225</v>
      </c>
      <c r="AL55" s="76" t="s">
        <v>225</v>
      </c>
      <c r="AM55" s="77" t="s">
        <v>594</v>
      </c>
      <c r="AN55" s="78" t="s">
        <v>237</v>
      </c>
      <c r="AO55" s="79"/>
      <c r="AP55" s="79"/>
      <c r="AQ55" s="79"/>
      <c r="AR55" s="79"/>
      <c r="AS55" s="79"/>
      <c r="AT55" s="79"/>
      <c r="AU55" s="79"/>
      <c r="AV55" s="79"/>
      <c r="AW55" s="79"/>
      <c r="AX55" s="79"/>
      <c r="AY55" s="79"/>
      <c r="AZ55" s="79"/>
      <c r="BA55" s="80"/>
    </row>
    <row r="56" ht="82.5" customHeight="1">
      <c r="A56" s="61" t="s">
        <v>595</v>
      </c>
      <c r="B56" s="92" t="str">
        <f>image("https://i.imgur.com/pv1MqRD.png")</f>
        <v/>
      </c>
      <c r="C56" s="63" t="s">
        <v>588</v>
      </c>
      <c r="D56" s="46" t="str">
        <f>image("https://i.imgur.com/z8bnSYg.png")</f>
        <v/>
      </c>
      <c r="E56" s="64" t="str">
        <f>image("https://i.imgur.com/tOS4FvO.png")</f>
        <v/>
      </c>
      <c r="F56" s="64" t="str">
        <f t="shared" si="97"/>
        <v/>
      </c>
      <c r="G56" s="98">
        <v>5679.0</v>
      </c>
      <c r="H56" s="99">
        <v>2129.0</v>
      </c>
      <c r="I56" s="100">
        <v>2808.0</v>
      </c>
      <c r="J56" s="68">
        <f t="shared" ref="J56:L56" si="98">G56/max(G:G)</f>
        <v>0.6977515665</v>
      </c>
      <c r="K56" s="68">
        <f t="shared" si="98"/>
        <v>0.607938321</v>
      </c>
      <c r="L56" s="68">
        <f t="shared" si="98"/>
        <v>0.7701590784</v>
      </c>
      <c r="M56" s="68">
        <f t="shared" si="3"/>
        <v>2.075848966</v>
      </c>
      <c r="N56" s="69">
        <f t="shared" si="4"/>
        <v>2139.2192</v>
      </c>
      <c r="O56" s="69">
        <f t="shared" si="5"/>
        <v>907.2196992</v>
      </c>
      <c r="P56" s="69">
        <f t="shared" si="99"/>
        <v>3810.322737</v>
      </c>
      <c r="Q56" s="71">
        <f t="shared" si="7"/>
        <v>7.896273637</v>
      </c>
      <c r="R56" s="64">
        <v>450.0</v>
      </c>
      <c r="S56" s="96" t="s">
        <v>228</v>
      </c>
      <c r="T56" s="73" t="s">
        <v>385</v>
      </c>
      <c r="U56" s="73" t="s">
        <v>240</v>
      </c>
      <c r="V56" s="74" t="s">
        <v>596</v>
      </c>
      <c r="W56" s="74" t="s">
        <v>597</v>
      </c>
      <c r="X56" s="74" t="s">
        <v>598</v>
      </c>
      <c r="Y56" s="74" t="s">
        <v>592</v>
      </c>
      <c r="Z56" s="74" t="s">
        <v>593</v>
      </c>
      <c r="AA56" s="75">
        <v>0.02</v>
      </c>
      <c r="AB56" s="76" t="s">
        <v>225</v>
      </c>
      <c r="AC56" s="76" t="s">
        <v>225</v>
      </c>
      <c r="AD56" s="75">
        <v>0.08</v>
      </c>
      <c r="AE56" s="76" t="s">
        <v>225</v>
      </c>
      <c r="AF56" s="76" t="s">
        <v>225</v>
      </c>
      <c r="AG56" s="75">
        <v>0.02</v>
      </c>
      <c r="AH56" s="76" t="s">
        <v>225</v>
      </c>
      <c r="AI56" s="76" t="s">
        <v>225</v>
      </c>
      <c r="AJ56" s="75">
        <v>0.02</v>
      </c>
      <c r="AK56" s="76" t="s">
        <v>225</v>
      </c>
      <c r="AL56" s="76" t="s">
        <v>225</v>
      </c>
      <c r="AM56" s="101" t="s">
        <v>599</v>
      </c>
      <c r="AN56" s="78" t="s">
        <v>237</v>
      </c>
      <c r="AO56" s="80"/>
      <c r="AP56" s="80"/>
      <c r="AQ56" s="80"/>
      <c r="AR56" s="80"/>
      <c r="AS56" s="80"/>
      <c r="AT56" s="80"/>
      <c r="AU56" s="80"/>
      <c r="AV56" s="80"/>
      <c r="AW56" s="80"/>
      <c r="AX56" s="80"/>
      <c r="AY56" s="80"/>
      <c r="AZ56" s="80"/>
      <c r="BA56" s="80"/>
    </row>
    <row r="57" ht="82.5" customHeight="1">
      <c r="A57" s="61" t="s">
        <v>600</v>
      </c>
      <c r="B57" s="62" t="str">
        <f>image("https://i.imgur.com/k6vWhkk.png")</f>
        <v/>
      </c>
      <c r="C57" s="63" t="s">
        <v>588</v>
      </c>
      <c r="D57" s="46" t="str">
        <f>image("https://i.imgur.com/QndVudD.png")</f>
        <v/>
      </c>
      <c r="E57" s="64" t="str">
        <f t="shared" ref="E57:E59" si="101">image("https://i.imgur.com/P8lUDX0.png")</f>
        <v/>
      </c>
      <c r="F57" s="64" t="str">
        <f t="shared" si="97"/>
        <v/>
      </c>
      <c r="G57" s="65">
        <v>5679.0</v>
      </c>
      <c r="H57" s="66">
        <v>2125.0</v>
      </c>
      <c r="I57" s="67">
        <v>2811.0</v>
      </c>
      <c r="J57" s="68">
        <f t="shared" ref="J57:L57" si="100">G57/max(G:G)</f>
        <v>0.6977515665</v>
      </c>
      <c r="K57" s="68">
        <f t="shared" si="100"/>
        <v>0.6067961165</v>
      </c>
      <c r="L57" s="68">
        <f t="shared" si="100"/>
        <v>0.770981898</v>
      </c>
      <c r="M57" s="68">
        <f t="shared" si="3"/>
        <v>2.075529581</v>
      </c>
      <c r="N57" s="69">
        <f t="shared" si="4"/>
        <v>2127.55</v>
      </c>
      <c r="O57" s="69">
        <f t="shared" si="5"/>
        <v>905.3163</v>
      </c>
      <c r="P57" s="69">
        <f t="shared" si="99"/>
        <v>3802.32846</v>
      </c>
      <c r="Q57" s="71">
        <f t="shared" si="7"/>
        <v>8.58648781</v>
      </c>
      <c r="R57" s="72">
        <v>450.0</v>
      </c>
      <c r="S57" s="73" t="s">
        <v>398</v>
      </c>
      <c r="T57" s="73" t="s">
        <v>340</v>
      </c>
      <c r="U57" s="73" t="s">
        <v>528</v>
      </c>
      <c r="V57" s="74" t="s">
        <v>601</v>
      </c>
      <c r="W57" s="74" t="s">
        <v>602</v>
      </c>
      <c r="X57" s="74" t="s">
        <v>603</v>
      </c>
      <c r="Y57" s="74" t="s">
        <v>604</v>
      </c>
      <c r="Z57" s="74" t="s">
        <v>605</v>
      </c>
      <c r="AA57" s="75">
        <v>0.02</v>
      </c>
      <c r="AB57" s="76" t="s">
        <v>225</v>
      </c>
      <c r="AC57" s="76" t="s">
        <v>225</v>
      </c>
      <c r="AD57" s="75">
        <v>0.02</v>
      </c>
      <c r="AE57" s="76" t="s">
        <v>225</v>
      </c>
      <c r="AF57" s="76" t="s">
        <v>225</v>
      </c>
      <c r="AG57" s="75">
        <v>0.04</v>
      </c>
      <c r="AH57" s="75">
        <v>0.04</v>
      </c>
      <c r="AI57" s="76" t="s">
        <v>225</v>
      </c>
      <c r="AJ57" s="75">
        <v>0.02</v>
      </c>
      <c r="AK57" s="76" t="s">
        <v>225</v>
      </c>
      <c r="AL57" s="76" t="s">
        <v>225</v>
      </c>
      <c r="AM57" s="93"/>
      <c r="AN57" s="78" t="s">
        <v>237</v>
      </c>
      <c r="AO57" s="79"/>
      <c r="AP57" s="79"/>
      <c r="AQ57" s="79"/>
      <c r="AR57" s="79"/>
      <c r="AS57" s="79"/>
      <c r="AT57" s="79"/>
      <c r="AU57" s="79"/>
      <c r="AV57" s="79"/>
      <c r="AW57" s="79"/>
      <c r="AX57" s="79"/>
      <c r="AY57" s="79"/>
      <c r="AZ57" s="79"/>
      <c r="BA57" s="80"/>
    </row>
    <row r="58" ht="82.5" customHeight="1">
      <c r="A58" s="61" t="s">
        <v>606</v>
      </c>
      <c r="B58" s="62" t="str">
        <f>image("https://i.imgur.com/6oKZT29.png")</f>
        <v/>
      </c>
      <c r="C58" s="63" t="s">
        <v>444</v>
      </c>
      <c r="D58" s="46" t="str">
        <f>image("https://i.imgur.com/pzX6NRL.png")</f>
        <v/>
      </c>
      <c r="E58" s="64" t="str">
        <f t="shared" si="101"/>
        <v/>
      </c>
      <c r="F58" s="64" t="str">
        <f t="shared" ref="F58:F59" si="103">image("https://i.imgur.com/yduAVsz.png")</f>
        <v/>
      </c>
      <c r="G58" s="65">
        <v>5788.0</v>
      </c>
      <c r="H58" s="66">
        <v>2720.0</v>
      </c>
      <c r="I58" s="67">
        <v>2141.0</v>
      </c>
      <c r="J58" s="68">
        <f t="shared" ref="J58:L58" si="102">G58/max(G:G)</f>
        <v>0.7111438752</v>
      </c>
      <c r="K58" s="68">
        <f t="shared" si="102"/>
        <v>0.7766990291</v>
      </c>
      <c r="L58" s="68">
        <f t="shared" si="102"/>
        <v>0.58721887</v>
      </c>
      <c r="M58" s="68">
        <f t="shared" si="3"/>
        <v>2.075061774</v>
      </c>
      <c r="N58" s="69">
        <f t="shared" si="4"/>
        <v>2723.264</v>
      </c>
      <c r="O58" s="69">
        <f t="shared" si="5"/>
        <v>1371.219456</v>
      </c>
      <c r="P58" s="69">
        <f>O58*4.35</f>
        <v>5964.804634</v>
      </c>
      <c r="Q58" s="71">
        <f t="shared" si="7"/>
        <v>7.364804683</v>
      </c>
      <c r="R58" s="72">
        <v>300.0</v>
      </c>
      <c r="S58" s="73" t="s">
        <v>419</v>
      </c>
      <c r="T58" s="73" t="s">
        <v>399</v>
      </c>
      <c r="U58" s="73" t="s">
        <v>267</v>
      </c>
      <c r="V58" s="74" t="s">
        <v>607</v>
      </c>
      <c r="W58" s="74" t="s">
        <v>608</v>
      </c>
      <c r="X58" s="74" t="s">
        <v>609</v>
      </c>
      <c r="Y58" s="74" t="s">
        <v>370</v>
      </c>
      <c r="Z58" s="74" t="s">
        <v>371</v>
      </c>
      <c r="AA58" s="75">
        <v>0.08</v>
      </c>
      <c r="AB58" s="76" t="s">
        <v>225</v>
      </c>
      <c r="AC58" s="76" t="s">
        <v>225</v>
      </c>
      <c r="AD58" s="75">
        <v>0.02</v>
      </c>
      <c r="AE58" s="76" t="s">
        <v>225</v>
      </c>
      <c r="AF58" s="76" t="s">
        <v>225</v>
      </c>
      <c r="AG58" s="75">
        <v>0.02</v>
      </c>
      <c r="AH58" s="76" t="s">
        <v>225</v>
      </c>
      <c r="AI58" s="76" t="s">
        <v>225</v>
      </c>
      <c r="AJ58" s="75">
        <v>0.02</v>
      </c>
      <c r="AK58" s="76" t="s">
        <v>225</v>
      </c>
      <c r="AL58" s="76" t="s">
        <v>225</v>
      </c>
      <c r="AM58" s="77" t="s">
        <v>610</v>
      </c>
      <c r="AN58" s="78" t="s">
        <v>237</v>
      </c>
      <c r="AO58" s="79"/>
      <c r="AP58" s="79"/>
      <c r="AQ58" s="79"/>
      <c r="AR58" s="79"/>
      <c r="AS58" s="79"/>
      <c r="AT58" s="79"/>
      <c r="AU58" s="79"/>
      <c r="AV58" s="79"/>
      <c r="AW58" s="79"/>
      <c r="AX58" s="79"/>
      <c r="AY58" s="79"/>
      <c r="AZ58" s="79"/>
      <c r="BA58" s="80"/>
    </row>
    <row r="59" ht="83.25" customHeight="1">
      <c r="A59" s="61" t="s">
        <v>611</v>
      </c>
      <c r="B59" s="62" t="str">
        <f>image("https://i.imgur.com/Hr0m5tS.png")</f>
        <v/>
      </c>
      <c r="C59" s="63" t="s">
        <v>444</v>
      </c>
      <c r="D59" s="46" t="str">
        <f>image("https://i.imgur.com/z8bnSYg.png")</f>
        <v/>
      </c>
      <c r="E59" s="64" t="str">
        <f t="shared" si="101"/>
        <v/>
      </c>
      <c r="F59" s="64" t="str">
        <f t="shared" si="103"/>
        <v/>
      </c>
      <c r="G59" s="65">
        <v>5783.0</v>
      </c>
      <c r="H59" s="66">
        <v>2722.0</v>
      </c>
      <c r="I59" s="67">
        <v>2140.0</v>
      </c>
      <c r="J59" s="68">
        <f t="shared" ref="J59:L59" si="104">G59/max(G:G)</f>
        <v>0.7105295491</v>
      </c>
      <c r="K59" s="68">
        <f t="shared" si="104"/>
        <v>0.7772701314</v>
      </c>
      <c r="L59" s="68">
        <f t="shared" si="104"/>
        <v>0.5869445968</v>
      </c>
      <c r="M59" s="68">
        <f t="shared" si="3"/>
        <v>2.074744277</v>
      </c>
      <c r="N59" s="69">
        <f t="shared" si="4"/>
        <v>2725.527712</v>
      </c>
      <c r="O59" s="69">
        <f t="shared" si="5"/>
        <v>1159.663721</v>
      </c>
      <c r="P59" s="69">
        <f>O59*2.6</f>
        <v>3015.125673</v>
      </c>
      <c r="Q59" s="71">
        <f t="shared" si="7"/>
        <v>7.357506361</v>
      </c>
      <c r="R59" s="72">
        <v>300.0</v>
      </c>
      <c r="S59" s="73" t="s">
        <v>436</v>
      </c>
      <c r="T59" s="73" t="s">
        <v>275</v>
      </c>
      <c r="U59" s="73" t="s">
        <v>528</v>
      </c>
      <c r="V59" s="74" t="s">
        <v>612</v>
      </c>
      <c r="W59" s="74" t="s">
        <v>613</v>
      </c>
      <c r="X59" s="74" t="s">
        <v>614</v>
      </c>
      <c r="Y59" s="74" t="s">
        <v>615</v>
      </c>
      <c r="Z59" s="74" t="s">
        <v>616</v>
      </c>
      <c r="AA59" s="75">
        <v>0.02</v>
      </c>
      <c r="AB59" s="76" t="s">
        <v>225</v>
      </c>
      <c r="AC59" s="76" t="s">
        <v>225</v>
      </c>
      <c r="AD59" s="75">
        <v>0.02</v>
      </c>
      <c r="AE59" s="75">
        <v>0.08</v>
      </c>
      <c r="AF59" s="76" t="s">
        <v>225</v>
      </c>
      <c r="AG59" s="75">
        <v>0.02</v>
      </c>
      <c r="AH59" s="76" t="s">
        <v>225</v>
      </c>
      <c r="AI59" s="76" t="s">
        <v>225</v>
      </c>
      <c r="AJ59" s="75">
        <v>0.02</v>
      </c>
      <c r="AK59" s="76" t="s">
        <v>225</v>
      </c>
      <c r="AL59" s="76" t="s">
        <v>225</v>
      </c>
      <c r="AM59" s="77" t="s">
        <v>617</v>
      </c>
      <c r="AN59" s="78" t="s">
        <v>237</v>
      </c>
      <c r="AO59" s="79"/>
      <c r="AP59" s="79"/>
      <c r="AQ59" s="79"/>
      <c r="AR59" s="79"/>
      <c r="AS59" s="79"/>
      <c r="AT59" s="79"/>
      <c r="AU59" s="79"/>
      <c r="AV59" s="79"/>
      <c r="AW59" s="79"/>
      <c r="AX59" s="79"/>
      <c r="AY59" s="79"/>
      <c r="AZ59" s="79"/>
      <c r="BA59" s="80"/>
    </row>
    <row r="60" ht="83.25" customHeight="1">
      <c r="A60" s="61" t="s">
        <v>618</v>
      </c>
      <c r="B60" s="92" t="str">
        <f>image("https://i.imgur.com/JrmIKBE.png")</f>
        <v/>
      </c>
      <c r="C60" s="63" t="s">
        <v>588</v>
      </c>
      <c r="D60" s="46" t="str">
        <f>image("https://i.imgur.com/AHPti72.png")</f>
        <v/>
      </c>
      <c r="E60" s="64" t="str">
        <f>image("https://i.imgur.com/tOS4FvO.png")</f>
        <v/>
      </c>
      <c r="F60" s="64" t="str">
        <f>image("https://i.imgur.com/P4N7gFs.png")</f>
        <v/>
      </c>
      <c r="G60" s="98">
        <v>5679.0</v>
      </c>
      <c r="H60" s="99">
        <v>2133.0</v>
      </c>
      <c r="I60" s="100">
        <v>2801.0</v>
      </c>
      <c r="J60" s="68">
        <f t="shared" ref="J60:L60" si="105">G60/max(G:G)</f>
        <v>0.6977515665</v>
      </c>
      <c r="K60" s="68">
        <f t="shared" si="105"/>
        <v>0.6090805254</v>
      </c>
      <c r="L60" s="68">
        <f t="shared" si="105"/>
        <v>0.7682391662</v>
      </c>
      <c r="M60" s="68">
        <f t="shared" si="3"/>
        <v>2.075071258</v>
      </c>
      <c r="N60" s="69">
        <f t="shared" si="4"/>
        <v>2135.5596</v>
      </c>
      <c r="O60" s="69">
        <f t="shared" si="5"/>
        <v>908.7245496</v>
      </c>
      <c r="P60" s="69">
        <f t="shared" ref="P60:P61" si="107">O60*4.2</f>
        <v>3816.643108</v>
      </c>
      <c r="Q60" s="71">
        <f t="shared" si="7"/>
        <v>7.888595638</v>
      </c>
      <c r="R60" s="64">
        <v>450.0</v>
      </c>
      <c r="S60" s="73" t="s">
        <v>228</v>
      </c>
      <c r="T60" s="73" t="s">
        <v>488</v>
      </c>
      <c r="U60" s="73" t="s">
        <v>240</v>
      </c>
      <c r="V60" s="74" t="s">
        <v>619</v>
      </c>
      <c r="W60" s="74" t="s">
        <v>620</v>
      </c>
      <c r="X60" s="74" t="s">
        <v>621</v>
      </c>
      <c r="Y60" s="74" t="s">
        <v>622</v>
      </c>
      <c r="Z60" s="74" t="s">
        <v>623</v>
      </c>
      <c r="AA60" s="75">
        <v>0.02</v>
      </c>
      <c r="AB60" s="76" t="s">
        <v>225</v>
      </c>
      <c r="AC60" s="76" t="s">
        <v>225</v>
      </c>
      <c r="AD60" s="75">
        <v>0.02</v>
      </c>
      <c r="AE60" s="76" t="s">
        <v>225</v>
      </c>
      <c r="AF60" s="76" t="s">
        <v>225</v>
      </c>
      <c r="AG60" s="75">
        <v>0.08</v>
      </c>
      <c r="AH60" s="76" t="s">
        <v>225</v>
      </c>
      <c r="AI60" s="76" t="s">
        <v>225</v>
      </c>
      <c r="AJ60" s="75">
        <v>0.02</v>
      </c>
      <c r="AK60" s="76" t="s">
        <v>225</v>
      </c>
      <c r="AL60" s="76" t="s">
        <v>225</v>
      </c>
      <c r="AM60" s="102" t="s">
        <v>624</v>
      </c>
      <c r="AN60" s="78" t="s">
        <v>237</v>
      </c>
      <c r="AO60" s="80"/>
      <c r="AP60" s="80"/>
      <c r="AQ60" s="80"/>
      <c r="AR60" s="80"/>
      <c r="AS60" s="80"/>
      <c r="AT60" s="80"/>
      <c r="AU60" s="80"/>
      <c r="AV60" s="80"/>
      <c r="AW60" s="80"/>
      <c r="AX60" s="80"/>
      <c r="AY60" s="80"/>
      <c r="AZ60" s="80"/>
      <c r="BA60" s="80"/>
    </row>
    <row r="61" ht="82.5" customHeight="1">
      <c r="A61" s="61" t="s">
        <v>625</v>
      </c>
      <c r="B61" s="92" t="str">
        <f>image("https://i.imgur.com/bq8mUz3.png")</f>
        <v/>
      </c>
      <c r="C61" s="63" t="s">
        <v>588</v>
      </c>
      <c r="D61" s="46" t="str">
        <f>image("https://i.imgur.com/NchScWh.png")</f>
        <v/>
      </c>
      <c r="E61" s="64" t="str">
        <f t="shared" ref="E61:E63" si="108">image("https://i.imgur.com/P8lUDX0.png")</f>
        <v/>
      </c>
      <c r="F61" s="64" t="str">
        <f t="shared" ref="F61:F62" si="109">image("https://i.imgur.com/MLuLYZy.png")</f>
        <v/>
      </c>
      <c r="G61" s="98">
        <v>5719.0</v>
      </c>
      <c r="H61" s="99">
        <v>2291.0</v>
      </c>
      <c r="I61" s="100">
        <v>2468.0</v>
      </c>
      <c r="J61" s="68">
        <f t="shared" ref="J61:L61" si="106">G61/max(G:G)</f>
        <v>0.7026661752</v>
      </c>
      <c r="K61" s="68">
        <f t="shared" si="106"/>
        <v>0.6541976014</v>
      </c>
      <c r="L61" s="68">
        <f t="shared" si="106"/>
        <v>0.6769061986</v>
      </c>
      <c r="M61" s="68">
        <f t="shared" si="3"/>
        <v>2.033769975</v>
      </c>
      <c r="N61" s="69">
        <f t="shared" si="4"/>
        <v>2293.7492</v>
      </c>
      <c r="O61" s="69">
        <f t="shared" si="5"/>
        <v>979.7074779</v>
      </c>
      <c r="P61" s="69">
        <f t="shared" si="107"/>
        <v>4114.771407</v>
      </c>
      <c r="Q61" s="71">
        <f t="shared" si="7"/>
        <v>7.592936803</v>
      </c>
      <c r="R61" s="64">
        <v>450.0</v>
      </c>
      <c r="S61" s="73" t="s">
        <v>228</v>
      </c>
      <c r="T61" s="73" t="s">
        <v>459</v>
      </c>
      <c r="U61" s="73" t="s">
        <v>323</v>
      </c>
      <c r="V61" s="74" t="s">
        <v>626</v>
      </c>
      <c r="W61" s="74" t="s">
        <v>627</v>
      </c>
      <c r="X61" s="74" t="s">
        <v>628</v>
      </c>
      <c r="Y61" s="74" t="s">
        <v>629</v>
      </c>
      <c r="Z61" s="74" t="s">
        <v>630</v>
      </c>
      <c r="AA61" s="75">
        <v>0.02</v>
      </c>
      <c r="AB61" s="75">
        <v>0.08</v>
      </c>
      <c r="AC61" s="76" t="s">
        <v>225</v>
      </c>
      <c r="AD61" s="75">
        <v>0.02</v>
      </c>
      <c r="AE61" s="76" t="s">
        <v>225</v>
      </c>
      <c r="AF61" s="76" t="s">
        <v>225</v>
      </c>
      <c r="AG61" s="75">
        <v>0.02</v>
      </c>
      <c r="AH61" s="76" t="s">
        <v>225</v>
      </c>
      <c r="AI61" s="76" t="s">
        <v>225</v>
      </c>
      <c r="AJ61" s="75">
        <v>0.02</v>
      </c>
      <c r="AK61" s="76" t="s">
        <v>225</v>
      </c>
      <c r="AL61" s="76" t="s">
        <v>225</v>
      </c>
      <c r="AM61" s="94"/>
      <c r="AN61" s="78" t="s">
        <v>237</v>
      </c>
      <c r="AO61" s="80"/>
      <c r="AP61" s="80"/>
      <c r="AQ61" s="80"/>
      <c r="AR61" s="80"/>
      <c r="AS61" s="80"/>
      <c r="AT61" s="80"/>
      <c r="AU61" s="80"/>
      <c r="AV61" s="80"/>
      <c r="AW61" s="80"/>
      <c r="AX61" s="80"/>
      <c r="AY61" s="80"/>
      <c r="AZ61" s="80"/>
      <c r="BA61" s="80"/>
    </row>
    <row r="62" ht="82.5" customHeight="1">
      <c r="A62" s="61" t="s">
        <v>631</v>
      </c>
      <c r="B62" s="62" t="str">
        <f>IMAGE("https://i.imgur.com/trYHtEQ.png")</f>
        <v/>
      </c>
      <c r="C62" s="63" t="s">
        <v>444</v>
      </c>
      <c r="D62" s="46" t="str">
        <f>image("https://i.imgur.com/pzX6NRL.png")</f>
        <v/>
      </c>
      <c r="E62" s="64" t="str">
        <f t="shared" si="108"/>
        <v/>
      </c>
      <c r="F62" s="64" t="str">
        <f t="shared" si="109"/>
        <v/>
      </c>
      <c r="G62" s="65">
        <v>5713.0</v>
      </c>
      <c r="H62" s="66">
        <v>2355.0</v>
      </c>
      <c r="I62" s="67">
        <v>2355.0</v>
      </c>
      <c r="J62" s="68">
        <f t="shared" ref="J62:L62" si="110">G62/max(G:G)</f>
        <v>0.7019289839</v>
      </c>
      <c r="K62" s="68">
        <f t="shared" si="110"/>
        <v>0.6724728726</v>
      </c>
      <c r="L62" s="68">
        <f t="shared" si="110"/>
        <v>0.6459133297</v>
      </c>
      <c r="M62" s="68">
        <f t="shared" si="3"/>
        <v>2.020315186</v>
      </c>
      <c r="N62" s="69">
        <f t="shared" si="4"/>
        <v>2357.826</v>
      </c>
      <c r="O62" s="69">
        <f t="shared" si="5"/>
        <v>1003.303476</v>
      </c>
      <c r="P62" s="69">
        <f>O62*4.35</f>
        <v>4364.370121</v>
      </c>
      <c r="Q62" s="71">
        <f t="shared" si="7"/>
        <v>8.122671823</v>
      </c>
      <c r="R62" s="72">
        <v>300.0</v>
      </c>
      <c r="S62" s="73" t="s">
        <v>292</v>
      </c>
      <c r="T62" s="73" t="s">
        <v>309</v>
      </c>
      <c r="U62" s="73" t="s">
        <v>267</v>
      </c>
      <c r="V62" s="74" t="s">
        <v>632</v>
      </c>
      <c r="W62" s="74" t="s">
        <v>633</v>
      </c>
      <c r="X62" s="74" t="s">
        <v>634</v>
      </c>
      <c r="Y62" s="74" t="s">
        <v>635</v>
      </c>
      <c r="Z62" s="74" t="s">
        <v>636</v>
      </c>
      <c r="AA62" s="75">
        <v>0.02</v>
      </c>
      <c r="AB62" s="76" t="s">
        <v>225</v>
      </c>
      <c r="AC62" s="76" t="s">
        <v>225</v>
      </c>
      <c r="AD62" s="75">
        <v>0.02</v>
      </c>
      <c r="AE62" s="76" t="s">
        <v>225</v>
      </c>
      <c r="AF62" s="76" t="s">
        <v>225</v>
      </c>
      <c r="AG62" s="75">
        <v>0.04</v>
      </c>
      <c r="AH62" s="75">
        <v>0.04</v>
      </c>
      <c r="AI62" s="76" t="s">
        <v>225</v>
      </c>
      <c r="AJ62" s="75">
        <v>0.02</v>
      </c>
      <c r="AK62" s="76" t="s">
        <v>225</v>
      </c>
      <c r="AL62" s="76" t="s">
        <v>225</v>
      </c>
      <c r="AM62" s="77" t="s">
        <v>637</v>
      </c>
      <c r="AN62" s="78" t="s">
        <v>237</v>
      </c>
      <c r="AO62" s="79"/>
      <c r="AP62" s="79"/>
      <c r="AQ62" s="79"/>
      <c r="AR62" s="79"/>
      <c r="AS62" s="79"/>
      <c r="AT62" s="79"/>
      <c r="AU62" s="79"/>
      <c r="AV62" s="79"/>
      <c r="AW62" s="79"/>
      <c r="AX62" s="79"/>
      <c r="AY62" s="79"/>
      <c r="AZ62" s="79"/>
      <c r="BA62" s="80"/>
    </row>
    <row r="63" ht="82.5" customHeight="1">
      <c r="A63" s="83" t="s">
        <v>638</v>
      </c>
      <c r="B63" s="90" t="str">
        <f>image("https://i.imgur.com/k56vOxT.png")</f>
        <v/>
      </c>
      <c r="C63" s="63" t="s">
        <v>588</v>
      </c>
      <c r="D63" s="81" t="str">
        <f>image("https://i.imgur.com/hX15sR0.png")</f>
        <v/>
      </c>
      <c r="E63" s="64" t="str">
        <f t="shared" si="108"/>
        <v/>
      </c>
      <c r="F63" s="64" t="str">
        <f>image("https://i.imgur.com/yduAVsz.png")</f>
        <v/>
      </c>
      <c r="G63" s="84">
        <v>5479.0</v>
      </c>
      <c r="H63" s="85">
        <v>2539.0</v>
      </c>
      <c r="I63" s="86">
        <v>2070.0</v>
      </c>
      <c r="J63" s="68">
        <f t="shared" ref="J63:L63" si="111">G63/max(G:G)</f>
        <v>0.6731785232</v>
      </c>
      <c r="K63" s="68">
        <f t="shared" si="111"/>
        <v>0.7250142776</v>
      </c>
      <c r="L63" s="68">
        <f t="shared" si="111"/>
        <v>0.5677454745</v>
      </c>
      <c r="M63" s="68">
        <f t="shared" si="3"/>
        <v>1.965938275</v>
      </c>
      <c r="N63" s="69">
        <f t="shared" si="4"/>
        <v>2542.0468</v>
      </c>
      <c r="O63" s="69">
        <f t="shared" si="5"/>
        <v>1279.972867</v>
      </c>
      <c r="P63" s="69">
        <f>O63*4.2</f>
        <v>5375.886042</v>
      </c>
      <c r="Q63" s="71">
        <f t="shared" si="7"/>
        <v>6.909205549</v>
      </c>
      <c r="R63" s="76">
        <v>450.0</v>
      </c>
      <c r="S63" s="74" t="s">
        <v>228</v>
      </c>
      <c r="T63" s="74" t="s">
        <v>229</v>
      </c>
      <c r="U63" s="74" t="s">
        <v>230</v>
      </c>
      <c r="V63" s="74" t="s">
        <v>639</v>
      </c>
      <c r="W63" s="74" t="s">
        <v>640</v>
      </c>
      <c r="X63" s="74" t="s">
        <v>641</v>
      </c>
      <c r="Y63" s="74" t="s">
        <v>440</v>
      </c>
      <c r="Z63" s="74" t="s">
        <v>441</v>
      </c>
      <c r="AA63" s="75">
        <v>0.08</v>
      </c>
      <c r="AB63" s="76" t="s">
        <v>225</v>
      </c>
      <c r="AC63" s="76" t="s">
        <v>225</v>
      </c>
      <c r="AD63" s="75">
        <v>0.02</v>
      </c>
      <c r="AE63" s="76" t="s">
        <v>225</v>
      </c>
      <c r="AF63" s="76" t="s">
        <v>225</v>
      </c>
      <c r="AG63" s="75">
        <v>0.02</v>
      </c>
      <c r="AH63" s="76" t="s">
        <v>225</v>
      </c>
      <c r="AI63" s="76" t="s">
        <v>225</v>
      </c>
      <c r="AJ63" s="75">
        <v>0.02</v>
      </c>
      <c r="AK63" s="76" t="s">
        <v>225</v>
      </c>
      <c r="AL63" s="76" t="s">
        <v>225</v>
      </c>
      <c r="AM63" s="87" t="s">
        <v>642</v>
      </c>
      <c r="AN63" s="78" t="s">
        <v>237</v>
      </c>
      <c r="AO63" s="88"/>
      <c r="AP63" s="88"/>
      <c r="AQ63" s="88"/>
      <c r="AR63" s="88"/>
      <c r="AS63" s="88"/>
      <c r="AT63" s="88"/>
      <c r="AU63" s="88"/>
      <c r="AV63" s="88"/>
      <c r="AW63" s="88"/>
      <c r="AX63" s="88"/>
      <c r="AY63" s="88"/>
      <c r="AZ63" s="88"/>
      <c r="BA63" s="89"/>
    </row>
  </sheetData>
  <conditionalFormatting sqref="D1:D63">
    <cfRule type="containsText" dxfId="0" priority="1" operator="containsText" text="Fire">
      <formula>NOT(ISERROR(SEARCH(("Fire"),(D1))))</formula>
    </cfRule>
  </conditionalFormatting>
  <conditionalFormatting sqref="D1:D63">
    <cfRule type="containsText" dxfId="1" priority="2" operator="containsText" text="Water">
      <formula>NOT(ISERROR(SEARCH(("Water"),(D1))))</formula>
    </cfRule>
  </conditionalFormatting>
  <conditionalFormatting sqref="D1:D63">
    <cfRule type="containsText" dxfId="2" priority="3" operator="containsText" text="Sky">
      <formula>NOT(ISERROR(SEARCH(("Sky"),(D1))))</formula>
    </cfRule>
  </conditionalFormatting>
  <conditionalFormatting sqref="D1:D63">
    <cfRule type="containsText" dxfId="3" priority="4" operator="containsText" text="Light">
      <formula>NOT(ISERROR(SEARCH(("Light"),(D1))))</formula>
    </cfRule>
  </conditionalFormatting>
  <conditionalFormatting sqref="D1:D63">
    <cfRule type="cellIs" dxfId="4" priority="5" operator="equal">
      <formula>"Dark"</formula>
    </cfRule>
  </conditionalFormatting>
  <conditionalFormatting sqref="D1:D63">
    <cfRule type="cellIs" dxfId="5" priority="6" operator="equal">
      <formula>"Wind"</formula>
    </cfRule>
  </conditionalFormatting>
  <conditionalFormatting sqref="D1:D63">
    <cfRule type="cellIs" dxfId="6" priority="7" operator="equal">
      <formula>"Earth"</formula>
    </cfRule>
  </conditionalFormatting>
  <dataValidations>
    <dataValidation type="list" allowBlank="1" sqref="Y2:Z63">
      <formula1>Traits!$C$2:$C$1086</formula1>
    </dataValidation>
    <dataValidation type="list" allowBlank="1" sqref="V2:X63">
      <formula1>Skills!$E$2:$E$240</formula1>
    </dataValidation>
  </dataValidations>
  <hyperlinks>
    <hyperlink r:id="rId2" location="gid=754790084" ref="AN3"/>
    <hyperlink r:id="rId3" location="gid=754790084" ref="AN4"/>
    <hyperlink r:id="rId4" location="gid=754790084" ref="AN6"/>
    <hyperlink r:id="rId5" location="gid=754790084" ref="AN7"/>
    <hyperlink r:id="rId6" location="gid=754790084" ref="AN9"/>
    <hyperlink r:id="rId7" location="gid=754790084" ref="AN10"/>
    <hyperlink r:id="rId8" location="gid=754790084" ref="AN11"/>
    <hyperlink r:id="rId9" location="gid=754790084" ref="AN12"/>
    <hyperlink r:id="rId10" location="gid=754790084" ref="AN13"/>
    <hyperlink r:id="rId11" location="gid=754790084" ref="AN14"/>
    <hyperlink r:id="rId12" location="gid=754790084" ref="AN15"/>
    <hyperlink r:id="rId13" location="gid=754790084" ref="AN17"/>
    <hyperlink r:id="rId14" location="gid=754790084" ref="AN19"/>
    <hyperlink r:id="rId15" location="gid=754790084" ref="AN21"/>
    <hyperlink r:id="rId16" location="gid=754790084" ref="AN23"/>
    <hyperlink r:id="rId17" location="gid=754790084" ref="AN24"/>
    <hyperlink r:id="rId18" location="gid=754790084" ref="AN25"/>
    <hyperlink r:id="rId19" location="gid=754790084" ref="AN26"/>
    <hyperlink r:id="rId20" location="gid=754790084" ref="AN27"/>
    <hyperlink r:id="rId21" location="gid=754790084" ref="AN28"/>
    <hyperlink r:id="rId22" location="gid=754790084" ref="AN29"/>
    <hyperlink r:id="rId23" location="gid=754790084" ref="AN30"/>
    <hyperlink r:id="rId24" location="gid=754790084" ref="AN31"/>
    <hyperlink r:id="rId25" location="gid=754790084" ref="AN32"/>
    <hyperlink r:id="rId26" location="gid=754790084" ref="AN33"/>
    <hyperlink r:id="rId27" location="gid=754790084" ref="AN34"/>
    <hyperlink r:id="rId28" location="gid=754790084" ref="AN35"/>
    <hyperlink r:id="rId29" location="gid=754790084" ref="AN36"/>
    <hyperlink r:id="rId30" location="gid=754790084" ref="AN37"/>
    <hyperlink r:id="rId31" location="gid=754790084" ref="AN38"/>
    <hyperlink r:id="rId32" location="gid=754790084" ref="AN39"/>
    <hyperlink r:id="rId33" location="gid=754790084" ref="AN40"/>
    <hyperlink r:id="rId34" location="gid=754790084" ref="AN41"/>
    <hyperlink r:id="rId35" location="gid=754790084" ref="AN42"/>
    <hyperlink r:id="rId36" location="gid=754790084" ref="AN43"/>
    <hyperlink r:id="rId37" location="gid=754790084" ref="AN44"/>
    <hyperlink r:id="rId38" location="gid=754790084" ref="AN45"/>
    <hyperlink r:id="rId39" location="gid=754790084" ref="AN46"/>
    <hyperlink r:id="rId40" location="gid=754790084" ref="AN49"/>
    <hyperlink r:id="rId41" location="gid=754790084" ref="AN50"/>
    <hyperlink r:id="rId42" location="gid=754790084" ref="AN51"/>
    <hyperlink r:id="rId43" location="gid=754790084" ref="AN52"/>
    <hyperlink r:id="rId44" location="gid=754790084" ref="AN53"/>
    <hyperlink r:id="rId45" location="gid=754790084" ref="AN54"/>
    <hyperlink r:id="rId46" location="gid=754790084" ref="AN55"/>
    <hyperlink r:id="rId47" location="gid=754790084" ref="AN56"/>
    <hyperlink r:id="rId48" location="gid=754790084" ref="AN57"/>
    <hyperlink r:id="rId49" location="gid=754790084" ref="AN58"/>
    <hyperlink r:id="rId50" location="gid=754790084" ref="AN59"/>
    <hyperlink r:id="rId51" location="gid=754790084" ref="AN60"/>
    <hyperlink r:id="rId52" location="gid=754790084" ref="AN61"/>
    <hyperlink r:id="rId53" location="gid=754790084" ref="AN62"/>
    <hyperlink r:id="rId54" location="gid=754790084" ref="AN63"/>
  </hyperlinks>
  <drawing r:id="rId55"/>
  <legacyDrawing r:id="rId56"/>
  <tableParts count="1">
    <tablePart r:id="rId58"/>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8.71"/>
    <col customWidth="1" min="2" max="2" width="15.29"/>
    <col customWidth="1" min="3" max="3" width="8.29"/>
    <col customWidth="1" min="4" max="4" width="6.86"/>
    <col customWidth="1" min="5" max="5" width="8.14"/>
    <col customWidth="1" min="6" max="7" width="9.14"/>
    <col customWidth="1" min="8" max="8" width="6.43"/>
    <col customWidth="1" hidden="1" min="9" max="11" width="11.57"/>
    <col customWidth="1" min="12" max="12" width="14.86"/>
    <col customWidth="1" min="13" max="13" width="11.57"/>
    <col customWidth="1" min="14" max="15" width="20.43"/>
    <col customWidth="1" min="16" max="16" width="42.57"/>
    <col customWidth="1" min="17" max="17" width="44.14"/>
    <col customWidth="1" min="18" max="19" width="43.14"/>
  </cols>
  <sheetData>
    <row r="1">
      <c r="A1" s="103" t="s">
        <v>166</v>
      </c>
      <c r="B1" s="47" t="s">
        <v>43</v>
      </c>
      <c r="C1" s="47" t="s">
        <v>167</v>
      </c>
      <c r="D1" s="47" t="s">
        <v>168</v>
      </c>
      <c r="E1" s="48" t="s">
        <v>170</v>
      </c>
      <c r="F1" s="49" t="s">
        <v>171</v>
      </c>
      <c r="G1" s="50" t="s">
        <v>172</v>
      </c>
      <c r="H1" s="51" t="s">
        <v>173</v>
      </c>
      <c r="I1" s="52" t="s">
        <v>174</v>
      </c>
      <c r="J1" s="52" t="s">
        <v>175</v>
      </c>
      <c r="K1" s="52" t="s">
        <v>176</v>
      </c>
      <c r="L1" s="104" t="s">
        <v>177</v>
      </c>
      <c r="M1" s="47" t="s">
        <v>182</v>
      </c>
      <c r="N1" s="105" t="s">
        <v>643</v>
      </c>
      <c r="O1" s="105" t="s">
        <v>644</v>
      </c>
      <c r="P1" s="105" t="s">
        <v>645</v>
      </c>
      <c r="Q1" s="105" t="s">
        <v>646</v>
      </c>
      <c r="R1" s="105" t="s">
        <v>647</v>
      </c>
      <c r="S1" s="105" t="s">
        <v>648</v>
      </c>
    </row>
    <row r="2" ht="71.25" customHeight="1">
      <c r="A2" s="106" t="s">
        <v>649</v>
      </c>
      <c r="B2" s="62" t="str">
        <f>image("https://i.imgur.com/ASrLo8l.png")</f>
        <v/>
      </c>
      <c r="C2" s="107" t="s">
        <v>216</v>
      </c>
      <c r="D2" s="46" t="str">
        <f>image("https://i.imgur.com/NchScWh.png")</f>
        <v/>
      </c>
      <c r="E2" s="64" t="str">
        <f t="shared" ref="E2:E4" si="2">image("https://i.imgur.com/P4N7gFs.png")</f>
        <v/>
      </c>
      <c r="F2" s="65">
        <v>3585.0</v>
      </c>
      <c r="G2" s="66">
        <v>1164.0</v>
      </c>
      <c r="H2" s="67">
        <v>1471.0</v>
      </c>
      <c r="I2" s="108">
        <f t="shared" ref="I2:K2" si="1">F2/max(F:F)</f>
        <v>1</v>
      </c>
      <c r="J2" s="108">
        <f t="shared" si="1"/>
        <v>0.8811506435</v>
      </c>
      <c r="K2" s="108">
        <f t="shared" si="1"/>
        <v>1</v>
      </c>
      <c r="L2" s="68">
        <f t="shared" ref="L2:L27" si="4">sum(I2:K2)</f>
        <v>2.881150643</v>
      </c>
      <c r="M2" s="72">
        <v>220.0</v>
      </c>
      <c r="N2" s="109" t="s">
        <v>650</v>
      </c>
      <c r="O2" s="110" t="s">
        <v>651</v>
      </c>
      <c r="P2" s="111" t="s">
        <v>652</v>
      </c>
      <c r="Q2" s="111" t="s">
        <v>653</v>
      </c>
      <c r="R2" s="74" t="s">
        <v>654</v>
      </c>
      <c r="S2" s="74" t="s">
        <v>655</v>
      </c>
    </row>
    <row r="3" ht="71.25" customHeight="1">
      <c r="A3" s="106" t="s">
        <v>656</v>
      </c>
      <c r="B3" s="62" t="str">
        <f>image("https://i.imgur.com/1ZDYfr8.png")</f>
        <v/>
      </c>
      <c r="C3" s="107" t="s">
        <v>216</v>
      </c>
      <c r="D3" s="46" t="str">
        <f>image("https://i.imgur.com/AHPti72.png")</f>
        <v/>
      </c>
      <c r="E3" s="64" t="str">
        <f t="shared" si="2"/>
        <v/>
      </c>
      <c r="F3" s="65">
        <v>3579.0</v>
      </c>
      <c r="G3" s="66">
        <v>1165.0</v>
      </c>
      <c r="H3" s="67">
        <v>1469.0</v>
      </c>
      <c r="I3" s="108">
        <f t="shared" ref="I3:K3" si="3">F3/max(F:F)</f>
        <v>0.9983263598</v>
      </c>
      <c r="J3" s="108">
        <f t="shared" si="3"/>
        <v>0.8819076457</v>
      </c>
      <c r="K3" s="108">
        <f t="shared" si="3"/>
        <v>0.9986403807</v>
      </c>
      <c r="L3" s="68">
        <f t="shared" si="4"/>
        <v>2.878874386</v>
      </c>
      <c r="M3" s="72">
        <v>220.0</v>
      </c>
      <c r="N3" s="112" t="s">
        <v>657</v>
      </c>
      <c r="O3" s="109" t="s">
        <v>658</v>
      </c>
      <c r="P3" s="111" t="s">
        <v>659</v>
      </c>
      <c r="Q3" s="111" t="s">
        <v>660</v>
      </c>
      <c r="R3" s="74" t="s">
        <v>661</v>
      </c>
      <c r="S3" s="74" t="s">
        <v>662</v>
      </c>
    </row>
    <row r="4" ht="71.25" customHeight="1">
      <c r="A4" s="106" t="s">
        <v>663</v>
      </c>
      <c r="B4" s="62" t="str">
        <f>image("https://i.imgur.com/1Ieiws0.png")</f>
        <v/>
      </c>
      <c r="C4" s="107" t="s">
        <v>216</v>
      </c>
      <c r="D4" s="46" t="str">
        <f t="shared" ref="D4:D5" si="6">image("https://i.imgur.com/pQYVkI3.png")</f>
        <v/>
      </c>
      <c r="E4" s="64" t="str">
        <f t="shared" si="2"/>
        <v/>
      </c>
      <c r="F4" s="65">
        <v>3581.0</v>
      </c>
      <c r="G4" s="66">
        <v>1171.0</v>
      </c>
      <c r="H4" s="67">
        <v>1446.0</v>
      </c>
      <c r="I4" s="108">
        <f t="shared" ref="I4:K4" si="5">F4/max(F:F)</f>
        <v>0.9988842399</v>
      </c>
      <c r="J4" s="108">
        <f t="shared" si="5"/>
        <v>0.8864496593</v>
      </c>
      <c r="K4" s="108">
        <f t="shared" si="5"/>
        <v>0.9830047587</v>
      </c>
      <c r="L4" s="68">
        <f t="shared" si="4"/>
        <v>2.868338658</v>
      </c>
      <c r="M4" s="72">
        <v>220.0</v>
      </c>
      <c r="N4" s="113" t="s">
        <v>664</v>
      </c>
      <c r="O4" s="109" t="s">
        <v>658</v>
      </c>
      <c r="P4" s="111" t="s">
        <v>665</v>
      </c>
      <c r="Q4" s="111" t="s">
        <v>666</v>
      </c>
      <c r="R4" s="74" t="s">
        <v>667</v>
      </c>
      <c r="S4" s="74" t="s">
        <v>668</v>
      </c>
    </row>
    <row r="5" ht="71.25" customHeight="1">
      <c r="A5" s="106" t="s">
        <v>669</v>
      </c>
      <c r="B5" s="62" t="str">
        <f>image("https://i.imgur.com/V1SHqsU.png")</f>
        <v/>
      </c>
      <c r="C5" s="107" t="s">
        <v>216</v>
      </c>
      <c r="D5" s="46" t="str">
        <f t="shared" si="6"/>
        <v/>
      </c>
      <c r="E5" s="64" t="str">
        <f t="shared" ref="E5:E9" si="8">image("https://i.imgur.com/MLuLYZy.png")</f>
        <v/>
      </c>
      <c r="F5" s="65">
        <v>3062.0</v>
      </c>
      <c r="G5" s="66">
        <v>1316.0</v>
      </c>
      <c r="H5" s="67">
        <v>1316.0</v>
      </c>
      <c r="I5" s="108">
        <f t="shared" ref="I5:K5" si="7">F5/max(F:F)</f>
        <v>0.8541143654</v>
      </c>
      <c r="J5" s="108">
        <f t="shared" si="7"/>
        <v>0.9962149886</v>
      </c>
      <c r="K5" s="108">
        <f t="shared" si="7"/>
        <v>0.8946295037</v>
      </c>
      <c r="L5" s="68">
        <f t="shared" si="4"/>
        <v>2.744958858</v>
      </c>
      <c r="M5" s="72">
        <v>220.0</v>
      </c>
      <c r="N5" s="113" t="s">
        <v>664</v>
      </c>
      <c r="O5" s="114" t="s">
        <v>670</v>
      </c>
      <c r="P5" s="111" t="s">
        <v>671</v>
      </c>
      <c r="Q5" s="111" t="s">
        <v>672</v>
      </c>
      <c r="R5" s="74" t="s">
        <v>673</v>
      </c>
      <c r="S5" s="74" t="s">
        <v>674</v>
      </c>
    </row>
    <row r="6" ht="87.0" customHeight="1">
      <c r="A6" s="106" t="s">
        <v>675</v>
      </c>
      <c r="B6" s="62" t="str">
        <f>image("https://i.imgur.com/PpgoR7K.png")</f>
        <v/>
      </c>
      <c r="C6" s="107" t="s">
        <v>216</v>
      </c>
      <c r="D6" s="46" t="str">
        <f>image("https://i.imgur.com/hX15sR0.png")</f>
        <v/>
      </c>
      <c r="E6" s="64" t="str">
        <f t="shared" si="8"/>
        <v/>
      </c>
      <c r="F6" s="65">
        <v>3059.0</v>
      </c>
      <c r="G6" s="66">
        <v>1315.0</v>
      </c>
      <c r="H6" s="67">
        <v>1317.0</v>
      </c>
      <c r="I6" s="108">
        <f t="shared" ref="I6:K6" si="9">F6/max(F:F)</f>
        <v>0.8532775453</v>
      </c>
      <c r="J6" s="108">
        <f t="shared" si="9"/>
        <v>0.9954579864</v>
      </c>
      <c r="K6" s="108">
        <f t="shared" si="9"/>
        <v>0.8953093134</v>
      </c>
      <c r="L6" s="68">
        <f t="shared" si="4"/>
        <v>2.744044845</v>
      </c>
      <c r="M6" s="72">
        <v>220.0</v>
      </c>
      <c r="N6" s="115" t="s">
        <v>676</v>
      </c>
      <c r="O6" s="112" t="s">
        <v>677</v>
      </c>
      <c r="P6" s="111" t="s">
        <v>678</v>
      </c>
      <c r="Q6" s="111" t="s">
        <v>679</v>
      </c>
      <c r="R6" s="74" t="s">
        <v>654</v>
      </c>
      <c r="S6" s="74" t="s">
        <v>655</v>
      </c>
    </row>
    <row r="7" ht="71.25" customHeight="1">
      <c r="A7" s="106" t="s">
        <v>680</v>
      </c>
      <c r="B7" s="62" t="str">
        <f>image("https://i.imgur.com/vYXOllq.png")</f>
        <v/>
      </c>
      <c r="C7" s="107" t="s">
        <v>216</v>
      </c>
      <c r="D7" s="46" t="str">
        <f>image("https://i.imgur.com/QndVudD.png")</f>
        <v/>
      </c>
      <c r="E7" s="64" t="str">
        <f t="shared" si="8"/>
        <v/>
      </c>
      <c r="F7" s="65">
        <v>3045.0</v>
      </c>
      <c r="G7" s="66">
        <v>1321.0</v>
      </c>
      <c r="H7" s="67">
        <v>1309.0</v>
      </c>
      <c r="I7" s="108">
        <f t="shared" ref="I7:K7" si="10">F7/max(F:F)</f>
        <v>0.8493723849</v>
      </c>
      <c r="J7" s="108">
        <f t="shared" si="10"/>
        <v>1</v>
      </c>
      <c r="K7" s="108">
        <f t="shared" si="10"/>
        <v>0.8898708362</v>
      </c>
      <c r="L7" s="68">
        <f t="shared" si="4"/>
        <v>2.739243221</v>
      </c>
      <c r="M7" s="72">
        <v>220.0</v>
      </c>
      <c r="N7" s="116" t="s">
        <v>681</v>
      </c>
      <c r="O7" s="113" t="s">
        <v>682</v>
      </c>
      <c r="P7" s="111" t="s">
        <v>683</v>
      </c>
      <c r="Q7" s="117" t="s">
        <v>684</v>
      </c>
      <c r="R7" s="74" t="s">
        <v>685</v>
      </c>
      <c r="S7" s="74" t="s">
        <v>686</v>
      </c>
    </row>
    <row r="8" ht="71.25" customHeight="1">
      <c r="A8" s="106" t="s">
        <v>687</v>
      </c>
      <c r="B8" s="62" t="str">
        <f>image("https://i.imgur.com/qbkoP0V.png")</f>
        <v/>
      </c>
      <c r="C8" s="107" t="s">
        <v>216</v>
      </c>
      <c r="D8" s="81" t="str">
        <f>image("https://i.imgur.com/pzX6NRL.png")</f>
        <v/>
      </c>
      <c r="E8" s="64" t="str">
        <f t="shared" si="8"/>
        <v/>
      </c>
      <c r="F8" s="65">
        <v>3051.0</v>
      </c>
      <c r="G8" s="66">
        <v>1312.0</v>
      </c>
      <c r="H8" s="67">
        <v>1311.0</v>
      </c>
      <c r="I8" s="108">
        <f t="shared" ref="I8:K8" si="11">F8/max(F:F)</f>
        <v>0.8510460251</v>
      </c>
      <c r="J8" s="108">
        <f t="shared" si="11"/>
        <v>0.9931869796</v>
      </c>
      <c r="K8" s="108">
        <f t="shared" si="11"/>
        <v>0.8912304555</v>
      </c>
      <c r="L8" s="68">
        <f t="shared" si="4"/>
        <v>2.73546346</v>
      </c>
      <c r="M8" s="72">
        <v>220.0</v>
      </c>
      <c r="N8" s="114" t="s">
        <v>688</v>
      </c>
      <c r="O8" s="116" t="s">
        <v>689</v>
      </c>
      <c r="P8" s="111" t="s">
        <v>690</v>
      </c>
      <c r="Q8" s="111" t="s">
        <v>691</v>
      </c>
      <c r="R8" s="74" t="s">
        <v>692</v>
      </c>
      <c r="S8" s="74" t="s">
        <v>693</v>
      </c>
    </row>
    <row r="9" ht="71.25" customHeight="1">
      <c r="A9" s="106" t="s">
        <v>694</v>
      </c>
      <c r="B9" s="62" t="str">
        <f>image("https://i.imgur.com/qm1V181.png")</f>
        <v/>
      </c>
      <c r="C9" s="107" t="s">
        <v>216</v>
      </c>
      <c r="D9" s="46" t="str">
        <f>image("https://i.imgur.com/z8bnSYg.png")</f>
        <v/>
      </c>
      <c r="E9" s="64" t="str">
        <f t="shared" si="8"/>
        <v/>
      </c>
      <c r="F9" s="65">
        <v>3058.0</v>
      </c>
      <c r="G9" s="66">
        <v>1309.0</v>
      </c>
      <c r="H9" s="67">
        <v>1310.0</v>
      </c>
      <c r="I9" s="108">
        <f t="shared" ref="I9:K9" si="12">F9/max(F:F)</f>
        <v>0.8529986053</v>
      </c>
      <c r="J9" s="108">
        <f t="shared" si="12"/>
        <v>0.9909159727</v>
      </c>
      <c r="K9" s="108">
        <f t="shared" si="12"/>
        <v>0.8905506458</v>
      </c>
      <c r="L9" s="68">
        <f t="shared" si="4"/>
        <v>2.734465224</v>
      </c>
      <c r="M9" s="72">
        <v>220.0</v>
      </c>
      <c r="N9" s="110" t="s">
        <v>695</v>
      </c>
      <c r="O9" s="113" t="s">
        <v>682</v>
      </c>
      <c r="P9" s="111" t="s">
        <v>696</v>
      </c>
      <c r="Q9" s="111" t="s">
        <v>697</v>
      </c>
      <c r="R9" s="74" t="s">
        <v>698</v>
      </c>
      <c r="S9" s="74" t="s">
        <v>699</v>
      </c>
    </row>
    <row r="10" ht="71.25" customHeight="1">
      <c r="A10" s="106" t="s">
        <v>700</v>
      </c>
      <c r="B10" s="62" t="str">
        <f>image("https://i.imgur.com/xyONEpn.png")</f>
        <v/>
      </c>
      <c r="C10" s="107" t="s">
        <v>216</v>
      </c>
      <c r="D10" s="46" t="str">
        <f>image("https://i.imgur.com/QndVudD.png")</f>
        <v/>
      </c>
      <c r="E10" s="64" t="str">
        <f t="shared" ref="E10:E12" si="14">image("https://i.imgur.com/yduAVsz.png")</f>
        <v/>
      </c>
      <c r="F10" s="65">
        <v>3471.0</v>
      </c>
      <c r="G10" s="66">
        <v>1285.0</v>
      </c>
      <c r="H10" s="67">
        <v>1129.0</v>
      </c>
      <c r="I10" s="108">
        <f t="shared" ref="I10:K10" si="13">F10/max(F:F)</f>
        <v>0.9682008368</v>
      </c>
      <c r="J10" s="108">
        <f t="shared" si="13"/>
        <v>0.9727479182</v>
      </c>
      <c r="K10" s="108">
        <f t="shared" si="13"/>
        <v>0.7675050986</v>
      </c>
      <c r="L10" s="68">
        <f t="shared" si="4"/>
        <v>2.708453854</v>
      </c>
      <c r="M10" s="72">
        <v>220.0</v>
      </c>
      <c r="N10" s="116" t="s">
        <v>681</v>
      </c>
      <c r="O10" s="115" t="s">
        <v>701</v>
      </c>
      <c r="P10" s="111" t="s">
        <v>702</v>
      </c>
      <c r="Q10" s="111" t="s">
        <v>703</v>
      </c>
      <c r="R10" s="74" t="s">
        <v>704</v>
      </c>
      <c r="S10" s="74" t="s">
        <v>705</v>
      </c>
    </row>
    <row r="11" ht="71.25" customHeight="1">
      <c r="A11" s="106" t="s">
        <v>706</v>
      </c>
      <c r="B11" s="62" t="str">
        <f>image("https://i.imgur.com/rsT9HWg.png")</f>
        <v/>
      </c>
      <c r="C11" s="107" t="s">
        <v>216</v>
      </c>
      <c r="D11" s="46" t="str">
        <f>image("https://i.imgur.com/hX15sR0.png")</f>
        <v/>
      </c>
      <c r="E11" s="64" t="str">
        <f t="shared" si="14"/>
        <v/>
      </c>
      <c r="F11" s="65">
        <v>3470.0</v>
      </c>
      <c r="G11" s="66">
        <v>1289.0</v>
      </c>
      <c r="H11" s="67">
        <v>1119.0</v>
      </c>
      <c r="I11" s="108">
        <f t="shared" ref="I11:K11" si="15">F11/max(F:F)</f>
        <v>0.9679218968</v>
      </c>
      <c r="J11" s="108">
        <f t="shared" si="15"/>
        <v>0.9757759273</v>
      </c>
      <c r="K11" s="108">
        <f t="shared" si="15"/>
        <v>0.760707002</v>
      </c>
      <c r="L11" s="68">
        <f t="shared" si="4"/>
        <v>2.704404826</v>
      </c>
      <c r="M11" s="72">
        <v>220.0</v>
      </c>
      <c r="N11" s="115" t="s">
        <v>676</v>
      </c>
      <c r="O11" s="112" t="s">
        <v>677</v>
      </c>
      <c r="P11" s="111" t="s">
        <v>707</v>
      </c>
      <c r="Q11" s="111" t="s">
        <v>708</v>
      </c>
      <c r="R11" s="74" t="s">
        <v>709</v>
      </c>
      <c r="S11" s="74" t="s">
        <v>710</v>
      </c>
    </row>
    <row r="12" ht="71.25" customHeight="1">
      <c r="A12" s="106" t="s">
        <v>711</v>
      </c>
      <c r="B12" s="62" t="str">
        <f>image("https://i.imgur.com/BEbqTOq.png")</f>
        <v/>
      </c>
      <c r="C12" s="107" t="s">
        <v>216</v>
      </c>
      <c r="D12" s="81" t="str">
        <f t="shared" ref="D12:D13" si="17">image("https://i.imgur.com/pzX6NRL.png")</f>
        <v/>
      </c>
      <c r="E12" s="64" t="str">
        <f t="shared" si="14"/>
        <v/>
      </c>
      <c r="F12" s="65">
        <v>3469.0</v>
      </c>
      <c r="G12" s="66">
        <v>1280.0</v>
      </c>
      <c r="H12" s="67">
        <v>1129.0</v>
      </c>
      <c r="I12" s="108">
        <f t="shared" ref="I12:K12" si="16">F12/max(F:F)</f>
        <v>0.9676429568</v>
      </c>
      <c r="J12" s="108">
        <f t="shared" si="16"/>
        <v>0.9689629069</v>
      </c>
      <c r="K12" s="108">
        <f t="shared" si="16"/>
        <v>0.7675050986</v>
      </c>
      <c r="L12" s="68">
        <f t="shared" si="4"/>
        <v>2.704110962</v>
      </c>
      <c r="M12" s="72">
        <v>220.0</v>
      </c>
      <c r="N12" s="114" t="s">
        <v>688</v>
      </c>
      <c r="O12" s="116" t="s">
        <v>689</v>
      </c>
      <c r="P12" s="111" t="s">
        <v>712</v>
      </c>
      <c r="Q12" s="111" t="s">
        <v>713</v>
      </c>
      <c r="R12" s="74" t="s">
        <v>704</v>
      </c>
      <c r="S12" s="74" t="s">
        <v>705</v>
      </c>
    </row>
    <row r="13" ht="71.25" customHeight="1">
      <c r="A13" s="106" t="s">
        <v>714</v>
      </c>
      <c r="B13" s="62" t="str">
        <f>image("https://i.imgur.com/wJAG9ar.png")</f>
        <v/>
      </c>
      <c r="C13" s="107" t="s">
        <v>444</v>
      </c>
      <c r="D13" s="46" t="str">
        <f t="shared" si="17"/>
        <v/>
      </c>
      <c r="E13" s="64" t="str">
        <f t="shared" ref="E13:E18" si="19">image("https://i.imgur.com/P4N7gFs.png")</f>
        <v/>
      </c>
      <c r="F13" s="65">
        <v>3091.0</v>
      </c>
      <c r="G13" s="66">
        <v>969.0</v>
      </c>
      <c r="H13" s="67">
        <v>1178.0</v>
      </c>
      <c r="I13" s="108">
        <f t="shared" ref="I13:K13" si="18">F13/max(F:F)</f>
        <v>0.8622036262</v>
      </c>
      <c r="J13" s="108">
        <f t="shared" si="18"/>
        <v>0.7335352006</v>
      </c>
      <c r="K13" s="108">
        <f t="shared" si="18"/>
        <v>0.8008157716</v>
      </c>
      <c r="L13" s="68">
        <f t="shared" si="4"/>
        <v>2.396554598</v>
      </c>
      <c r="M13" s="72">
        <v>220.0</v>
      </c>
      <c r="N13" s="114" t="s">
        <v>688</v>
      </c>
      <c r="O13" s="118" t="s">
        <v>715</v>
      </c>
      <c r="P13" s="111" t="s">
        <v>716</v>
      </c>
      <c r="Q13" s="111" t="s">
        <v>717</v>
      </c>
      <c r="R13" s="74" t="s">
        <v>718</v>
      </c>
      <c r="S13" s="74" t="s">
        <v>719</v>
      </c>
    </row>
    <row r="14" ht="71.25" customHeight="1">
      <c r="A14" s="106" t="s">
        <v>720</v>
      </c>
      <c r="B14" s="62" t="str">
        <f>image("https://i.imgur.com/TLYWCKF.png")</f>
        <v/>
      </c>
      <c r="C14" s="107" t="s">
        <v>444</v>
      </c>
      <c r="D14" s="46" t="str">
        <f>image("https://i.imgur.com/pQYVkI3.png")</f>
        <v/>
      </c>
      <c r="E14" s="64" t="str">
        <f t="shared" si="19"/>
        <v/>
      </c>
      <c r="F14" s="65">
        <v>3088.0</v>
      </c>
      <c r="G14" s="66">
        <v>968.0</v>
      </c>
      <c r="H14" s="67">
        <v>1180.0</v>
      </c>
      <c r="I14" s="108">
        <f t="shared" ref="I14:K14" si="20">F14/max(F:F)</f>
        <v>0.8613668061</v>
      </c>
      <c r="J14" s="108">
        <f t="shared" si="20"/>
        <v>0.7327781983</v>
      </c>
      <c r="K14" s="108">
        <f t="shared" si="20"/>
        <v>0.8021753909</v>
      </c>
      <c r="L14" s="68">
        <f t="shared" si="4"/>
        <v>2.396320395</v>
      </c>
      <c r="M14" s="72">
        <v>220.0</v>
      </c>
      <c r="N14" s="113" t="s">
        <v>664</v>
      </c>
      <c r="O14" s="114" t="s">
        <v>670</v>
      </c>
      <c r="P14" s="111" t="s">
        <v>721</v>
      </c>
      <c r="Q14" s="111" t="s">
        <v>722</v>
      </c>
      <c r="R14" s="74" t="s">
        <v>723</v>
      </c>
      <c r="S14" s="74" t="s">
        <v>724</v>
      </c>
    </row>
    <row r="15" ht="71.25" customHeight="1">
      <c r="A15" s="106" t="s">
        <v>725</v>
      </c>
      <c r="B15" s="62" t="str">
        <f>image("https://i.imgur.com/N1kfk0R.png
")</f>
        <v/>
      </c>
      <c r="C15" s="107" t="s">
        <v>444</v>
      </c>
      <c r="D15" s="46" t="str">
        <f>image("https://i.imgur.com/QndVudD.png")</f>
        <v/>
      </c>
      <c r="E15" s="64" t="str">
        <f t="shared" si="19"/>
        <v/>
      </c>
      <c r="F15" s="65">
        <v>3088.0</v>
      </c>
      <c r="G15" s="66">
        <v>968.0</v>
      </c>
      <c r="H15" s="67">
        <v>1178.0</v>
      </c>
      <c r="I15" s="108">
        <f t="shared" ref="I15:K15" si="21">F15/max(F:F)</f>
        <v>0.8613668061</v>
      </c>
      <c r="J15" s="108">
        <f t="shared" si="21"/>
        <v>0.7327781983</v>
      </c>
      <c r="K15" s="108">
        <f t="shared" si="21"/>
        <v>0.8008157716</v>
      </c>
      <c r="L15" s="68">
        <f t="shared" si="4"/>
        <v>2.394960776</v>
      </c>
      <c r="M15" s="72">
        <v>220.0</v>
      </c>
      <c r="N15" s="116" t="s">
        <v>681</v>
      </c>
      <c r="O15" s="112" t="s">
        <v>677</v>
      </c>
      <c r="P15" s="111" t="s">
        <v>726</v>
      </c>
      <c r="Q15" s="111" t="s">
        <v>727</v>
      </c>
      <c r="R15" s="74" t="s">
        <v>728</v>
      </c>
      <c r="S15" s="74" t="s">
        <v>729</v>
      </c>
    </row>
    <row r="16" ht="71.25" customHeight="1">
      <c r="A16" s="106" t="s">
        <v>730</v>
      </c>
      <c r="B16" s="62" t="str">
        <f>image("https://i.imgur.com/Bp6WduK.png")</f>
        <v/>
      </c>
      <c r="C16" s="107" t="s">
        <v>588</v>
      </c>
      <c r="D16" s="72" t="str">
        <f t="shared" ref="D16:D17" si="23">image("https://i.imgur.com/EWYVugy.png")</f>
        <v/>
      </c>
      <c r="E16" s="64" t="str">
        <f t="shared" si="19"/>
        <v/>
      </c>
      <c r="F16" s="65">
        <v>2980.0</v>
      </c>
      <c r="G16" s="66">
        <v>925.0</v>
      </c>
      <c r="H16" s="67">
        <v>1118.0</v>
      </c>
      <c r="I16" s="108">
        <f t="shared" ref="I16:K16" si="22">F16/max(F:F)</f>
        <v>0.8312412831</v>
      </c>
      <c r="J16" s="108">
        <f t="shared" si="22"/>
        <v>0.7002271007</v>
      </c>
      <c r="K16" s="108">
        <f t="shared" si="22"/>
        <v>0.7600271924</v>
      </c>
      <c r="L16" s="68">
        <f t="shared" si="4"/>
        <v>2.291495576</v>
      </c>
      <c r="M16" s="72">
        <v>220.0</v>
      </c>
      <c r="N16" s="118" t="s">
        <v>731</v>
      </c>
      <c r="O16" s="116" t="s">
        <v>689</v>
      </c>
      <c r="P16" s="111" t="s">
        <v>732</v>
      </c>
      <c r="Q16" s="111" t="s">
        <v>733</v>
      </c>
      <c r="R16" s="74" t="s">
        <v>734</v>
      </c>
      <c r="S16" s="74" t="s">
        <v>735</v>
      </c>
    </row>
    <row r="17" ht="71.25" customHeight="1">
      <c r="A17" s="106" t="s">
        <v>736</v>
      </c>
      <c r="B17" s="62" t="str">
        <f>image("https://i.imgur.com/1X4MZ0s.png")</f>
        <v/>
      </c>
      <c r="C17" s="107" t="s">
        <v>588</v>
      </c>
      <c r="D17" s="72" t="str">
        <f t="shared" si="23"/>
        <v/>
      </c>
      <c r="E17" s="64" t="str">
        <f t="shared" si="19"/>
        <v/>
      </c>
      <c r="F17" s="65">
        <v>2983.0</v>
      </c>
      <c r="G17" s="66">
        <v>922.0</v>
      </c>
      <c r="H17" s="67">
        <v>1119.0</v>
      </c>
      <c r="I17" s="108">
        <f t="shared" ref="I17:K17" si="24">F17/max(F:F)</f>
        <v>0.8320781032</v>
      </c>
      <c r="J17" s="108">
        <f t="shared" si="24"/>
        <v>0.6979560939</v>
      </c>
      <c r="K17" s="108">
        <f t="shared" si="24"/>
        <v>0.760707002</v>
      </c>
      <c r="L17" s="68">
        <f t="shared" si="4"/>
        <v>2.290741199</v>
      </c>
      <c r="M17" s="72">
        <v>220.0</v>
      </c>
      <c r="N17" s="118" t="s">
        <v>731</v>
      </c>
      <c r="O17" s="115" t="s">
        <v>701</v>
      </c>
      <c r="P17" s="111" t="s">
        <v>737</v>
      </c>
      <c r="Q17" s="111" t="s">
        <v>738</v>
      </c>
      <c r="R17" s="74" t="s">
        <v>739</v>
      </c>
      <c r="S17" s="74" t="s">
        <v>740</v>
      </c>
    </row>
    <row r="18" ht="71.25" customHeight="1">
      <c r="A18" s="106" t="s">
        <v>741</v>
      </c>
      <c r="B18" s="62" t="str">
        <f>image("https://i.imgur.com/2AOQyiR.png")</f>
        <v/>
      </c>
      <c r="C18" s="107" t="s">
        <v>588</v>
      </c>
      <c r="D18" s="46" t="str">
        <f>image("https://i.imgur.com/SsC1hEj.png")</f>
        <v/>
      </c>
      <c r="E18" s="64" t="str">
        <f t="shared" si="19"/>
        <v/>
      </c>
      <c r="F18" s="65">
        <v>2982.0</v>
      </c>
      <c r="G18" s="66">
        <v>924.0</v>
      </c>
      <c r="H18" s="67">
        <v>1116.0</v>
      </c>
      <c r="I18" s="108">
        <f t="shared" ref="I18:K18" si="25">F18/max(F:F)</f>
        <v>0.8317991632</v>
      </c>
      <c r="J18" s="108">
        <f t="shared" si="25"/>
        <v>0.6994700984</v>
      </c>
      <c r="K18" s="108">
        <f t="shared" si="25"/>
        <v>0.7586675731</v>
      </c>
      <c r="L18" s="68">
        <f t="shared" si="4"/>
        <v>2.289936835</v>
      </c>
      <c r="M18" s="72">
        <v>220.0</v>
      </c>
      <c r="N18" s="118" t="s">
        <v>731</v>
      </c>
      <c r="O18" s="109" t="s">
        <v>658</v>
      </c>
      <c r="P18" s="111" t="s">
        <v>742</v>
      </c>
      <c r="Q18" s="111" t="s">
        <v>743</v>
      </c>
      <c r="R18" s="74" t="s">
        <v>744</v>
      </c>
      <c r="S18" s="74" t="s">
        <v>745</v>
      </c>
    </row>
    <row r="19" ht="71.25" customHeight="1">
      <c r="A19" s="106" t="s">
        <v>746</v>
      </c>
      <c r="B19" s="62" t="str">
        <f>image("https://i.imgur.com/YJ0KXiR.png")</f>
        <v/>
      </c>
      <c r="C19" s="107" t="s">
        <v>444</v>
      </c>
      <c r="D19" s="46" t="str">
        <f>image("https://i.imgur.com/hX15sR0.png")</f>
        <v/>
      </c>
      <c r="E19" s="64" t="str">
        <f t="shared" ref="E19:E20" si="27">image("https://i.imgur.com/MLuLYZy.png")</f>
        <v/>
      </c>
      <c r="F19" s="65">
        <v>2549.0</v>
      </c>
      <c r="G19" s="66">
        <v>1089.0</v>
      </c>
      <c r="H19" s="67">
        <v>1089.0</v>
      </c>
      <c r="I19" s="108">
        <f t="shared" ref="I19:K19" si="26">F19/max(F:F)</f>
        <v>0.7110181311</v>
      </c>
      <c r="J19" s="108">
        <f t="shared" si="26"/>
        <v>0.8243754731</v>
      </c>
      <c r="K19" s="108">
        <f t="shared" si="26"/>
        <v>0.7403127124</v>
      </c>
      <c r="L19" s="68">
        <f t="shared" si="4"/>
        <v>2.275706317</v>
      </c>
      <c r="M19" s="72">
        <v>220.0</v>
      </c>
      <c r="N19" s="115" t="s">
        <v>676</v>
      </c>
      <c r="O19" s="118" t="s">
        <v>715</v>
      </c>
      <c r="P19" s="111" t="s">
        <v>747</v>
      </c>
      <c r="Q19" s="111" t="s">
        <v>748</v>
      </c>
      <c r="R19" s="74" t="s">
        <v>749</v>
      </c>
      <c r="S19" s="74" t="s">
        <v>750</v>
      </c>
    </row>
    <row r="20" ht="71.25" customHeight="1">
      <c r="A20" s="106" t="s">
        <v>751</v>
      </c>
      <c r="B20" s="62" t="str">
        <f>image("https://i.imgur.com/gazKA5L.png")</f>
        <v/>
      </c>
      <c r="C20" s="107" t="s">
        <v>444</v>
      </c>
      <c r="D20" s="46" t="str">
        <f>image("https://i.imgur.com/NchScWh.png")</f>
        <v/>
      </c>
      <c r="E20" s="64" t="str">
        <f t="shared" si="27"/>
        <v/>
      </c>
      <c r="F20" s="65">
        <v>2551.0</v>
      </c>
      <c r="G20" s="66">
        <v>1085.0</v>
      </c>
      <c r="H20" s="67">
        <v>1084.0</v>
      </c>
      <c r="I20" s="108">
        <f t="shared" ref="I20:K20" si="28">F20/max(F:F)</f>
        <v>0.7115760112</v>
      </c>
      <c r="J20" s="108">
        <f t="shared" si="28"/>
        <v>0.821347464</v>
      </c>
      <c r="K20" s="108">
        <f t="shared" si="28"/>
        <v>0.7369136642</v>
      </c>
      <c r="L20" s="68">
        <f t="shared" si="4"/>
        <v>2.269837139</v>
      </c>
      <c r="M20" s="72">
        <v>220.0</v>
      </c>
      <c r="N20" s="109" t="s">
        <v>650</v>
      </c>
      <c r="O20" s="118" t="s">
        <v>715</v>
      </c>
      <c r="P20" s="111" t="s">
        <v>752</v>
      </c>
      <c r="Q20" s="111" t="s">
        <v>753</v>
      </c>
      <c r="R20" s="74" t="s">
        <v>754</v>
      </c>
      <c r="S20" s="74" t="s">
        <v>755</v>
      </c>
    </row>
    <row r="21" ht="71.25" customHeight="1">
      <c r="A21" s="106" t="s">
        <v>756</v>
      </c>
      <c r="B21" s="62" t="str">
        <f>image("https://i.imgur.com/oFdR7zZ.png")</f>
        <v/>
      </c>
      <c r="C21" s="107" t="s">
        <v>444</v>
      </c>
      <c r="D21" s="46" t="str">
        <f>image("https://i.imgur.com/z8bnSYg.png")</f>
        <v/>
      </c>
      <c r="E21" s="64" t="str">
        <f t="shared" ref="E21:E23" si="30">image("https://i.imgur.com/yduAVsz.png")</f>
        <v/>
      </c>
      <c r="F21" s="65">
        <v>2974.0</v>
      </c>
      <c r="G21" s="66">
        <v>1045.0</v>
      </c>
      <c r="H21" s="67">
        <v>928.0</v>
      </c>
      <c r="I21" s="108">
        <f t="shared" ref="I21:K21" si="29">F21/max(F:F)</f>
        <v>0.829567643</v>
      </c>
      <c r="J21" s="108">
        <f t="shared" si="29"/>
        <v>0.7910673732</v>
      </c>
      <c r="K21" s="108">
        <f t="shared" si="29"/>
        <v>0.6308633583</v>
      </c>
      <c r="L21" s="68">
        <f t="shared" si="4"/>
        <v>2.251498374</v>
      </c>
      <c r="M21" s="72">
        <v>220.0</v>
      </c>
      <c r="N21" s="110" t="s">
        <v>695</v>
      </c>
      <c r="O21" s="113" t="s">
        <v>682</v>
      </c>
      <c r="P21" s="111" t="s">
        <v>757</v>
      </c>
      <c r="Q21" s="111" t="s">
        <v>758</v>
      </c>
      <c r="R21" s="74" t="s">
        <v>759</v>
      </c>
      <c r="S21" s="74" t="s">
        <v>760</v>
      </c>
    </row>
    <row r="22" ht="71.25" customHeight="1">
      <c r="A22" s="106" t="s">
        <v>761</v>
      </c>
      <c r="B22" s="62" t="str">
        <f>image("https://i.imgur.com/pdAPoJb.png")</f>
        <v/>
      </c>
      <c r="C22" s="107" t="s">
        <v>444</v>
      </c>
      <c r="D22" s="46" t="str">
        <f>image("https://i.imgur.com/AHPti72.png")</f>
        <v/>
      </c>
      <c r="E22" s="64" t="str">
        <f t="shared" si="30"/>
        <v/>
      </c>
      <c r="F22" s="65">
        <v>2978.0</v>
      </c>
      <c r="G22" s="66">
        <v>1047.0</v>
      </c>
      <c r="H22" s="67">
        <v>922.0</v>
      </c>
      <c r="I22" s="108">
        <f t="shared" ref="I22:K22" si="31">F22/max(F:F)</f>
        <v>0.8306834031</v>
      </c>
      <c r="J22" s="108">
        <f t="shared" si="31"/>
        <v>0.7925813777</v>
      </c>
      <c r="K22" s="108">
        <f t="shared" si="31"/>
        <v>0.6267845003</v>
      </c>
      <c r="L22" s="68">
        <f t="shared" si="4"/>
        <v>2.250049281</v>
      </c>
      <c r="M22" s="72">
        <v>220.0</v>
      </c>
      <c r="N22" s="112" t="s">
        <v>657</v>
      </c>
      <c r="O22" s="116" t="s">
        <v>762</v>
      </c>
      <c r="P22" s="111" t="s">
        <v>763</v>
      </c>
      <c r="Q22" s="111" t="s">
        <v>764</v>
      </c>
      <c r="R22" s="74" t="s">
        <v>765</v>
      </c>
      <c r="S22" s="74" t="s">
        <v>766</v>
      </c>
    </row>
    <row r="23" ht="71.25" customHeight="1">
      <c r="A23" s="106" t="s">
        <v>767</v>
      </c>
      <c r="B23" s="62" t="str">
        <f>image("https://i.imgur.com/jFyGcfN.png")</f>
        <v/>
      </c>
      <c r="C23" s="107" t="s">
        <v>444</v>
      </c>
      <c r="D23" s="46" t="str">
        <f>image("https://i.imgur.com/NchScWh.png")</f>
        <v/>
      </c>
      <c r="E23" s="64" t="str">
        <f t="shared" si="30"/>
        <v/>
      </c>
      <c r="F23" s="65">
        <v>2973.0</v>
      </c>
      <c r="G23" s="66">
        <v>1047.0</v>
      </c>
      <c r="H23" s="67">
        <v>924.0</v>
      </c>
      <c r="I23" s="108">
        <f t="shared" ref="I23:K23" si="32">F23/max(F:F)</f>
        <v>0.8292887029</v>
      </c>
      <c r="J23" s="108">
        <f t="shared" si="32"/>
        <v>0.7925813777</v>
      </c>
      <c r="K23" s="108">
        <f t="shared" si="32"/>
        <v>0.6281441196</v>
      </c>
      <c r="L23" s="68">
        <f t="shared" si="4"/>
        <v>2.2500142</v>
      </c>
      <c r="M23" s="72">
        <v>220.0</v>
      </c>
      <c r="N23" s="109" t="s">
        <v>650</v>
      </c>
      <c r="O23" s="115" t="s">
        <v>701</v>
      </c>
      <c r="P23" s="111" t="s">
        <v>768</v>
      </c>
      <c r="Q23" s="111" t="s">
        <v>769</v>
      </c>
      <c r="R23" s="74" t="s">
        <v>770</v>
      </c>
      <c r="S23" s="74" t="s">
        <v>771</v>
      </c>
    </row>
    <row r="24" ht="71.25" customHeight="1">
      <c r="A24" s="106" t="s">
        <v>772</v>
      </c>
      <c r="B24" s="62" t="str">
        <f>image("https://i.imgur.com/F0YupqR.png")</f>
        <v/>
      </c>
      <c r="C24" s="107" t="s">
        <v>588</v>
      </c>
      <c r="D24" s="46" t="str">
        <f>image("https://i.imgur.com/SsC1hEj.png")</f>
        <v/>
      </c>
      <c r="E24" s="64" t="str">
        <f t="shared" ref="E24:E25" si="34">image("https://i.imgur.com/MLuLYZy.png")</f>
        <v/>
      </c>
      <c r="F24" s="65">
        <v>2453.0</v>
      </c>
      <c r="G24" s="66">
        <v>1037.0</v>
      </c>
      <c r="H24" s="67">
        <v>1036.0</v>
      </c>
      <c r="I24" s="108">
        <f t="shared" ref="I24:K24" si="33">F24/max(F:F)</f>
        <v>0.6842398884</v>
      </c>
      <c r="J24" s="108">
        <f t="shared" si="33"/>
        <v>0.785011355</v>
      </c>
      <c r="K24" s="108">
        <f t="shared" si="33"/>
        <v>0.7042828008</v>
      </c>
      <c r="L24" s="68">
        <f t="shared" si="4"/>
        <v>2.173534044</v>
      </c>
      <c r="M24" s="72">
        <v>220.0</v>
      </c>
      <c r="N24" s="118" t="s">
        <v>731</v>
      </c>
      <c r="O24" s="110" t="s">
        <v>651</v>
      </c>
      <c r="P24" s="111" t="s">
        <v>773</v>
      </c>
      <c r="Q24" s="111" t="s">
        <v>774</v>
      </c>
      <c r="R24" s="74" t="s">
        <v>775</v>
      </c>
      <c r="S24" s="74" t="s">
        <v>776</v>
      </c>
    </row>
    <row r="25" ht="71.25" customHeight="1">
      <c r="A25" s="106" t="s">
        <v>777</v>
      </c>
      <c r="B25" s="62" t="str">
        <f>image("https://i.imgur.com/bT7pefQ.png")</f>
        <v/>
      </c>
      <c r="C25" s="107" t="s">
        <v>588</v>
      </c>
      <c r="D25" s="72" t="str">
        <f t="shared" ref="D25:D26" si="36">image("https://i.imgur.com/EWYVugy.png")</f>
        <v/>
      </c>
      <c r="E25" s="64" t="str">
        <f t="shared" si="34"/>
        <v/>
      </c>
      <c r="F25" s="65">
        <v>2456.0</v>
      </c>
      <c r="G25" s="66">
        <v>1035.0</v>
      </c>
      <c r="H25" s="67">
        <v>1035.0</v>
      </c>
      <c r="I25" s="108">
        <f t="shared" ref="I25:K25" si="35">F25/max(F:F)</f>
        <v>0.6850767085</v>
      </c>
      <c r="J25" s="108">
        <f t="shared" si="35"/>
        <v>0.7834973505</v>
      </c>
      <c r="K25" s="108">
        <f t="shared" si="35"/>
        <v>0.7036029912</v>
      </c>
      <c r="L25" s="68">
        <f t="shared" si="4"/>
        <v>2.17217705</v>
      </c>
      <c r="M25" s="72">
        <v>220.0</v>
      </c>
      <c r="N25" s="118" t="s">
        <v>731</v>
      </c>
      <c r="O25" s="114" t="s">
        <v>670</v>
      </c>
      <c r="P25" s="111" t="s">
        <v>778</v>
      </c>
      <c r="Q25" s="111" t="s">
        <v>779</v>
      </c>
      <c r="R25" s="74" t="s">
        <v>780</v>
      </c>
      <c r="S25" s="74" t="s">
        <v>781</v>
      </c>
    </row>
    <row r="26" ht="72.75" customHeight="1">
      <c r="A26" s="106" t="s">
        <v>782</v>
      </c>
      <c r="B26" s="62" t="str">
        <f>image("https://i.imgur.com/vF53E5Y.png")</f>
        <v/>
      </c>
      <c r="C26" s="107" t="s">
        <v>588</v>
      </c>
      <c r="D26" s="72" t="str">
        <f t="shared" si="36"/>
        <v/>
      </c>
      <c r="E26" s="64" t="str">
        <f t="shared" ref="E26:E27" si="38">image("https://i.imgur.com/yduAVsz.png")</f>
        <v/>
      </c>
      <c r="F26" s="65">
        <v>2874.0</v>
      </c>
      <c r="G26" s="66">
        <v>992.0</v>
      </c>
      <c r="H26" s="67">
        <v>882.0</v>
      </c>
      <c r="I26" s="108">
        <f t="shared" ref="I26:K26" si="37">F26/max(F:F)</f>
        <v>0.8016736402</v>
      </c>
      <c r="J26" s="108">
        <f t="shared" si="37"/>
        <v>0.7509462528</v>
      </c>
      <c r="K26" s="108">
        <f t="shared" si="37"/>
        <v>0.5995921142</v>
      </c>
      <c r="L26" s="68">
        <f t="shared" si="4"/>
        <v>2.152212007</v>
      </c>
      <c r="M26" s="72">
        <v>220.0</v>
      </c>
      <c r="N26" s="118" t="s">
        <v>731</v>
      </c>
      <c r="O26" s="112" t="s">
        <v>677</v>
      </c>
      <c r="P26" s="111" t="s">
        <v>783</v>
      </c>
      <c r="Q26" s="111" t="s">
        <v>784</v>
      </c>
      <c r="R26" s="74" t="s">
        <v>785</v>
      </c>
      <c r="S26" s="74" t="s">
        <v>786</v>
      </c>
    </row>
    <row r="27" ht="71.25" customHeight="1">
      <c r="A27" s="106" t="s">
        <v>787</v>
      </c>
      <c r="B27" s="62" t="str">
        <f>image("https://i.imgur.com/LPzG7Eh.png")</f>
        <v/>
      </c>
      <c r="C27" s="107" t="s">
        <v>588</v>
      </c>
      <c r="D27" s="46" t="str">
        <f>image("https://i.imgur.com/SsC1hEj.png")</f>
        <v/>
      </c>
      <c r="E27" s="64" t="str">
        <f t="shared" si="38"/>
        <v/>
      </c>
      <c r="F27" s="65">
        <v>2872.0</v>
      </c>
      <c r="G27" s="66">
        <v>993.0</v>
      </c>
      <c r="H27" s="67">
        <v>881.0</v>
      </c>
      <c r="I27" s="108">
        <f t="shared" ref="I27:K27" si="39">F27/max(F:F)</f>
        <v>0.8011157601</v>
      </c>
      <c r="J27" s="108">
        <f t="shared" si="39"/>
        <v>0.7517032551</v>
      </c>
      <c r="K27" s="108">
        <f t="shared" si="39"/>
        <v>0.5989123046</v>
      </c>
      <c r="L27" s="68">
        <f t="shared" si="4"/>
        <v>2.15173132</v>
      </c>
      <c r="M27" s="72">
        <v>220.0</v>
      </c>
      <c r="N27" s="118" t="s">
        <v>731</v>
      </c>
      <c r="O27" s="113" t="s">
        <v>682</v>
      </c>
      <c r="P27" s="111" t="s">
        <v>788</v>
      </c>
      <c r="Q27" s="111" t="s">
        <v>789</v>
      </c>
      <c r="R27" s="74" t="s">
        <v>744</v>
      </c>
      <c r="S27" s="74" t="s">
        <v>745</v>
      </c>
    </row>
  </sheetData>
  <conditionalFormatting sqref="D1:D15 D18:D24 D27">
    <cfRule type="containsText" dxfId="0" priority="1" operator="containsText" text="Fire">
      <formula>NOT(ISERROR(SEARCH(("Fire"),(D1))))</formula>
    </cfRule>
  </conditionalFormatting>
  <conditionalFormatting sqref="D1:D15 D18:D24 D27">
    <cfRule type="containsText" dxfId="1" priority="2" operator="containsText" text="Water">
      <formula>NOT(ISERROR(SEARCH(("Water"),(D1))))</formula>
    </cfRule>
  </conditionalFormatting>
  <conditionalFormatting sqref="D1:D15 D18:D24 D27">
    <cfRule type="containsText" dxfId="2" priority="3" operator="containsText" text="Sky">
      <formula>NOT(ISERROR(SEARCH(("Sky"),(D1))))</formula>
    </cfRule>
  </conditionalFormatting>
  <conditionalFormatting sqref="D1:D15 D18:D24 D27">
    <cfRule type="containsText" dxfId="3" priority="4" operator="containsText" text="Light">
      <formula>NOT(ISERROR(SEARCH(("Light"),(D1))))</formula>
    </cfRule>
  </conditionalFormatting>
  <conditionalFormatting sqref="D1:D15 D18:D24 D27">
    <cfRule type="cellIs" dxfId="4" priority="5" operator="equal">
      <formula>"Dark"</formula>
    </cfRule>
  </conditionalFormatting>
  <conditionalFormatting sqref="D1:D15 D18:D24 D27">
    <cfRule type="cellIs" dxfId="5" priority="6" operator="equal">
      <formula>"Wind"</formula>
    </cfRule>
  </conditionalFormatting>
  <conditionalFormatting sqref="D1:D15 D18:D24 D27">
    <cfRule type="cellIs" dxfId="6" priority="7" operator="equal">
      <formula>"Earth"</formula>
    </cfRule>
  </conditionalFormatting>
  <dataValidations>
    <dataValidation type="list" allowBlank="1" sqref="R2:S27">
      <formula1>Traits!$C$2:$C$1086</formula1>
    </dataValidation>
    <dataValidation type="list" allowBlank="1" sqref="P2:Q27">
      <formula1>Skills!$E:$E</formula1>
    </dataValidation>
  </dataValidation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5.86"/>
    <col customWidth="1" min="2" max="2" width="26.71"/>
    <col customWidth="1" min="3" max="3" width="6.43"/>
    <col customWidth="1" min="10" max="10" width="3.14"/>
  </cols>
  <sheetData>
    <row r="1">
      <c r="A1" s="40"/>
      <c r="B1" s="119" t="s">
        <v>790</v>
      </c>
      <c r="C1" s="120"/>
      <c r="D1" s="121" t="s">
        <v>791</v>
      </c>
      <c r="E1" s="122"/>
      <c r="F1" s="122"/>
      <c r="G1" s="122"/>
      <c r="H1" s="122"/>
      <c r="I1" s="123"/>
      <c r="J1" s="40"/>
    </row>
    <row r="2">
      <c r="A2" s="36"/>
      <c r="B2" s="124"/>
      <c r="C2" s="124"/>
      <c r="D2" s="125" t="s">
        <v>792</v>
      </c>
      <c r="E2" s="126" t="s">
        <v>793</v>
      </c>
      <c r="F2" s="127" t="s">
        <v>794</v>
      </c>
      <c r="G2" s="125" t="s">
        <v>792</v>
      </c>
      <c r="H2" s="126" t="s">
        <v>793</v>
      </c>
      <c r="I2" s="127" t="s">
        <v>794</v>
      </c>
      <c r="J2" s="40"/>
    </row>
    <row r="3" ht="38.25" customHeight="1">
      <c r="A3" s="36"/>
      <c r="B3" s="125" t="s">
        <v>795</v>
      </c>
      <c r="C3" s="126" t="s">
        <v>796</v>
      </c>
      <c r="D3" s="125" t="str">
        <f>image("https://media.discordapp.net/attachments/903873022233034802/904953125692117042/cardIcSpUp.png")</f>
        <v/>
      </c>
      <c r="E3" s="128" t="str">
        <f>image("https://media.discordapp.net/attachments/903873022233034802/904953118956081192/cardIcSkillUp.png")</f>
        <v/>
      </c>
      <c r="F3" s="129" t="str">
        <f>image("https://media.discordapp.net/attachments/903873022233034802/904953094985617448/cardIcBlessUp.png")</f>
        <v/>
      </c>
      <c r="G3" s="125" t="str">
        <f>image("https://media.discordapp.net/attachments/903873022233034802/904953125692117042/cardIcSpUp.png")</f>
        <v/>
      </c>
      <c r="H3" s="128" t="str">
        <f>image("https://media.discordapp.net/attachments/903873022233034802/904953118956081192/cardIcSkillUp.png")</f>
        <v/>
      </c>
      <c r="I3" s="129" t="str">
        <f>image("https://media.discordapp.net/attachments/903873022233034802/904953094985617448/cardIcBlessUp.png")</f>
        <v/>
      </c>
      <c r="J3" s="40"/>
    </row>
    <row r="4" ht="30.75" customHeight="1">
      <c r="A4" s="130"/>
      <c r="B4" s="131" t="s">
        <v>606</v>
      </c>
      <c r="C4" s="132"/>
      <c r="D4" s="133"/>
      <c r="E4" s="134" t="s">
        <v>797</v>
      </c>
      <c r="F4" s="135"/>
      <c r="G4" s="136" t="s">
        <v>797</v>
      </c>
      <c r="H4" s="137"/>
      <c r="I4" s="135"/>
      <c r="J4" s="40"/>
    </row>
    <row r="5" ht="30.75" customHeight="1">
      <c r="A5" s="130"/>
      <c r="B5" s="138" t="s">
        <v>575</v>
      </c>
      <c r="C5" s="139"/>
      <c r="D5" s="140"/>
      <c r="E5" s="134" t="s">
        <v>797</v>
      </c>
      <c r="F5" s="135"/>
      <c r="G5" s="136" t="s">
        <v>797</v>
      </c>
      <c r="H5" s="137"/>
      <c r="I5" s="135"/>
      <c r="J5" s="40"/>
    </row>
    <row r="6" ht="30.75" customHeight="1">
      <c r="A6" s="130"/>
      <c r="B6" s="141" t="s">
        <v>541</v>
      </c>
      <c r="C6" s="132"/>
      <c r="D6" s="140"/>
      <c r="E6" s="134" t="s">
        <v>797</v>
      </c>
      <c r="F6" s="142"/>
      <c r="G6" s="136" t="s">
        <v>797</v>
      </c>
      <c r="H6" s="137"/>
      <c r="I6" s="135"/>
      <c r="J6" s="40"/>
    </row>
    <row r="7" ht="30.75" customHeight="1">
      <c r="A7" s="130"/>
      <c r="B7" s="141" t="s">
        <v>798</v>
      </c>
      <c r="C7" s="62" t="str">
        <f>image("https://i.imgur.com/gazKA5L.png")</f>
        <v/>
      </c>
      <c r="D7" s="140"/>
      <c r="E7" s="134" t="s">
        <v>799</v>
      </c>
      <c r="F7" s="142"/>
      <c r="G7" s="136" t="s">
        <v>799</v>
      </c>
      <c r="H7" s="137"/>
      <c r="I7" s="135"/>
      <c r="J7" s="40"/>
    </row>
    <row r="8" ht="30.75" customHeight="1">
      <c r="A8" s="130"/>
      <c r="B8" s="141" t="s">
        <v>687</v>
      </c>
      <c r="C8" s="62" t="str">
        <f>image("https://i.imgur.com/qbkoP0V.png")</f>
        <v/>
      </c>
      <c r="D8" s="140"/>
      <c r="E8" s="134" t="s">
        <v>799</v>
      </c>
      <c r="F8" s="142"/>
      <c r="G8" s="136" t="s">
        <v>799</v>
      </c>
      <c r="H8" s="137"/>
      <c r="I8" s="135"/>
      <c r="J8" s="40"/>
    </row>
    <row r="9" ht="30.75" customHeight="1">
      <c r="A9" s="130"/>
      <c r="B9" s="141" t="s">
        <v>274</v>
      </c>
      <c r="C9" s="132"/>
      <c r="D9" s="140"/>
      <c r="E9" s="134" t="s">
        <v>800</v>
      </c>
      <c r="F9" s="142" t="s">
        <v>800</v>
      </c>
      <c r="G9" s="136" t="s">
        <v>797</v>
      </c>
      <c r="H9" s="137"/>
      <c r="I9" s="135"/>
      <c r="J9" s="40"/>
    </row>
    <row r="10" ht="30.75" customHeight="1">
      <c r="A10" s="143"/>
      <c r="B10" s="61" t="s">
        <v>351</v>
      </c>
      <c r="C10" s="62" t="str">
        <f>image("https://i.imgur.com/NcA5TyD.png")</f>
        <v/>
      </c>
      <c r="D10" s="140"/>
      <c r="E10" s="134"/>
      <c r="F10" s="142" t="s">
        <v>800</v>
      </c>
      <c r="G10" s="136" t="s">
        <v>800</v>
      </c>
      <c r="H10" s="137"/>
      <c r="I10" s="135"/>
      <c r="J10" s="40"/>
    </row>
    <row r="11" ht="30.75" customHeight="1">
      <c r="A11" s="130"/>
      <c r="B11" s="138" t="s">
        <v>600</v>
      </c>
      <c r="C11" s="139"/>
      <c r="D11" s="133"/>
      <c r="E11" s="137"/>
      <c r="F11" s="144" t="s">
        <v>800</v>
      </c>
      <c r="G11" s="133" t="s">
        <v>800</v>
      </c>
      <c r="H11" s="137"/>
      <c r="I11" s="135"/>
      <c r="J11" s="40"/>
    </row>
    <row r="12" ht="30.75" customHeight="1">
      <c r="A12" s="130"/>
      <c r="B12" s="138" t="s">
        <v>282</v>
      </c>
      <c r="C12" s="139"/>
      <c r="D12" s="140"/>
      <c r="E12" s="137"/>
      <c r="F12" s="142" t="s">
        <v>801</v>
      </c>
      <c r="G12" s="136" t="s">
        <v>797</v>
      </c>
      <c r="H12" s="137"/>
      <c r="I12" s="135"/>
      <c r="J12" s="40"/>
    </row>
    <row r="13" ht="30.75" customHeight="1">
      <c r="A13" s="130"/>
      <c r="B13" s="131" t="s">
        <v>330</v>
      </c>
      <c r="C13" s="132"/>
      <c r="D13" s="140"/>
      <c r="E13" s="137"/>
      <c r="F13" s="142" t="s">
        <v>801</v>
      </c>
      <c r="G13" s="136" t="s">
        <v>797</v>
      </c>
      <c r="H13" s="137"/>
      <c r="I13" s="135"/>
      <c r="J13" s="40"/>
    </row>
    <row r="14" ht="30.75" customHeight="1">
      <c r="A14" s="130"/>
      <c r="B14" s="131" t="s">
        <v>308</v>
      </c>
      <c r="C14" s="132"/>
      <c r="D14" s="133" t="s">
        <v>797</v>
      </c>
      <c r="E14" s="137"/>
      <c r="F14" s="135"/>
      <c r="G14" s="145"/>
      <c r="H14" s="134" t="s">
        <v>797</v>
      </c>
      <c r="I14" s="135"/>
      <c r="J14" s="40"/>
    </row>
    <row r="15" ht="30.75" customHeight="1">
      <c r="A15" s="130"/>
      <c r="B15" s="138" t="s">
        <v>359</v>
      </c>
      <c r="C15" s="139"/>
      <c r="D15" s="133" t="s">
        <v>797</v>
      </c>
      <c r="E15" s="137"/>
      <c r="F15" s="135"/>
      <c r="G15" s="145"/>
      <c r="H15" s="134" t="s">
        <v>797</v>
      </c>
      <c r="I15" s="135"/>
      <c r="J15" s="40"/>
    </row>
    <row r="16" ht="30.75" customHeight="1">
      <c r="A16" s="130"/>
      <c r="B16" s="146" t="s">
        <v>384</v>
      </c>
      <c r="C16" s="139"/>
      <c r="D16" s="133" t="s">
        <v>797</v>
      </c>
      <c r="E16" s="137"/>
      <c r="F16" s="135"/>
      <c r="G16" s="145"/>
      <c r="H16" s="134" t="s">
        <v>797</v>
      </c>
      <c r="I16" s="135"/>
      <c r="J16" s="40"/>
    </row>
    <row r="17" ht="30.75" customHeight="1">
      <c r="A17" s="130"/>
      <c r="B17" s="146" t="s">
        <v>802</v>
      </c>
      <c r="C17" s="147" t="str">
        <f>image("https://i.imgur.com/TLYWCKF.png")</f>
        <v/>
      </c>
      <c r="D17" s="133" t="s">
        <v>799</v>
      </c>
      <c r="E17" s="137"/>
      <c r="F17" s="135"/>
      <c r="G17" s="145"/>
      <c r="H17" s="134" t="s">
        <v>799</v>
      </c>
      <c r="I17" s="135"/>
      <c r="J17" s="40"/>
    </row>
    <row r="18" ht="30.75" customHeight="1">
      <c r="A18" s="130"/>
      <c r="B18" s="131" t="s">
        <v>435</v>
      </c>
      <c r="C18" s="132"/>
      <c r="D18" s="140"/>
      <c r="E18" s="137"/>
      <c r="F18" s="142" t="s">
        <v>797</v>
      </c>
      <c r="G18" s="145"/>
      <c r="H18" s="134" t="s">
        <v>797</v>
      </c>
      <c r="I18" s="135"/>
      <c r="J18" s="40"/>
    </row>
    <row r="19" ht="30.75" customHeight="1">
      <c r="A19" s="130"/>
      <c r="B19" s="138" t="s">
        <v>523</v>
      </c>
      <c r="C19" s="139"/>
      <c r="D19" s="140"/>
      <c r="E19" s="137"/>
      <c r="F19" s="142" t="s">
        <v>797</v>
      </c>
      <c r="G19" s="145"/>
      <c r="H19" s="134" t="s">
        <v>797</v>
      </c>
      <c r="I19" s="135"/>
      <c r="J19" s="40"/>
    </row>
    <row r="20" ht="30.75" customHeight="1">
      <c r="A20" s="130"/>
      <c r="B20" s="131" t="s">
        <v>569</v>
      </c>
      <c r="C20" s="132"/>
      <c r="D20" s="140"/>
      <c r="E20" s="137"/>
      <c r="F20" s="142" t="s">
        <v>797</v>
      </c>
      <c r="G20" s="145"/>
      <c r="H20" s="134" t="s">
        <v>797</v>
      </c>
      <c r="I20" s="135"/>
      <c r="J20" s="40"/>
    </row>
    <row r="21" ht="30.75" customHeight="1">
      <c r="A21" s="130"/>
      <c r="B21" s="141" t="s">
        <v>714</v>
      </c>
      <c r="C21" s="62" t="str">
        <f>image("https://i.imgur.com/wJAG9ar.png")</f>
        <v/>
      </c>
      <c r="D21" s="133"/>
      <c r="E21" s="137"/>
      <c r="F21" s="142" t="s">
        <v>799</v>
      </c>
      <c r="G21" s="145"/>
      <c r="H21" s="134" t="s">
        <v>799</v>
      </c>
      <c r="I21" s="142"/>
      <c r="J21" s="40"/>
    </row>
    <row r="22" ht="30.75" customHeight="1">
      <c r="A22" s="130"/>
      <c r="B22" s="141" t="s">
        <v>314</v>
      </c>
      <c r="C22" s="62" t="str">
        <f>image("https://i.imgur.com/zX8yaCh.png")</f>
        <v/>
      </c>
      <c r="D22" s="133" t="s">
        <v>800</v>
      </c>
      <c r="E22" s="137"/>
      <c r="F22" s="142" t="s">
        <v>800</v>
      </c>
      <c r="G22" s="145"/>
      <c r="H22" s="134" t="s">
        <v>797</v>
      </c>
      <c r="I22" s="142"/>
      <c r="J22" s="40"/>
    </row>
    <row r="23" ht="30.75" customHeight="1">
      <c r="A23" s="130"/>
      <c r="B23" s="138" t="s">
        <v>527</v>
      </c>
      <c r="C23" s="139"/>
      <c r="D23" s="133" t="s">
        <v>800</v>
      </c>
      <c r="E23" s="137"/>
      <c r="F23" s="135"/>
      <c r="G23" s="145"/>
      <c r="H23" s="137"/>
      <c r="I23" s="142" t="s">
        <v>800</v>
      </c>
      <c r="J23" s="40"/>
    </row>
    <row r="24" ht="30.75" customHeight="1">
      <c r="A24" s="130"/>
      <c r="B24" s="131" t="s">
        <v>565</v>
      </c>
      <c r="C24" s="132"/>
      <c r="D24" s="133" t="s">
        <v>800</v>
      </c>
      <c r="E24" s="137"/>
      <c r="F24" s="135"/>
      <c r="G24" s="145"/>
      <c r="H24" s="137"/>
      <c r="I24" s="142" t="s">
        <v>800</v>
      </c>
      <c r="J24" s="40"/>
    </row>
    <row r="25" ht="30.75" customHeight="1">
      <c r="A25" s="130"/>
      <c r="B25" s="131" t="s">
        <v>803</v>
      </c>
      <c r="C25" s="132"/>
      <c r="D25" s="133" t="s">
        <v>800</v>
      </c>
      <c r="E25" s="137"/>
      <c r="F25" s="135"/>
      <c r="G25" s="145"/>
      <c r="H25" s="137"/>
      <c r="I25" s="142" t="s">
        <v>800</v>
      </c>
      <c r="J25" s="40"/>
    </row>
    <row r="26" ht="30.75" customHeight="1">
      <c r="A26" s="130"/>
      <c r="B26" s="141" t="s">
        <v>804</v>
      </c>
      <c r="C26" s="62" t="str">
        <f>image("https://i.imgur.com/oFdR7zZ.png")</f>
        <v/>
      </c>
      <c r="D26" s="133" t="s">
        <v>799</v>
      </c>
      <c r="E26" s="137"/>
      <c r="F26" s="135"/>
      <c r="G26" s="145"/>
      <c r="H26" s="137"/>
      <c r="I26" s="142" t="s">
        <v>799</v>
      </c>
      <c r="J26" s="40"/>
    </row>
    <row r="27" ht="30.75" customHeight="1">
      <c r="A27" s="130"/>
      <c r="B27" s="141" t="s">
        <v>805</v>
      </c>
      <c r="C27" s="147" t="str">
        <f>image("https://i.imgur.com/rsT9HWg.png")</f>
        <v/>
      </c>
      <c r="D27" s="133" t="s">
        <v>799</v>
      </c>
      <c r="E27" s="137"/>
      <c r="F27" s="135"/>
      <c r="G27" s="145"/>
      <c r="H27" s="137"/>
      <c r="I27" s="142" t="s">
        <v>799</v>
      </c>
      <c r="J27" s="40"/>
    </row>
    <row r="28" ht="30.75" customHeight="1">
      <c r="A28" s="130"/>
      <c r="B28" s="138" t="s">
        <v>320</v>
      </c>
      <c r="C28" s="139"/>
      <c r="D28" s="140"/>
      <c r="E28" s="134" t="s">
        <v>800</v>
      </c>
      <c r="F28" s="135"/>
      <c r="G28" s="145"/>
      <c r="H28" s="137"/>
      <c r="I28" s="142" t="s">
        <v>800</v>
      </c>
      <c r="J28" s="40"/>
    </row>
    <row r="29" ht="30.75" customHeight="1">
      <c r="A29" s="130"/>
      <c r="B29" s="138" t="s">
        <v>443</v>
      </c>
      <c r="C29" s="139"/>
      <c r="D29" s="140"/>
      <c r="E29" s="134" t="s">
        <v>800</v>
      </c>
      <c r="F29" s="135"/>
      <c r="G29" s="145"/>
      <c r="H29" s="137"/>
      <c r="I29" s="142" t="s">
        <v>800</v>
      </c>
      <c r="J29" s="40"/>
    </row>
    <row r="30" ht="30.75" customHeight="1">
      <c r="A30" s="130"/>
      <c r="B30" s="141" t="s">
        <v>366</v>
      </c>
      <c r="C30" s="132"/>
      <c r="D30" s="140"/>
      <c r="E30" s="134" t="s">
        <v>800</v>
      </c>
      <c r="F30" s="142"/>
      <c r="G30" s="136"/>
      <c r="H30" s="137"/>
      <c r="I30" s="142" t="s">
        <v>800</v>
      </c>
      <c r="J30" s="40"/>
    </row>
    <row r="31" ht="30.75" customHeight="1">
      <c r="A31" s="130"/>
      <c r="B31" s="141" t="s">
        <v>545</v>
      </c>
      <c r="C31" s="132"/>
      <c r="D31" s="140"/>
      <c r="E31" s="134" t="s">
        <v>797</v>
      </c>
      <c r="F31" s="142"/>
      <c r="G31" s="136"/>
      <c r="H31" s="137"/>
      <c r="I31" s="142" t="s">
        <v>797</v>
      </c>
      <c r="J31" s="40"/>
    </row>
    <row r="32" ht="30.75" customHeight="1">
      <c r="A32" s="130"/>
      <c r="B32" s="141" t="s">
        <v>711</v>
      </c>
      <c r="C32" s="62" t="str">
        <f>image("https://i.imgur.com/BEbqTOq.png")</f>
        <v/>
      </c>
      <c r="D32" s="140"/>
      <c r="E32" s="134" t="s">
        <v>799</v>
      </c>
      <c r="F32" s="142"/>
      <c r="G32" s="136"/>
      <c r="H32" s="137"/>
      <c r="I32" s="142" t="s">
        <v>799</v>
      </c>
      <c r="J32" s="40"/>
    </row>
    <row r="33" ht="30.75" customHeight="1">
      <c r="A33" s="130"/>
      <c r="B33" s="138" t="s">
        <v>300</v>
      </c>
      <c r="C33" s="139"/>
      <c r="D33" s="133" t="s">
        <v>797</v>
      </c>
      <c r="E33" s="137"/>
      <c r="F33" s="135"/>
      <c r="G33" s="145"/>
      <c r="H33" s="137"/>
      <c r="I33" s="142" t="s">
        <v>797</v>
      </c>
      <c r="J33" s="40"/>
    </row>
    <row r="34" ht="30.75" customHeight="1">
      <c r="A34" s="130"/>
      <c r="B34" s="131" t="s">
        <v>413</v>
      </c>
      <c r="C34" s="132"/>
      <c r="D34" s="133" t="s">
        <v>797</v>
      </c>
      <c r="E34" s="137"/>
      <c r="F34" s="135"/>
      <c r="G34" s="145"/>
      <c r="H34" s="137"/>
      <c r="I34" s="142" t="s">
        <v>797</v>
      </c>
      <c r="J34" s="40"/>
    </row>
    <row r="35" ht="30.75" customHeight="1">
      <c r="A35" s="130"/>
      <c r="B35" s="131" t="s">
        <v>466</v>
      </c>
      <c r="C35" s="132"/>
      <c r="D35" s="133" t="s">
        <v>797</v>
      </c>
      <c r="E35" s="137"/>
      <c r="F35" s="135"/>
      <c r="G35" s="145"/>
      <c r="H35" s="137"/>
      <c r="I35" s="142" t="s">
        <v>797</v>
      </c>
      <c r="J35" s="40"/>
    </row>
    <row r="36" ht="30.75" customHeight="1">
      <c r="A36" s="130"/>
      <c r="B36" s="141" t="s">
        <v>397</v>
      </c>
      <c r="C36" s="62" t="str">
        <f>image("https://i.imgur.com/yLCmBhK.png")</f>
        <v/>
      </c>
      <c r="D36" s="133" t="s">
        <v>797</v>
      </c>
      <c r="E36" s="137"/>
      <c r="F36" s="135"/>
      <c r="G36" s="145"/>
      <c r="H36" s="137"/>
      <c r="I36" s="142" t="s">
        <v>797</v>
      </c>
      <c r="J36" s="40"/>
    </row>
    <row r="37" ht="30.75" customHeight="1">
      <c r="A37" s="130"/>
      <c r="B37" s="141" t="s">
        <v>338</v>
      </c>
      <c r="C37" s="62"/>
      <c r="D37" s="133" t="s">
        <v>797</v>
      </c>
      <c r="E37" s="137"/>
      <c r="F37" s="135"/>
      <c r="G37" s="145"/>
      <c r="H37" s="137"/>
      <c r="I37" s="142" t="s">
        <v>797</v>
      </c>
      <c r="J37" s="40"/>
    </row>
    <row r="38" ht="30.75" customHeight="1">
      <c r="A38" s="130"/>
      <c r="B38" s="138" t="s">
        <v>473</v>
      </c>
      <c r="C38" s="139"/>
      <c r="D38" s="140"/>
      <c r="E38" s="134" t="s">
        <v>797</v>
      </c>
      <c r="F38" s="135"/>
      <c r="G38" s="145"/>
      <c r="H38" s="137"/>
      <c r="I38" s="142" t="s">
        <v>797</v>
      </c>
      <c r="J38" s="40"/>
    </row>
    <row r="39" ht="30.75" customHeight="1">
      <c r="A39" s="130"/>
      <c r="B39" s="148" t="s">
        <v>507</v>
      </c>
      <c r="C39" s="149"/>
      <c r="D39" s="150"/>
      <c r="E39" s="151" t="s">
        <v>797</v>
      </c>
      <c r="F39" s="152"/>
      <c r="G39" s="153"/>
      <c r="H39" s="154"/>
      <c r="I39" s="155" t="s">
        <v>797</v>
      </c>
      <c r="J39" s="40"/>
    </row>
    <row r="40">
      <c r="A40" s="40"/>
      <c r="B40" s="40"/>
      <c r="C40" s="37"/>
      <c r="D40" s="40"/>
      <c r="E40" s="40"/>
      <c r="F40" s="40"/>
      <c r="G40" s="40"/>
      <c r="H40" s="40"/>
      <c r="I40" s="40"/>
      <c r="J40" s="40"/>
    </row>
  </sheetData>
  <mergeCells count="1">
    <mergeCell ref="D1:I1"/>
  </mergeCell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11.29"/>
    <col customWidth="1" min="2" max="9" width="12.29"/>
    <col customWidth="1" min="10" max="10" width="2.29"/>
    <col customWidth="1" min="11" max="11" width="11.14"/>
    <col customWidth="1" min="12" max="19" width="12.29"/>
    <col customWidth="1" min="20" max="20" width="2.86"/>
    <col customWidth="1" min="21" max="22" width="12.29"/>
  </cols>
  <sheetData>
    <row r="1">
      <c r="A1" s="156"/>
      <c r="B1" s="156"/>
      <c r="C1" s="156"/>
      <c r="D1" s="156"/>
      <c r="E1" s="156"/>
      <c r="F1" s="156"/>
      <c r="G1" s="156"/>
      <c r="H1" s="156"/>
      <c r="I1" s="156"/>
      <c r="J1" s="157"/>
      <c r="K1" s="156"/>
      <c r="L1" s="156"/>
      <c r="M1" s="156"/>
      <c r="N1" s="156"/>
      <c r="O1" s="156"/>
      <c r="P1" s="156"/>
      <c r="Q1" s="156"/>
      <c r="R1" s="156"/>
      <c r="S1" s="156"/>
      <c r="T1" s="157"/>
      <c r="U1" s="158"/>
      <c r="V1" s="158"/>
    </row>
    <row r="2">
      <c r="A2" s="159" t="s">
        <v>806</v>
      </c>
      <c r="J2" s="157"/>
      <c r="K2" s="159" t="s">
        <v>807</v>
      </c>
      <c r="T2" s="157"/>
      <c r="U2" s="160" t="s">
        <v>588</v>
      </c>
    </row>
    <row r="3" ht="30.75" customHeight="1">
      <c r="A3" s="124" t="s">
        <v>808</v>
      </c>
      <c r="B3" s="124" t="s">
        <v>809</v>
      </c>
      <c r="J3" s="157"/>
      <c r="K3" s="124" t="s">
        <v>810</v>
      </c>
      <c r="L3" s="124" t="s">
        <v>811</v>
      </c>
      <c r="T3" s="157"/>
      <c r="U3" s="161" t="s">
        <v>812</v>
      </c>
      <c r="V3" s="161" t="s">
        <v>813</v>
      </c>
    </row>
    <row r="4" ht="54.0" customHeight="1">
      <c r="B4" s="162"/>
      <c r="C4" s="162" t="str">
        <f>image("https://i.imgur.com/NchScWh.png")</f>
        <v/>
      </c>
      <c r="D4" s="162" t="str">
        <f>image("https://i.imgur.com/AHPti72.png")</f>
        <v/>
      </c>
      <c r="E4" s="162" t="str">
        <f>image("https://i.imgur.com/pQYVkI3.png")</f>
        <v/>
      </c>
      <c r="F4" s="162" t="str">
        <f>image("https://i.imgur.com/pzX6NRL.png")</f>
        <v/>
      </c>
      <c r="G4" s="162" t="str">
        <f>image("https://i.imgur.com/z8bnSYg.png")</f>
        <v/>
      </c>
      <c r="H4" s="162" t="str">
        <f>image("https://i.imgur.com/QndVudD.png")</f>
        <v/>
      </c>
      <c r="I4" s="162" t="str">
        <f>image("https://i.imgur.com/hX15sR0.png")</f>
        <v/>
      </c>
      <c r="J4" s="163"/>
      <c r="L4" s="162"/>
      <c r="M4" s="162" t="str">
        <f>image("https://i.imgur.com/NchScWh.png")</f>
        <v/>
      </c>
      <c r="N4" s="162" t="str">
        <f>image("https://i.imgur.com/AHPti72.png")</f>
        <v/>
      </c>
      <c r="O4" s="162" t="str">
        <f>image("https://i.imgur.com/pQYVkI3.png")</f>
        <v/>
      </c>
      <c r="P4" s="162" t="str">
        <f>image("https://i.imgur.com/pzX6NRL.png")</f>
        <v/>
      </c>
      <c r="Q4" s="162" t="str">
        <f>image("https://i.imgur.com/z8bnSYg.png")</f>
        <v/>
      </c>
      <c r="R4" s="162" t="str">
        <f>image("https://i.imgur.com/QndVudD.png")</f>
        <v/>
      </c>
      <c r="S4" s="162" t="str">
        <f>image("https://i.imgur.com/hX15sR0.png")</f>
        <v/>
      </c>
      <c r="T4" s="163"/>
      <c r="U4" s="162" t="str">
        <f>image("https://i.imgur.com/SsC1hEj.png")</f>
        <v/>
      </c>
      <c r="V4" s="162" t="str">
        <f>image("https://i.imgur.com/EWYVugy.png")</f>
        <v/>
      </c>
    </row>
    <row r="5" ht="54.0" customHeight="1">
      <c r="B5" s="164" t="str">
        <f>image("https://i.imgur.com/NchScWh.png")</f>
        <v/>
      </c>
      <c r="C5" s="164"/>
      <c r="D5" s="62" t="str">
        <f>image("https://i.imgur.com/1ZDYfr8.png")</f>
        <v/>
      </c>
      <c r="E5" s="62" t="str">
        <f>image("https://i.imgur.com/1Ieiws0.png")</f>
        <v/>
      </c>
      <c r="F5" s="164"/>
      <c r="G5" s="164"/>
      <c r="H5" s="164"/>
      <c r="I5" s="164"/>
      <c r="J5" s="163"/>
      <c r="L5" s="164" t="str">
        <f>image("https://i.imgur.com/NchScWh.png")</f>
        <v/>
      </c>
      <c r="M5" s="62" t="str">
        <f>image("https://i.imgur.com/gazKA5L.png")</f>
        <v/>
      </c>
      <c r="N5" s="164"/>
      <c r="O5" s="164"/>
      <c r="P5" s="164"/>
      <c r="Q5" s="164"/>
      <c r="R5" s="164"/>
      <c r="S5" s="62" t="str">
        <f>image("https://i.imgur.com/YJ0KXiR.png")</f>
        <v/>
      </c>
      <c r="T5" s="163"/>
      <c r="U5" s="62" t="str">
        <f>image("https://i.imgur.com/2AOQyiR.png")</f>
        <v/>
      </c>
      <c r="V5" s="62" t="str">
        <f>image("https://i.imgur.com/Bp6WduK.png")</f>
        <v/>
      </c>
    </row>
    <row r="6" ht="54.0" customHeight="1">
      <c r="B6" s="162" t="str">
        <f>image("https://i.imgur.com/AHPti72.png")</f>
        <v/>
      </c>
      <c r="C6" s="162"/>
      <c r="D6" s="162"/>
      <c r="E6" s="162"/>
      <c r="F6" s="162"/>
      <c r="G6" s="162"/>
      <c r="H6" s="162"/>
      <c r="I6" s="147" t="str">
        <f>image("https://i.imgur.com/rsT9HWg.png")</f>
        <v/>
      </c>
      <c r="J6" s="163"/>
      <c r="L6" s="162" t="str">
        <f>image("https://i.imgur.com/AHPti72.png")</f>
        <v/>
      </c>
      <c r="M6" s="162"/>
      <c r="N6" s="162"/>
      <c r="O6" s="162"/>
      <c r="P6" s="162"/>
      <c r="Q6" s="162"/>
      <c r="R6" s="162" t="str">
        <f>image("https://i.imgur.com/N1kfk0R.png
")</f>
        <v/>
      </c>
      <c r="S6" s="162"/>
      <c r="T6" s="163"/>
      <c r="U6" s="147" t="str">
        <f>image("https://i.imgur.com/F0YupqR.png")</f>
        <v/>
      </c>
      <c r="V6" s="147" t="str">
        <f>image("https://i.imgur.com/1X4MZ0s.png")</f>
        <v/>
      </c>
    </row>
    <row r="7" ht="54.0" customHeight="1">
      <c r="C7" s="162"/>
      <c r="D7" s="162"/>
      <c r="E7" s="162"/>
      <c r="F7" s="162"/>
      <c r="G7" s="162"/>
      <c r="H7" s="162"/>
      <c r="I7" s="162" t="str">
        <f>image("https://i.imgur.com/PpgoR7K.png")</f>
        <v/>
      </c>
      <c r="J7" s="163"/>
      <c r="M7" s="162"/>
      <c r="N7" s="162"/>
      <c r="O7" s="162"/>
      <c r="P7" s="162"/>
      <c r="Q7" s="162"/>
      <c r="S7" s="162"/>
      <c r="T7" s="163"/>
      <c r="U7" s="147"/>
      <c r="V7" s="147"/>
    </row>
    <row r="8" ht="54.0" customHeight="1">
      <c r="B8" s="164" t="str">
        <f>image("https://i.imgur.com/pQYVkI3.png")</f>
        <v/>
      </c>
      <c r="C8" s="164"/>
      <c r="D8" s="164"/>
      <c r="E8" s="164"/>
      <c r="F8" s="164"/>
      <c r="G8" s="62" t="str">
        <f>image("https://i.imgur.com/qm1V181.png")</f>
        <v/>
      </c>
      <c r="H8" s="62" t="str">
        <f>image("https://i.imgur.com/vYXOllq.png")</f>
        <v/>
      </c>
      <c r="I8" s="164"/>
      <c r="J8" s="163"/>
      <c r="L8" s="164" t="str">
        <f>image("https://i.imgur.com/pQYVkI3.png")</f>
        <v/>
      </c>
      <c r="M8" s="164"/>
      <c r="N8" s="164"/>
      <c r="O8" s="164"/>
      <c r="P8" s="164"/>
      <c r="Q8" s="62" t="str">
        <f>image("https://i.imgur.com/oFdR7zZ.png")</f>
        <v/>
      </c>
      <c r="R8" s="164"/>
      <c r="S8" s="164"/>
      <c r="T8" s="163"/>
      <c r="U8" s="62" t="str">
        <f>image("https://i.imgur.com/LPzG7Eh.png")</f>
        <v/>
      </c>
      <c r="V8" s="62" t="str">
        <f>image("https://i.imgur.com/bT7pefQ.png")</f>
        <v/>
      </c>
    </row>
    <row r="9" ht="54.0" customHeight="1">
      <c r="B9" s="162" t="str">
        <f>image("https://i.imgur.com/pzX6NRL.png")</f>
        <v/>
      </c>
      <c r="C9" s="162"/>
      <c r="D9" s="162"/>
      <c r="E9" s="147" t="str">
        <f>image("https://i.imgur.com/PdGC848.png")</f>
        <v/>
      </c>
      <c r="F9" s="162"/>
      <c r="G9" s="162"/>
      <c r="H9" s="162"/>
      <c r="I9" s="162"/>
      <c r="J9" s="163"/>
      <c r="L9" s="162" t="str">
        <f>image("https://i.imgur.com/pzX6NRL.png")</f>
        <v/>
      </c>
      <c r="M9" s="162"/>
      <c r="N9" s="162"/>
      <c r="O9" s="147" t="str">
        <f>image("https://i.imgur.com/TLYWCKF.png")</f>
        <v/>
      </c>
      <c r="P9" s="162"/>
      <c r="Q9" s="162"/>
      <c r="R9" s="162"/>
      <c r="S9" s="162"/>
      <c r="T9" s="163"/>
      <c r="U9" s="162"/>
      <c r="V9" s="147" t="str">
        <f>image("https://i.imgur.com/vF53E5Y.png")</f>
        <v/>
      </c>
    </row>
    <row r="10" ht="54.0" customHeight="1">
      <c r="B10" s="164" t="str">
        <f>image("https://i.imgur.com/z8bnSYg.png")</f>
        <v/>
      </c>
      <c r="C10" s="62" t="str">
        <f>image("https://i.imgur.com/ASrLo8l.png")</f>
        <v/>
      </c>
      <c r="D10" s="164"/>
      <c r="E10" s="164"/>
      <c r="F10" s="164"/>
      <c r="G10" s="164"/>
      <c r="H10" s="164"/>
      <c r="I10" s="164"/>
      <c r="J10" s="163"/>
      <c r="L10" s="164" t="str">
        <f>image("https://i.imgur.com/z8bnSYg.png")</f>
        <v/>
      </c>
      <c r="M10" s="164"/>
      <c r="N10" s="164"/>
      <c r="O10" s="164"/>
      <c r="P10" s="62" t="str">
        <f>image("https://i.imgur.com/wJAG9ar.png")</f>
        <v/>
      </c>
      <c r="Q10" s="164"/>
      <c r="R10" s="164"/>
      <c r="S10" s="164"/>
      <c r="T10" s="163"/>
      <c r="U10" s="164"/>
      <c r="V10" s="164"/>
    </row>
    <row r="11" ht="54.0" customHeight="1">
      <c r="B11" s="162" t="str">
        <f>image("https://i.imgur.com/QndVudD.png")</f>
        <v/>
      </c>
      <c r="C11" s="162"/>
      <c r="D11" s="162"/>
      <c r="E11" s="162"/>
      <c r="F11" s="147" t="str">
        <f>image("https://i.imgur.com/qbkoP0V.png")</f>
        <v/>
      </c>
      <c r="G11" s="162"/>
      <c r="H11" s="162"/>
      <c r="I11" s="162"/>
      <c r="J11" s="163"/>
      <c r="L11" s="162" t="str">
        <f>image("https://i.imgur.com/QndVudD.png")</f>
        <v/>
      </c>
      <c r="M11" s="162"/>
      <c r="N11" s="147" t="str">
        <f>image("https://i.imgur.com/pdAPoJb.png")</f>
        <v/>
      </c>
      <c r="O11" s="162"/>
      <c r="P11" s="162"/>
      <c r="Q11" s="162"/>
      <c r="R11" s="162"/>
      <c r="S11" s="162"/>
      <c r="T11" s="163"/>
      <c r="U11" s="162"/>
      <c r="V11" s="162"/>
    </row>
    <row r="12" ht="54.0" customHeight="1">
      <c r="C12" s="162"/>
      <c r="D12" s="162"/>
      <c r="E12" s="162"/>
      <c r="F12" s="147" t="str">
        <f>image("https://i.imgur.com/BEbqTOq.png")</f>
        <v/>
      </c>
      <c r="G12" s="162"/>
      <c r="H12" s="162"/>
      <c r="I12" s="162"/>
      <c r="J12" s="163"/>
      <c r="M12" s="162"/>
      <c r="O12" s="162"/>
      <c r="P12" s="162"/>
      <c r="Q12" s="162"/>
      <c r="R12" s="162"/>
      <c r="S12" s="162"/>
      <c r="T12" s="163"/>
      <c r="U12" s="162"/>
      <c r="V12" s="162"/>
    </row>
    <row r="13" ht="54.0" customHeight="1">
      <c r="B13" s="164" t="str">
        <f>image("https://i.imgur.com/hX15sR0.png")</f>
        <v/>
      </c>
      <c r="C13" s="164"/>
      <c r="D13" s="164"/>
      <c r="E13" s="164"/>
      <c r="F13" s="164"/>
      <c r="G13" s="164"/>
      <c r="H13" s="62" t="str">
        <f>image("https://i.imgur.com/xyONEpn.png")</f>
        <v/>
      </c>
      <c r="I13" s="164"/>
      <c r="J13" s="163"/>
      <c r="L13" s="164" t="str">
        <f>image("https://i.imgur.com/hX15sR0.png")</f>
        <v/>
      </c>
      <c r="M13" s="62" t="str">
        <f>image("https://i.imgur.com/jFyGcfN.png")</f>
        <v/>
      </c>
      <c r="N13" s="164"/>
      <c r="O13" s="164"/>
      <c r="P13" s="164"/>
      <c r="Q13" s="164"/>
      <c r="R13" s="164"/>
      <c r="S13" s="164"/>
      <c r="T13" s="163"/>
      <c r="U13" s="164"/>
      <c r="V13" s="164"/>
    </row>
  </sheetData>
  <mergeCells count="13">
    <mergeCell ref="K3:K13"/>
    <mergeCell ref="L6:L7"/>
    <mergeCell ref="L11:L12"/>
    <mergeCell ref="B6:B7"/>
    <mergeCell ref="B11:B12"/>
    <mergeCell ref="A2:I2"/>
    <mergeCell ref="K2:S2"/>
    <mergeCell ref="U2:V2"/>
    <mergeCell ref="A3:A13"/>
    <mergeCell ref="B3:I3"/>
    <mergeCell ref="L3:S3"/>
    <mergeCell ref="R6:R7"/>
    <mergeCell ref="N11:N1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3" max="3" width="15.43"/>
    <col customWidth="1" min="4" max="4" width="7.86"/>
    <col customWidth="1" min="5" max="5" width="9.86"/>
    <col customWidth="1" min="6" max="6" width="29.43"/>
  </cols>
  <sheetData>
    <row r="1">
      <c r="A1" s="165" t="s">
        <v>166</v>
      </c>
      <c r="B1" s="166" t="s">
        <v>43</v>
      </c>
      <c r="C1" s="166" t="s">
        <v>167</v>
      </c>
      <c r="D1" s="166" t="s">
        <v>168</v>
      </c>
      <c r="E1" s="166"/>
      <c r="F1" s="166" t="s">
        <v>793</v>
      </c>
    </row>
    <row r="2">
      <c r="A2" s="167" t="s">
        <v>814</v>
      </c>
      <c r="B2" s="168"/>
      <c r="C2" s="169" t="s">
        <v>815</v>
      </c>
      <c r="D2" s="168"/>
      <c r="E2" s="168"/>
      <c r="F2" s="168"/>
    </row>
    <row r="3" ht="72.0" customHeight="1">
      <c r="A3" s="170" t="s">
        <v>291</v>
      </c>
      <c r="B3" s="171" t="str">
        <f>image("https://i.imgur.com/a6vwqzW.png")</f>
        <v/>
      </c>
      <c r="C3" s="172" t="s">
        <v>216</v>
      </c>
      <c r="D3" s="171" t="str">
        <f>image("https://i.imgur.com/z8bnSYg.png")</f>
        <v/>
      </c>
      <c r="E3" s="171" t="str">
        <f t="shared" ref="E3:E4" si="1">image("https://i.imgur.com/P8lUDX0.png")</f>
        <v/>
      </c>
      <c r="F3" s="173" t="s">
        <v>816</v>
      </c>
    </row>
    <row r="4" ht="72.0" customHeight="1">
      <c r="A4" s="130" t="s">
        <v>513</v>
      </c>
      <c r="B4" s="174" t="str">
        <f>image("https://i.imgur.com/fWA3RqF.png")</f>
        <v/>
      </c>
      <c r="C4" s="175" t="s">
        <v>444</v>
      </c>
      <c r="D4" s="176" t="str">
        <f>image("https://i.imgur.com/pQYVkI3.png")</f>
        <v/>
      </c>
      <c r="E4" s="174" t="str">
        <f t="shared" si="1"/>
        <v/>
      </c>
      <c r="F4" s="177" t="s">
        <v>817</v>
      </c>
    </row>
    <row r="5" ht="72.0" customHeight="1">
      <c r="A5" s="170" t="s">
        <v>534</v>
      </c>
      <c r="B5" s="171" t="str">
        <f>image("https://i.imgur.com/Td6Krwz.png")</f>
        <v/>
      </c>
      <c r="C5" s="172" t="s">
        <v>444</v>
      </c>
      <c r="D5" s="171" t="str">
        <f>image("https://i.imgur.com/pzX6NRL.png")</f>
        <v/>
      </c>
      <c r="E5" s="171" t="str">
        <f>image("https://i.imgur.com/tOS4FvO.png")</f>
        <v/>
      </c>
      <c r="F5" s="173" t="s">
        <v>818</v>
      </c>
    </row>
    <row r="6">
      <c r="A6" s="178" t="s">
        <v>819</v>
      </c>
      <c r="B6" s="179"/>
      <c r="C6" s="179"/>
      <c r="D6" s="179"/>
      <c r="E6" s="179"/>
      <c r="F6" s="179"/>
    </row>
    <row r="7" ht="72.0" customHeight="1">
      <c r="A7" s="170" t="s">
        <v>291</v>
      </c>
      <c r="B7" s="171" t="str">
        <f>image("https://i.imgur.com/a6vwqzW.png")</f>
        <v/>
      </c>
      <c r="C7" s="172" t="s">
        <v>216</v>
      </c>
      <c r="D7" s="171" t="str">
        <f>image("https://i.imgur.com/z8bnSYg.png")</f>
        <v/>
      </c>
      <c r="E7" s="171" t="str">
        <f t="shared" ref="E7:E9" si="2">image("https://i.imgur.com/P8lUDX0.png")</f>
        <v/>
      </c>
      <c r="F7" s="173" t="s">
        <v>820</v>
      </c>
    </row>
    <row r="8" ht="72.0" customHeight="1">
      <c r="A8" s="130" t="s">
        <v>308</v>
      </c>
      <c r="B8" s="174" t="str">
        <f>image("https://i.imgur.com/65YnUZv.png")</f>
        <v/>
      </c>
      <c r="C8" s="175" t="s">
        <v>216</v>
      </c>
      <c r="D8" s="176" t="str">
        <f>image("https://i.imgur.com/NchScWh.png")</f>
        <v/>
      </c>
      <c r="E8" s="174" t="str">
        <f t="shared" si="2"/>
        <v/>
      </c>
      <c r="F8" s="177" t="s">
        <v>821</v>
      </c>
    </row>
    <row r="9" ht="72.0" customHeight="1">
      <c r="A9" s="170" t="s">
        <v>413</v>
      </c>
      <c r="B9" s="171" t="str">
        <f>image("https://i.imgur.com/ZQbgp5T.png")</f>
        <v/>
      </c>
      <c r="C9" s="172" t="s">
        <v>216</v>
      </c>
      <c r="D9" s="171" t="str">
        <f>image("https://i.imgur.com/AHPti72.png")</f>
        <v/>
      </c>
      <c r="E9" s="171" t="str">
        <f t="shared" si="2"/>
        <v/>
      </c>
      <c r="F9" s="173" t="s">
        <v>822</v>
      </c>
    </row>
    <row r="10" ht="72.0" customHeight="1">
      <c r="A10" s="130" t="s">
        <v>435</v>
      </c>
      <c r="B10" s="174" t="str">
        <f>image("https://appmedia.jp/wp-content/uploads/2021/10/f4be05cb87c58caeb82096728958bad4.jpg")</f>
        <v/>
      </c>
      <c r="C10" s="175" t="s">
        <v>216</v>
      </c>
      <c r="D10" s="176" t="str">
        <f>image("https://i.imgur.com/pQYVkI3.png")</f>
        <v/>
      </c>
      <c r="E10" s="174" t="str">
        <f t="shared" ref="E10:E11" si="3">image("https://i.imgur.com/tOS4FvO.png")</f>
        <v/>
      </c>
      <c r="F10" s="177" t="s">
        <v>823</v>
      </c>
    </row>
    <row r="11" ht="72.0" customHeight="1">
      <c r="A11" s="170" t="s">
        <v>443</v>
      </c>
      <c r="B11" s="171" t="str">
        <f>image("https://i.imgur.com/f0tR1Ih.png")</f>
        <v/>
      </c>
      <c r="C11" s="172" t="s">
        <v>444</v>
      </c>
      <c r="D11" s="171" t="str">
        <f>image("https://i.imgur.com/AHPti72.png")</f>
        <v/>
      </c>
      <c r="E11" s="171" t="str">
        <f t="shared" si="3"/>
        <v/>
      </c>
      <c r="F11" s="173" t="s">
        <v>824</v>
      </c>
    </row>
    <row r="12" ht="72.0" customHeight="1">
      <c r="A12" s="130" t="s">
        <v>458</v>
      </c>
      <c r="B12" s="174" t="str">
        <f>image("https://i.imgur.com/nDCA63G.png")</f>
        <v/>
      </c>
      <c r="C12" s="175" t="s">
        <v>444</v>
      </c>
      <c r="D12" s="176" t="str">
        <f>image("https://i.imgur.com/NchScWh.png")</f>
        <v/>
      </c>
      <c r="E12" s="174" t="str">
        <f t="shared" ref="E12:E13" si="4">image("https://i.imgur.com/P8lUDX0.png")</f>
        <v/>
      </c>
      <c r="F12" s="177" t="s">
        <v>825</v>
      </c>
    </row>
    <row r="13" ht="72.0" customHeight="1">
      <c r="A13" s="170" t="s">
        <v>487</v>
      </c>
      <c r="B13" s="171" t="str">
        <f>image("https://i.imgur.com/Rf7EY89.png")</f>
        <v/>
      </c>
      <c r="C13" s="172" t="s">
        <v>444</v>
      </c>
      <c r="D13" s="171" t="str">
        <f>image("https://i.imgur.com/AHPti72.png")</f>
        <v/>
      </c>
      <c r="E13" s="171" t="str">
        <f t="shared" si="4"/>
        <v/>
      </c>
      <c r="F13" s="173" t="s">
        <v>826</v>
      </c>
    </row>
    <row r="14" ht="72.0" customHeight="1">
      <c r="A14" s="130" t="s">
        <v>517</v>
      </c>
      <c r="B14" s="174" t="str">
        <f>image("https://i.imgur.com/rHdRCNT.png")</f>
        <v/>
      </c>
      <c r="C14" s="175" t="s">
        <v>444</v>
      </c>
      <c r="D14" s="176" t="str">
        <f>image("https://i.imgur.com/QndVudD.png")</f>
        <v/>
      </c>
      <c r="E14" s="174" t="str">
        <f>image("https://i.imgur.com/tOS4FvO.png")</f>
        <v/>
      </c>
      <c r="F14" s="177" t="s">
        <v>827</v>
      </c>
    </row>
    <row r="15">
      <c r="A15" s="180" t="s">
        <v>828</v>
      </c>
      <c r="B15" s="179"/>
      <c r="C15" s="179"/>
      <c r="D15" s="179"/>
      <c r="E15" s="179"/>
      <c r="F15" s="179"/>
    </row>
    <row r="16" ht="72.0" customHeight="1">
      <c r="A16" s="130" t="s">
        <v>390</v>
      </c>
      <c r="B16" s="174" t="str">
        <f>image("https://i.imgur.com/ycLKN2i.png")</f>
        <v/>
      </c>
      <c r="C16" s="175" t="s">
        <v>216</v>
      </c>
      <c r="D16" s="176" t="str">
        <f>image("https://i.imgur.com/pQYVkI3.png")</f>
        <v/>
      </c>
      <c r="E16" s="174" t="str">
        <f>image("https://i.imgur.com/P8lUDX0.png")</f>
        <v/>
      </c>
      <c r="F16" s="177" t="s">
        <v>829</v>
      </c>
    </row>
    <row r="17" ht="72.0" customHeight="1">
      <c r="A17" s="170" t="s">
        <v>473</v>
      </c>
      <c r="B17" s="171" t="str">
        <f>image("https://i.imgur.com/uxFRKnU.png")</f>
        <v/>
      </c>
      <c r="C17" s="172" t="s">
        <v>444</v>
      </c>
      <c r="D17" s="171" t="str">
        <f>image("https://i.imgur.com/hX15sR0.png")</f>
        <v/>
      </c>
      <c r="E17" s="171" t="str">
        <f>image("https://i.imgur.com/tOS4FvO.png")</f>
        <v/>
      </c>
      <c r="F17" s="173" t="s">
        <v>830</v>
      </c>
    </row>
    <row r="18" ht="72.0" customHeight="1">
      <c r="A18" s="130" t="s">
        <v>611</v>
      </c>
      <c r="B18" s="174" t="str">
        <f>image("https://i.imgur.com/I5sUyKn.png")</f>
        <v/>
      </c>
      <c r="C18" s="175" t="s">
        <v>444</v>
      </c>
      <c r="D18" s="176" t="str">
        <f>image("https://i.imgur.com/z8bnSYg.png")</f>
        <v/>
      </c>
      <c r="E18" s="174" t="str">
        <f>image("https://i.imgur.com/P8lUDX0.png")</f>
        <v/>
      </c>
      <c r="F18" s="177" t="s">
        <v>831</v>
      </c>
    </row>
    <row r="19">
      <c r="A19" s="180" t="s">
        <v>832</v>
      </c>
      <c r="B19" s="179"/>
      <c r="C19" s="179"/>
      <c r="D19" s="179"/>
      <c r="E19" s="179"/>
      <c r="F19" s="179"/>
    </row>
    <row r="20" ht="72.0" customHeight="1">
      <c r="A20" s="130" t="s">
        <v>480</v>
      </c>
      <c r="B20" s="174" t="str">
        <f>image("https://i.imgur.com/MowZDgR.png
")</f>
        <v/>
      </c>
      <c r="C20" s="175" t="s">
        <v>444</v>
      </c>
      <c r="D20" s="176" t="str">
        <f>image("https://i.imgur.com/pzX6NRL.png")</f>
        <v/>
      </c>
      <c r="E20" s="174" t="str">
        <f>image("https://i.imgur.com/tOS4FvO.png")</f>
        <v/>
      </c>
      <c r="F20" s="177" t="s">
        <v>833</v>
      </c>
    </row>
    <row r="21">
      <c r="A21" s="181" t="s">
        <v>834</v>
      </c>
      <c r="B21" s="179"/>
      <c r="C21" s="179"/>
      <c r="D21" s="179"/>
      <c r="E21" s="179"/>
      <c r="F21" s="179"/>
    </row>
    <row r="22" ht="72.0" customHeight="1">
      <c r="A22" s="130" t="s">
        <v>238</v>
      </c>
      <c r="B22" s="174" t="str">
        <f>image("https://i.imgur.com/PhpijIb.png")</f>
        <v/>
      </c>
      <c r="C22" s="175" t="s">
        <v>216</v>
      </c>
      <c r="D22" s="176" t="str">
        <f>image("https://i.imgur.com/AHPti72.png")</f>
        <v/>
      </c>
      <c r="E22" s="174" t="str">
        <f t="shared" ref="E22:E25" si="5">image("https://i.imgur.com/tOS4FvO.png")</f>
        <v/>
      </c>
      <c r="F22" s="177" t="s">
        <v>835</v>
      </c>
    </row>
    <row r="23" ht="72.0" customHeight="1">
      <c r="A23" s="170" t="s">
        <v>256</v>
      </c>
      <c r="B23" s="171" t="str">
        <f>image("https://i.imgur.com/5oQIPyg.png")</f>
        <v/>
      </c>
      <c r="C23" s="172" t="s">
        <v>216</v>
      </c>
      <c r="D23" s="171" t="str">
        <f t="shared" ref="D23:D24" si="6">image("https://i.imgur.com/NchScWh.png")</f>
        <v/>
      </c>
      <c r="E23" s="171" t="str">
        <f t="shared" si="5"/>
        <v/>
      </c>
      <c r="F23" s="173" t="s">
        <v>836</v>
      </c>
    </row>
    <row r="24" ht="72.0" customHeight="1">
      <c r="A24" s="130" t="s">
        <v>494</v>
      </c>
      <c r="B24" s="174" t="str">
        <f>image("https://i.imgur.com/YRHwG3e.png")</f>
        <v/>
      </c>
      <c r="C24" s="175" t="s">
        <v>444</v>
      </c>
      <c r="D24" s="176" t="str">
        <f t="shared" si="6"/>
        <v/>
      </c>
      <c r="E24" s="174" t="str">
        <f t="shared" si="5"/>
        <v/>
      </c>
      <c r="F24" s="177" t="s">
        <v>837</v>
      </c>
    </row>
    <row r="25" ht="72.0" customHeight="1">
      <c r="A25" s="170" t="s">
        <v>501</v>
      </c>
      <c r="B25" s="171" t="str">
        <f>image("https://i.imgur.com/ZT4CeDo.png")</f>
        <v/>
      </c>
      <c r="C25" s="172" t="s">
        <v>444</v>
      </c>
      <c r="D25" s="171" t="str">
        <f>image("https://i.imgur.com/hX15sR0.png")</f>
        <v/>
      </c>
      <c r="E25" s="171" t="str">
        <f t="shared" si="5"/>
        <v/>
      </c>
      <c r="F25" s="173" t="s">
        <v>838</v>
      </c>
    </row>
    <row r="26">
      <c r="A26" s="182" t="s">
        <v>839</v>
      </c>
      <c r="B26" s="183"/>
      <c r="C26" s="183"/>
      <c r="D26" s="183"/>
      <c r="E26" s="183"/>
      <c r="F26" s="183"/>
    </row>
    <row r="27" ht="72.0" customHeight="1">
      <c r="A27" s="130" t="s">
        <v>256</v>
      </c>
      <c r="B27" s="174" t="str">
        <f>image("https://i.imgur.com/5oQIPyg.png")</f>
        <v/>
      </c>
      <c r="C27" s="184" t="s">
        <v>216</v>
      </c>
      <c r="D27" s="174" t="str">
        <f>image("https://i.imgur.com/NchScWh.png")</f>
        <v/>
      </c>
      <c r="E27" s="174" t="str">
        <f>image("https://i.imgur.com/tOS4FvO.png")</f>
        <v/>
      </c>
      <c r="F27" s="42" t="s">
        <v>840</v>
      </c>
    </row>
  </sheetData>
  <dataValidations>
    <dataValidation type="list" allowBlank="1" sqref="F27">
      <formula1>Skills!$E$2:$E$240</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0.0"/>
    <col customWidth="1" min="2" max="2" width="12.71"/>
    <col customWidth="1" min="3" max="3" width="13.14"/>
    <col customWidth="1" min="4" max="4" width="187.71"/>
    <col customWidth="1" min="5" max="5" width="145.71"/>
  </cols>
  <sheetData>
    <row r="1">
      <c r="A1" s="185" t="s">
        <v>166</v>
      </c>
      <c r="B1" s="186" t="s">
        <v>841</v>
      </c>
      <c r="C1" s="187" t="s">
        <v>842</v>
      </c>
      <c r="D1" s="185" t="s">
        <v>44</v>
      </c>
      <c r="E1" s="187" t="s">
        <v>843</v>
      </c>
    </row>
    <row r="2">
      <c r="A2" s="188" t="s">
        <v>844</v>
      </c>
      <c r="B2" s="41" t="s">
        <v>225</v>
      </c>
      <c r="C2" s="188" t="s">
        <v>794</v>
      </c>
      <c r="D2" s="188" t="s">
        <v>845</v>
      </c>
      <c r="E2" s="189" t="str">
        <f t="array" ref="E2">concatenate(A2,,":",CHAR(10),D2)</f>
        <v>A Moment of Peace Lv.1/Lv.10:
Increases Soul of Divine Protection damage by 50%/60% (Turns: 3). Increases all Soul of Divine Protection gauges' increase by 20% (Turns: 3).</v>
      </c>
    </row>
    <row r="3">
      <c r="A3" s="188" t="s">
        <v>846</v>
      </c>
      <c r="B3" s="41" t="s">
        <v>225</v>
      </c>
      <c r="C3" s="188" t="s">
        <v>794</v>
      </c>
      <c r="D3" s="188" t="s">
        <v>847</v>
      </c>
      <c r="E3" s="189" t="str">
        <f t="array" ref="E3">concatenate(A3,,":",CHAR(10),D3)</f>
        <v>Astrology Lv.1/Lv.10:
Increases Soul of Secrets damage by 30%/40% (Turns: 3). Increases all Soul of Secrets gauges' increase by 40% (Turns: 3).</v>
      </c>
    </row>
    <row r="4">
      <c r="A4" s="188" t="s">
        <v>848</v>
      </c>
      <c r="B4" s="41" t="s">
        <v>225</v>
      </c>
      <c r="C4" s="188" t="s">
        <v>794</v>
      </c>
      <c r="D4" s="188" t="s">
        <v>849</v>
      </c>
      <c r="E4" s="189" t="str">
        <f t="array" ref="E4">concatenate(A4,,":",CHAR(10),D4)</f>
        <v>Chaos Control Lv.1/Lv.10:
Increases skill cost limit until the end of battle by 10/20 (Max: 999). Changes Soul of Skills into Soul of Secrets. Increases skill points by 20.</v>
      </c>
    </row>
    <row r="5">
      <c r="A5" s="188" t="s">
        <v>850</v>
      </c>
      <c r="B5" s="41" t="s">
        <v>225</v>
      </c>
      <c r="C5" s="188" t="s">
        <v>794</v>
      </c>
      <c r="D5" s="188" t="s">
        <v>851</v>
      </c>
      <c r="E5" s="189" t="str">
        <f t="array" ref="E5">concatenate(A5,,":",CHAR(10),D5)</f>
        <v>Cooking Technique Lv.1/Lv.10:
Increases Soul of Skills damage by 30%/40% (Turns: 3). Increases all Soul of Skills gauges' increase by 40% (Turns: 3).</v>
      </c>
    </row>
    <row r="6">
      <c r="A6" s="188" t="s">
        <v>852</v>
      </c>
      <c r="B6" s="41" t="s">
        <v>225</v>
      </c>
      <c r="C6" s="188" t="s">
        <v>794</v>
      </c>
      <c r="D6" s="188" t="s">
        <v>853</v>
      </c>
      <c r="E6" s="189" t="str">
        <f t="array" ref="E6">concatenate(A6,,":",CHAR(10),D6)</f>
        <v>Craftsmanship Revelation Lv.1/Lv.10:
Increases all allies' guard rate by 30%/40% (Turns: 2).</v>
      </c>
    </row>
    <row r="7">
      <c r="A7" s="188" t="s">
        <v>854</v>
      </c>
      <c r="B7" s="41" t="s">
        <v>225</v>
      </c>
      <c r="C7" s="188" t="s">
        <v>794</v>
      </c>
      <c r="D7" s="188" t="s">
        <v>855</v>
      </c>
      <c r="E7" s="189" t="str">
        <f t="array" ref="E7">concatenate(A7,,":",CHAR(10),D7)</f>
        <v>Distribution Support Lv.1/Lv.10:
Increases all allies' guard rate by 50%/70% (Turns: 2). Increases all allies' guard power by 10% (Turns: 2).</v>
      </c>
    </row>
    <row r="8">
      <c r="A8" s="188" t="s">
        <v>856</v>
      </c>
      <c r="B8" s="41" t="s">
        <v>225</v>
      </c>
      <c r="C8" s="188" t="s">
        <v>794</v>
      </c>
      <c r="D8" s="188" t="s">
        <v>857</v>
      </c>
      <c r="E8" s="189" t="str">
        <f t="array" ref="E8">concatenate(A8,,":",CHAR(10),D8)</f>
        <v>Drago Changer Lv.1/Lv.10:
Increases all allies' guard rate by 60%/80% (Turns: 3). Increases Soul of Divine Protection damage until the end of battle by 20% (Max: 100%).</v>
      </c>
    </row>
    <row r="9">
      <c r="A9" s="188" t="s">
        <v>858</v>
      </c>
      <c r="B9" s="41" t="s">
        <v>225</v>
      </c>
      <c r="C9" s="188" t="s">
        <v>794</v>
      </c>
      <c r="D9" s="188" t="s">
        <v>859</v>
      </c>
      <c r="E9" s="189" t="str">
        <f t="array" ref="E9">concatenate(A9,,":",CHAR(10),D9)</f>
        <v>End of Searching Lv.1/Lv.10:
Increases skill cost limit until the end of battle by 5/15 (Max: 999). Changes Soul of Secrets into Soul of Divine Protection.</v>
      </c>
    </row>
    <row r="10">
      <c r="A10" s="188" t="s">
        <v>860</v>
      </c>
      <c r="B10" s="41" t="s">
        <v>225</v>
      </c>
      <c r="C10" s="188" t="s">
        <v>794</v>
      </c>
      <c r="D10" s="188" t="s">
        <v>861</v>
      </c>
      <c r="E10" s="189" t="str">
        <f t="array" ref="E10">concatenate(A10,,":",CHAR(10),D10)</f>
        <v>Fire Blast Lv.1/Lv.10:
Increases all Soul of Secrets gauges' increase by 25%/35% (Turns: 3). Increases all allies' fire ATK by 10% (Turns: 2).</v>
      </c>
    </row>
    <row r="11">
      <c r="A11" s="188" t="s">
        <v>862</v>
      </c>
      <c r="B11" s="41" t="s">
        <v>225</v>
      </c>
      <c r="C11" s="188" t="s">
        <v>794</v>
      </c>
      <c r="D11" s="188" t="s">
        <v>863</v>
      </c>
      <c r="E11" s="189" t="str">
        <f t="array" ref="E11">concatenate(A11,,":",CHAR(10),D11)</f>
        <v>Flame Zone Lv.1/Lv.10:
Increases all allies' Secret Skill Gauge by 30%/40%. Increases all allies' fire ATK by 15% (Turns: 2).</v>
      </c>
    </row>
    <row r="12">
      <c r="A12" s="188" t="s">
        <v>864</v>
      </c>
      <c r="B12" s="41" t="s">
        <v>225</v>
      </c>
      <c r="C12" s="188" t="s">
        <v>794</v>
      </c>
      <c r="D12" s="188" t="s">
        <v>865</v>
      </c>
      <c r="E12" s="189" t="str">
        <f t="array" ref="E12">concatenate(A12,,":",CHAR(10),D12)</f>
        <v>Gentle Prayer Lv.1/Lv.10:
Increases skill cost limit until the end of battle by 20/30 (Max: 999). Increases skill points by 20.</v>
      </c>
    </row>
    <row r="13">
      <c r="A13" s="188" t="s">
        <v>866</v>
      </c>
      <c r="B13" s="41" t="s">
        <v>225</v>
      </c>
      <c r="C13" s="188" t="s">
        <v>794</v>
      </c>
      <c r="D13" s="188" t="s">
        <v>867</v>
      </c>
      <c r="E13" s="189" t="str">
        <f t="array" ref="E13">concatenate(A13,,":",CHAR(10),D13)</f>
        <v>Information Gathering Lv.1/Lv.10:
Increases skill cost limit until the end of battle by 5/15 (Max: 999). Changes Soul of Secrets into Soul of Skills.</v>
      </c>
    </row>
    <row r="14">
      <c r="A14" s="188" t="s">
        <v>868</v>
      </c>
      <c r="B14" s="41" t="s">
        <v>225</v>
      </c>
      <c r="C14" s="188" t="s">
        <v>794</v>
      </c>
      <c r="D14" s="188" t="s">
        <v>869</v>
      </c>
      <c r="E14" s="189" t="str">
        <f t="array" ref="E14">concatenate(A14,,":",CHAR(10),D14)</f>
        <v>Limit Break Lv.1/Lv.10:
Increases all allies' guard rate by 60%/80% (Turns: 3). Increases all allies' counterattack rate by 60% (Turns: 2).</v>
      </c>
    </row>
    <row r="15">
      <c r="A15" s="188" t="s">
        <v>870</v>
      </c>
      <c r="B15" s="41" t="s">
        <v>225</v>
      </c>
      <c r="C15" s="188" t="s">
        <v>794</v>
      </c>
      <c r="D15" s="188" t="s">
        <v>871</v>
      </c>
      <c r="E15" s="189" t="str">
        <f t="array" ref="E15">concatenate(A15,,":",CHAR(10),D15)</f>
        <v>Proficiency and Expertise Lv.1/Lv.10:
Increases Soul of Skills damage by 30%/40% (Turns: 3). Increases all Soul of Skills gauges' increase by 30% (Turns: 3).</v>
      </c>
    </row>
    <row r="16">
      <c r="A16" s="188" t="s">
        <v>872</v>
      </c>
      <c r="B16" s="41" t="s">
        <v>225</v>
      </c>
      <c r="C16" s="188" t="s">
        <v>794</v>
      </c>
      <c r="D16" s="188" t="s">
        <v>873</v>
      </c>
      <c r="E16" s="189" t="str">
        <f t="array" ref="E16">concatenate(A16,,":",CHAR(10),D16)</f>
        <v>Protection of Arrival Lv.1/Lv.10:
Increases all Soul of Divine Protection gauges' increase by 40%/50% (Turns: 2). Increases all allies' light ATK by 10% (Turns: 2).</v>
      </c>
    </row>
    <row r="17">
      <c r="A17" s="188" t="s">
        <v>874</v>
      </c>
      <c r="B17" s="41" t="s">
        <v>225</v>
      </c>
      <c r="C17" s="188" t="s">
        <v>794</v>
      </c>
      <c r="D17" s="188" t="s">
        <v>875</v>
      </c>
      <c r="E17" s="189" t="str">
        <f t="array" ref="E17">concatenate(A17,,":",CHAR(10),D17)</f>
        <v>Protection of the Storm Dragon Lv.1/Lv.10:
Changes Soul of Skills into Soul of Secrets. Increases Soul of Secrets damage by 5%/15% (Turns: 1).</v>
      </c>
    </row>
    <row r="18">
      <c r="A18" s="188" t="s">
        <v>876</v>
      </c>
      <c r="B18" s="41" t="s">
        <v>225</v>
      </c>
      <c r="C18" s="188" t="s">
        <v>794</v>
      </c>
      <c r="D18" s="188" t="s">
        <v>877</v>
      </c>
      <c r="E18" s="189" t="str">
        <f t="array" ref="E18">concatenate(A18,,":",CHAR(10),D18)</f>
        <v>Silent Support Lv.1/Lv.10:
Increases skill cost limit until the end of battle by 30/40 (Max: 999). Increases all Soul of Skills gauges' increase by 40% (Turns: 3).</v>
      </c>
    </row>
    <row r="19">
      <c r="A19" s="188" t="s">
        <v>878</v>
      </c>
      <c r="B19" s="41" t="s">
        <v>225</v>
      </c>
      <c r="C19" s="188" t="s">
        <v>794</v>
      </c>
      <c r="D19" s="188" t="s">
        <v>879</v>
      </c>
      <c r="E19" s="189" t="str">
        <f t="array" ref="E19">concatenate(A19,,":",CHAR(10),D19)</f>
        <v>Small World Lv.1/Lv.10:
Changes Soul of Secrets into Soul of Divine Protection. Increases all allies' light ATK by 10%/20% (Turns: 2).</v>
      </c>
    </row>
    <row r="20">
      <c r="A20" s="188" t="s">
        <v>880</v>
      </c>
      <c r="B20" s="41" t="s">
        <v>225</v>
      </c>
      <c r="C20" s="188" t="s">
        <v>794</v>
      </c>
      <c r="D20" s="188" t="s">
        <v>881</v>
      </c>
      <c r="E20" s="189" t="str">
        <f t="array" ref="E20">concatenate(A20,,":",CHAR(10),D20)</f>
        <v>Supreme Sword Lv.1/Lv.10:
Increases all allies' guard rate by 50%/70% (Turns: 2). Increases Soul of Skills damage by 10% (Turns: 3).</v>
      </c>
    </row>
    <row r="21">
      <c r="A21" s="188" t="s">
        <v>882</v>
      </c>
      <c r="B21" s="41" t="s">
        <v>225</v>
      </c>
      <c r="C21" s="188" t="s">
        <v>794</v>
      </c>
      <c r="D21" s="188" t="s">
        <v>883</v>
      </c>
      <c r="E21" s="189" t="str">
        <f t="array" ref="E21">concatenate(A21,,":",CHAR(10),D21)</f>
        <v>Tempest Shout Lv.1/Lv.10:
Increases skill cost limit until the end of battle by 20/30 (Max: 999). Increases Soul of Combos damage by 10% (Max: 50%). Increases skill points by 30.</v>
      </c>
    </row>
    <row r="22">
      <c r="A22" s="188" t="s">
        <v>884</v>
      </c>
      <c r="B22" s="41" t="s">
        <v>225</v>
      </c>
      <c r="C22" s="188" t="s">
        <v>794</v>
      </c>
      <c r="D22" s="188" t="s">
        <v>885</v>
      </c>
      <c r="E22" s="189" t="str">
        <f t="array" ref="E22">concatenate(A22,,":",CHAR(10),D22)</f>
        <v>Thunder and Rain Lv.1/Lv.10:
Increases skill cost limit until the end of battle by 5/15 (Max: 999). Changes Soul of Divine Protection into Soul of Skills.</v>
      </c>
    </row>
    <row r="23">
      <c r="A23" s="188" t="s">
        <v>886</v>
      </c>
      <c r="B23" s="41" t="s">
        <v>225</v>
      </c>
      <c r="C23" s="188" t="s">
        <v>794</v>
      </c>
      <c r="D23" s="188" t="s">
        <v>887</v>
      </c>
      <c r="E23" s="189" t="str">
        <f t="array" ref="E23">concatenate(A23,,":",CHAR(10),D23)</f>
        <v>Wicked Eye Lv.1/Lv.10:
Increases skill cost limit until end of battle by 30/40 (Max: 999). Increases all Soul of Skills gauges' increase by 150% (Turns: 3).</v>
      </c>
    </row>
    <row r="24">
      <c r="A24" s="188" t="s">
        <v>888</v>
      </c>
      <c r="B24" s="190" t="s">
        <v>225</v>
      </c>
      <c r="C24" s="188" t="s">
        <v>794</v>
      </c>
      <c r="D24" s="188" t="s">
        <v>889</v>
      </c>
      <c r="E24" s="189" t="str">
        <f t="array" ref="E24">concatenate(A24,,":",CHAR(10),D24)</f>
        <v>Flawless Secretary Lv.1/Lv.10:
Changes Soul of Skills into Soul of Divine Protection. Increases all allies' Secret Skill Gauge by 15%/25%.</v>
      </c>
    </row>
    <row r="25">
      <c r="A25" s="188" t="s">
        <v>890</v>
      </c>
      <c r="B25" s="190" t="s">
        <v>225</v>
      </c>
      <c r="C25" s="188" t="s">
        <v>794</v>
      </c>
      <c r="D25" s="188" t="s">
        <v>891</v>
      </c>
      <c r="E25" s="189" t="str">
        <f t="array" ref="E25">concatenate(A25,,":",CHAR(10),D25)</f>
        <v>Yuletide Sparkle Lv.1/Lv.10:
Increases all allies' guard rate by 60%/80% (Turns: 3). Increases all Soul of Skills gauges' increase by 50% (Turns: 3).</v>
      </c>
    </row>
    <row r="26">
      <c r="A26" s="188" t="s">
        <v>892</v>
      </c>
      <c r="B26" s="190">
        <v>100.0</v>
      </c>
      <c r="C26" s="36" t="s">
        <v>645</v>
      </c>
      <c r="D26" s="188" t="s">
        <v>893</v>
      </c>
      <c r="E26" s="189" t="str">
        <f t="array" ref="E26">concatenate(A26,,":",CHAR(10),D26)</f>
        <v>Hour of Prosperity Lv.MAX:
Increase all allies' fire ATK at the start of battle by 16%. Increase all allies' wind ATK at start of battle by 8%.</v>
      </c>
    </row>
    <row r="27">
      <c r="A27" s="188" t="s">
        <v>894</v>
      </c>
      <c r="B27" s="190">
        <v>100.0</v>
      </c>
      <c r="C27" s="188" t="s">
        <v>794</v>
      </c>
      <c r="D27" s="188" t="s">
        <v>895</v>
      </c>
      <c r="E27" s="189" t="str">
        <f t="array" ref="E27">concatenate(A27,,":",CHAR(10),D27)</f>
        <v>Tempest Daybreak Lv.1/Lv.10:
Decrease all targets' fire resistance by 20%/30% (Turns: 3). Increase Soul of Divine Protection gauges' increase until the end of the battle by 20% (Max: 100%). Increase skill cost limit until the end of battle by 25 (Max: 999).</v>
      </c>
    </row>
    <row r="28">
      <c r="A28" s="188" t="s">
        <v>896</v>
      </c>
      <c r="B28" s="190">
        <v>100.0</v>
      </c>
      <c r="C28" s="36" t="s">
        <v>645</v>
      </c>
      <c r="D28" s="188" t="s">
        <v>897</v>
      </c>
      <c r="E28" s="189" t="str">
        <f t="array" ref="E28">concatenate(A28,,":",CHAR(10),D28)</f>
        <v>Forged Armor Lv.MAX:
Increases all allies' P-ATK at start of battle by 11%.</v>
      </c>
    </row>
    <row r="29">
      <c r="A29" s="188" t="s">
        <v>898</v>
      </c>
      <c r="B29" s="190">
        <v>100.0</v>
      </c>
      <c r="C29" s="36" t="s">
        <v>645</v>
      </c>
      <c r="D29" s="188" t="s">
        <v>899</v>
      </c>
      <c r="E29" s="189" t="str">
        <f t="array" ref="E29">concatenate(A29,,":",CHAR(10),D29)</f>
        <v>Unconcealed Power Lv.MAX:
Increases all allies' dark ATK at start of battle by 16%. Increases all allies' fire ATK at start of battle by 8%.</v>
      </c>
    </row>
    <row r="30">
      <c r="A30" s="188" t="s">
        <v>900</v>
      </c>
      <c r="B30" s="190">
        <v>100.0</v>
      </c>
      <c r="C30" s="188" t="s">
        <v>792</v>
      </c>
      <c r="D30" s="188" t="s">
        <v>901</v>
      </c>
      <c r="E30" s="189" t="str">
        <f t="array" ref="E30">concatenate(A30,,":",CHAR(10),D30)</f>
        <v>Aerial Blade Lv.MAX:
Single-target earth magic attack for 450%.</v>
      </c>
    </row>
    <row r="31">
      <c r="A31" s="188" t="s">
        <v>902</v>
      </c>
      <c r="B31" s="190">
        <v>100.0</v>
      </c>
      <c r="C31" s="188" t="s">
        <v>792</v>
      </c>
      <c r="D31" s="188" t="s">
        <v>903</v>
      </c>
      <c r="E31" s="189" t="str">
        <f t="array" ref="E31">concatenate(A31,,":",CHAR(10),D31)</f>
        <v>Aerial Slicer Lv.MAX:
All-target earth magic attack for 260%.</v>
      </c>
    </row>
    <row r="32">
      <c r="A32" s="188" t="s">
        <v>904</v>
      </c>
      <c r="B32" s="190">
        <v>100.0</v>
      </c>
      <c r="C32" s="36" t="s">
        <v>645</v>
      </c>
      <c r="D32" s="188" t="s">
        <v>905</v>
      </c>
      <c r="E32" s="189" t="str">
        <f t="array" ref="E32">concatenate(A32,,":",CHAR(10),D32)</f>
        <v>Ambition of the Four True Dragons Lv.MAX:
Increases all allies' wind ATK at start of battle by 16%. Increases all allies' dark ATK at start of battle by 8%.</v>
      </c>
    </row>
    <row r="33">
      <c r="A33" s="188" t="s">
        <v>906</v>
      </c>
      <c r="B33" s="190">
        <v>100.0</v>
      </c>
      <c r="C33" s="188" t="s">
        <v>792</v>
      </c>
      <c r="D33" s="188" t="s">
        <v>907</v>
      </c>
      <c r="E33" s="189" t="str">
        <f t="array" ref="E33">concatenate(A33,,":",CHAR(10),D33)</f>
        <v>Berserk Break Lv.MAX:
Single-target water physical attack for 420%.</v>
      </c>
    </row>
    <row r="34">
      <c r="A34" s="188" t="s">
        <v>908</v>
      </c>
      <c r="B34" s="190">
        <v>100.0</v>
      </c>
      <c r="C34" s="188" t="s">
        <v>792</v>
      </c>
      <c r="D34" s="188" t="s">
        <v>909</v>
      </c>
      <c r="E34" s="189" t="str">
        <f t="array" ref="E34">concatenate(A34,,":",CHAR(10),D34)</f>
        <v>Binding Hell Flare Lv.MAX:
Single-target dark magic attack for 435%.</v>
      </c>
    </row>
    <row r="35">
      <c r="A35" s="188" t="s">
        <v>910</v>
      </c>
      <c r="B35" s="190">
        <v>100.0</v>
      </c>
      <c r="C35" s="188" t="s">
        <v>792</v>
      </c>
      <c r="D35" s="188" t="s">
        <v>911</v>
      </c>
      <c r="E35" s="189" t="str">
        <f t="array" ref="E35">concatenate(A35,,":",CHAR(10),D35)</f>
        <v>Drago Upper Lv.MAX:
Single-target fire physical attack for 450%.</v>
      </c>
    </row>
    <row r="36">
      <c r="A36" s="188" t="s">
        <v>912</v>
      </c>
      <c r="B36" s="190">
        <v>100.0</v>
      </c>
      <c r="C36" s="188" t="s">
        <v>792</v>
      </c>
      <c r="D36" s="188" t="s">
        <v>913</v>
      </c>
      <c r="E36" s="189" t="str">
        <f t="array" ref="E36">concatenate(A36,,":",CHAR(10),D36)</f>
        <v>Black Lightning Lv.MAX:
All-target water magic attack for 270%.</v>
      </c>
    </row>
    <row r="37">
      <c r="A37" s="188" t="s">
        <v>914</v>
      </c>
      <c r="B37" s="190">
        <v>100.0</v>
      </c>
      <c r="C37" s="36" t="s">
        <v>645</v>
      </c>
      <c r="D37" s="188" t="s">
        <v>897</v>
      </c>
      <c r="E37" s="189" t="str">
        <f t="array" ref="E37">concatenate(A37,,":",CHAR(10),D37)</f>
        <v>Blooming Smile Lv.MAX:
Increases all allies' P-ATK at start of battle by 11%.</v>
      </c>
    </row>
    <row r="38">
      <c r="A38" s="188" t="s">
        <v>915</v>
      </c>
      <c r="B38" s="190">
        <v>100.0</v>
      </c>
      <c r="C38" s="36" t="s">
        <v>645</v>
      </c>
      <c r="D38" s="188" t="s">
        <v>916</v>
      </c>
      <c r="E38" s="189" t="str">
        <f t="array" ref="E38">concatenate(A38,,":",CHAR(10),D38)</f>
        <v>Building a Base Lv.MAX:
Increases all allies' M-ATK at start of battle by 11%.</v>
      </c>
    </row>
    <row r="39">
      <c r="A39" s="188" t="s">
        <v>917</v>
      </c>
      <c r="B39" s="190">
        <v>100.0</v>
      </c>
      <c r="C39" s="36" t="s">
        <v>645</v>
      </c>
      <c r="D39" s="188" t="s">
        <v>918</v>
      </c>
      <c r="E39" s="189" t="str">
        <f t="array" ref="E39">concatenate(A39,,":",CHAR(10),D39)</f>
        <v>Burning Invasion Lv.MAX:
Increases all allies' fire ATK at start of battle by 13%. Increases all allies' earth ATK at start of battle by 5%.</v>
      </c>
    </row>
    <row r="40">
      <c r="A40" s="188" t="s">
        <v>919</v>
      </c>
      <c r="B40" s="190">
        <v>100.0</v>
      </c>
      <c r="C40" s="36" t="s">
        <v>645</v>
      </c>
      <c r="D40" s="188" t="s">
        <v>920</v>
      </c>
      <c r="E40" s="189" t="str">
        <f t="array" ref="E40">concatenate(A40,,":",CHAR(10),D40)</f>
        <v>Burning Siege Lv.MAX:
Increases all allies' fire ATK at start of battle by 16%. Increases all allies' light ATK at start of battle by 8%.</v>
      </c>
    </row>
    <row r="41">
      <c r="A41" s="188" t="s">
        <v>921</v>
      </c>
      <c r="B41" s="190">
        <v>100.0</v>
      </c>
      <c r="C41" s="188" t="s">
        <v>792</v>
      </c>
      <c r="D41" s="188" t="s">
        <v>922</v>
      </c>
      <c r="E41" s="189" t="str">
        <f t="array" ref="E41">concatenate(A41,,":",CHAR(10),D41)</f>
        <v>Celestial Scintillation Lv.MAX:
Single-target light magic attack for 450%.</v>
      </c>
    </row>
    <row r="42">
      <c r="A42" s="188" t="s">
        <v>923</v>
      </c>
      <c r="B42" s="190">
        <v>100.0</v>
      </c>
      <c r="C42" s="188" t="s">
        <v>792</v>
      </c>
      <c r="D42" s="188" t="s">
        <v>924</v>
      </c>
      <c r="E42" s="189" t="str">
        <f t="array" ref="E42">concatenate(A42,,":",CHAR(10),D42)</f>
        <v>Chain of Blue Flames Lv.MAX:
All-target fire magic attack for 260%.</v>
      </c>
    </row>
    <row r="43">
      <c r="A43" s="188" t="s">
        <v>925</v>
      </c>
      <c r="B43" s="190">
        <v>100.0</v>
      </c>
      <c r="C43" s="36" t="s">
        <v>645</v>
      </c>
      <c r="D43" s="188" t="s">
        <v>897</v>
      </c>
      <c r="E43" s="189" t="str">
        <f t="array" ref="E43">concatenate(A43,,":",CHAR(10),D43)</f>
        <v>Charitable Smile Lv.MAX:
Increases all allies' P-ATK at start of battle by 11%.</v>
      </c>
    </row>
    <row r="44">
      <c r="A44" s="188" t="s">
        <v>926</v>
      </c>
      <c r="B44" s="190">
        <v>100.0</v>
      </c>
      <c r="C44" s="188" t="s">
        <v>792</v>
      </c>
      <c r="D44" s="188" t="s">
        <v>927</v>
      </c>
      <c r="E44" s="189" t="str">
        <f t="array" ref="E44">concatenate(A44,,":",CHAR(10),D44)</f>
        <v>Cicada Flash Lv.MAX:
Single-target wind physical attack for 450%.</v>
      </c>
    </row>
    <row r="45">
      <c r="A45" s="188" t="s">
        <v>928</v>
      </c>
      <c r="B45" s="190">
        <v>100.0</v>
      </c>
      <c r="C45" s="188" t="s">
        <v>792</v>
      </c>
      <c r="D45" s="188" t="s">
        <v>929</v>
      </c>
      <c r="E45" s="189" t="str">
        <f t="array" ref="E45">concatenate(A45,,":",CHAR(10),D45)</f>
        <v>Darkness Cannon Lv.MAX:
Single-target dark magic attack for 450%.</v>
      </c>
    </row>
    <row r="46">
      <c r="A46" s="188" t="s">
        <v>930</v>
      </c>
      <c r="B46" s="190">
        <v>100.0</v>
      </c>
      <c r="C46" s="188" t="s">
        <v>792</v>
      </c>
      <c r="D46" s="188" t="s">
        <v>931</v>
      </c>
      <c r="E46" s="189" t="str">
        <f t="array" ref="E46">concatenate(A46,,":",CHAR(10),D46)</f>
        <v>Death Storm Lv.MAX:
All-target space magic attack for 270%.</v>
      </c>
    </row>
    <row r="47">
      <c r="A47" s="188" t="s">
        <v>932</v>
      </c>
      <c r="B47" s="190">
        <v>100.0</v>
      </c>
      <c r="C47" s="188" t="s">
        <v>792</v>
      </c>
      <c r="D47" s="188" t="s">
        <v>929</v>
      </c>
      <c r="E47" s="189" t="str">
        <f t="array" ref="E47">concatenate(A47,,":",CHAR(10),D47)</f>
        <v>Drago-Nova Lv.MAX:
Single-target dark magic attack for 450%.</v>
      </c>
    </row>
    <row r="48">
      <c r="A48" s="188" t="s">
        <v>933</v>
      </c>
      <c r="B48" s="190">
        <v>100.0</v>
      </c>
      <c r="C48" s="188" t="s">
        <v>792</v>
      </c>
      <c r="D48" s="188" t="s">
        <v>934</v>
      </c>
      <c r="E48" s="189" t="str">
        <f t="array" ref="E48">concatenate(A48,,":",CHAR(10),D48)</f>
        <v>Deathmarch Dance Lv.MAX:
All-target dark magic attack for 260%.</v>
      </c>
    </row>
    <row r="49">
      <c r="A49" s="188" t="s">
        <v>935</v>
      </c>
      <c r="B49" s="190">
        <v>100.0</v>
      </c>
      <c r="C49" s="188" t="s">
        <v>792</v>
      </c>
      <c r="D49" s="188" t="s">
        <v>936</v>
      </c>
      <c r="E49" s="189" t="str">
        <f t="array" ref="E49">concatenate(A49,,":",CHAR(10),D49)</f>
        <v>Detonating Flash Lv.MAX:
All-target light physical attack for 260%.</v>
      </c>
    </row>
    <row r="50">
      <c r="A50" s="188" t="s">
        <v>937</v>
      </c>
      <c r="B50" s="190">
        <v>100.0</v>
      </c>
      <c r="C50" s="188" t="s">
        <v>792</v>
      </c>
      <c r="D50" s="188" t="s">
        <v>938</v>
      </c>
      <c r="E50" s="189" t="str">
        <f t="array" ref="E50">concatenate(A50,,":",CHAR(10),D50)</f>
        <v>Dragonic Burst Lv.MAX:
All-target dark physical attack for 270%.</v>
      </c>
    </row>
    <row r="51">
      <c r="A51" s="188" t="s">
        <v>939</v>
      </c>
      <c r="B51" s="190">
        <v>100.0</v>
      </c>
      <c r="C51" s="188" t="s">
        <v>792</v>
      </c>
      <c r="D51" s="188" t="s">
        <v>940</v>
      </c>
      <c r="E51" s="189" t="str">
        <f t="array" ref="E51">concatenate(A51,,":",CHAR(10),D51)</f>
        <v>Drago Breaker Lv.MAX:
Single-target light magic attack for 435%.</v>
      </c>
    </row>
    <row r="52">
      <c r="A52" s="188" t="s">
        <v>941</v>
      </c>
      <c r="B52" s="190">
        <v>100.0</v>
      </c>
      <c r="C52" s="188" t="s">
        <v>792</v>
      </c>
      <c r="D52" s="188" t="s">
        <v>942</v>
      </c>
      <c r="E52" s="189" t="str">
        <f t="array" ref="E52">concatenate(A52,,":",CHAR(10),D52)</f>
        <v>Drago Buster Lv.MAX:
All-target wind magic attack for 270%.</v>
      </c>
    </row>
    <row r="53">
      <c r="A53" s="188" t="s">
        <v>943</v>
      </c>
      <c r="B53" s="190">
        <v>100.0</v>
      </c>
      <c r="C53" s="188" t="s">
        <v>792</v>
      </c>
      <c r="D53" s="188" t="s">
        <v>944</v>
      </c>
      <c r="E53" s="189" t="str">
        <f t="array" ref="E53">concatenate(A53,,":",CHAR(10),D53)</f>
        <v>Drago Driver Lv.MAX:
All-target earth physical attack for 270%.</v>
      </c>
    </row>
    <row r="54">
      <c r="A54" s="188" t="s">
        <v>945</v>
      </c>
      <c r="B54" s="190">
        <v>100.0</v>
      </c>
      <c r="C54" s="188" t="s">
        <v>792</v>
      </c>
      <c r="D54" s="188" t="s">
        <v>927</v>
      </c>
      <c r="E54" s="189" t="str">
        <f t="array" ref="E54">concatenate(A54,,":",CHAR(10),D54)</f>
        <v>Present Explosion Lv.MAX:
Single-target wind physical attack for 450%.</v>
      </c>
    </row>
    <row r="55">
      <c r="A55" s="188" t="s">
        <v>946</v>
      </c>
      <c r="B55" s="190">
        <v>100.0</v>
      </c>
      <c r="C55" s="188" t="s">
        <v>792</v>
      </c>
      <c r="D55" s="188" t="s">
        <v>947</v>
      </c>
      <c r="E55" s="189" t="str">
        <f t="array" ref="E55">concatenate(A55,,":",CHAR(10),D55)</f>
        <v>Belzebuth Lv.MAX:
All-target dark magic attack for 270%.</v>
      </c>
    </row>
    <row r="56">
      <c r="A56" s="188" t="s">
        <v>948</v>
      </c>
      <c r="B56" s="190">
        <v>100.0</v>
      </c>
      <c r="C56" s="36" t="s">
        <v>645</v>
      </c>
      <c r="D56" s="188" t="s">
        <v>949</v>
      </c>
      <c r="E56" s="189" t="str">
        <f t="array" ref="E56">concatenate(A56,,":",CHAR(10),D56)</f>
        <v>Eternal Dragon Empress Lv.MAX:
Increases all allies' water ATK at start of battle by 16%. Increases all allies' space ATK at start of battle by 8%.</v>
      </c>
    </row>
    <row r="57">
      <c r="A57" s="188" t="s">
        <v>950</v>
      </c>
      <c r="B57" s="190">
        <v>100.0</v>
      </c>
      <c r="C57" s="36" t="s">
        <v>645</v>
      </c>
      <c r="D57" s="188" t="s">
        <v>951</v>
      </c>
      <c r="E57" s="189" t="str">
        <f t="array" ref="E57">concatenate(A57,,":",CHAR(10),D57)</f>
        <v>Falling Lightning Lv.MAX:
Increases all allies' dark ATK at start of battle by 13%. Increases all allies' space ATK at start of battle by 5%.</v>
      </c>
    </row>
    <row r="58">
      <c r="A58" s="188" t="s">
        <v>952</v>
      </c>
      <c r="B58" s="41">
        <v>100.0</v>
      </c>
      <c r="C58" s="188" t="s">
        <v>792</v>
      </c>
      <c r="D58" s="36" t="s">
        <v>953</v>
      </c>
      <c r="E58" s="189" t="str">
        <f t="array" ref="E58">concatenate(A58,,":",CHAR(10),D58)</f>
        <v>Fury of the Gods Lv.MAX:
All-target space physical attack for 270%.</v>
      </c>
    </row>
    <row r="59">
      <c r="A59" s="188" t="s">
        <v>954</v>
      </c>
      <c r="B59" s="190">
        <v>100.0</v>
      </c>
      <c r="C59" s="188" t="s">
        <v>792</v>
      </c>
      <c r="D59" s="188" t="s">
        <v>955</v>
      </c>
      <c r="E59" s="189" t="str">
        <f t="array" ref="E59">concatenate(A59,,":",CHAR(10),D59)</f>
        <v>Grand Blaster Lv.MAX:
Single-target earth magic attack for 420%.</v>
      </c>
    </row>
    <row r="60">
      <c r="A60" s="188" t="s">
        <v>956</v>
      </c>
      <c r="B60" s="190">
        <v>100.0</v>
      </c>
      <c r="C60" s="36" t="s">
        <v>645</v>
      </c>
      <c r="D60" s="188" t="s">
        <v>957</v>
      </c>
      <c r="E60" s="189" t="str">
        <f t="array" ref="E60">concatenate(A60,,":",CHAR(10),D60)</f>
        <v>Guildmaster's Lead Lv.MAX:
Increases all allies' wind ATK at start of battle by 13%. Increases all allies' dark ATK at start of battle by 5%.</v>
      </c>
    </row>
    <row r="61">
      <c r="A61" s="188" t="s">
        <v>958</v>
      </c>
      <c r="B61" s="190">
        <v>100.0</v>
      </c>
      <c r="C61" s="36" t="s">
        <v>645</v>
      </c>
      <c r="D61" s="188" t="s">
        <v>959</v>
      </c>
      <c r="E61" s="189" t="str">
        <f t="array" ref="E61">concatenate(A61,,":",CHAR(10),D61)</f>
        <v>Happy Happy Happy Lv.MAX:
Increases all allies' light ATK at start of battle by 13%. Increases all allies' water ATK at start of battle by 5%.</v>
      </c>
    </row>
    <row r="62">
      <c r="A62" s="188" t="s">
        <v>960</v>
      </c>
      <c r="B62" s="190">
        <v>100.0</v>
      </c>
      <c r="C62" s="188" t="s">
        <v>792</v>
      </c>
      <c r="D62" s="188" t="s">
        <v>961</v>
      </c>
      <c r="E62" s="189" t="str">
        <f t="array" ref="E62">concatenate(A62,,":",CHAR(10),D62)</f>
        <v>Haze: Thunder of Heaven and Earth Lv.MAX:
Single-target light physical attack for 450%.</v>
      </c>
    </row>
    <row r="63">
      <c r="A63" s="188" t="s">
        <v>962</v>
      </c>
      <c r="B63" s="190">
        <v>100.0</v>
      </c>
      <c r="C63" s="36" t="s">
        <v>645</v>
      </c>
      <c r="D63" s="188" t="s">
        <v>897</v>
      </c>
      <c r="E63" s="189" t="str">
        <f t="array" ref="E63">concatenate(A63,,":",CHAR(10),D63)</f>
        <v>Healthy Food Master Lv.MAX:
Increases all allies' P-ATK at start of battle by 11%.</v>
      </c>
    </row>
    <row r="64">
      <c r="A64" s="188" t="s">
        <v>963</v>
      </c>
      <c r="B64" s="190">
        <v>100.0</v>
      </c>
      <c r="C64" s="188" t="s">
        <v>792</v>
      </c>
      <c r="D64" s="188" t="s">
        <v>911</v>
      </c>
      <c r="E64" s="189" t="str">
        <f t="array" ref="E64">concatenate(A64,,":",CHAR(10),D64)</f>
        <v>Heat Slasher Lv.MAX:
Single-target fire physical attack for 450%.</v>
      </c>
    </row>
    <row r="65">
      <c r="A65" s="188" t="s">
        <v>964</v>
      </c>
      <c r="B65" s="190">
        <v>100.0</v>
      </c>
      <c r="C65" s="188" t="s">
        <v>792</v>
      </c>
      <c r="D65" s="188" t="s">
        <v>965</v>
      </c>
      <c r="E65" s="189" t="str">
        <f t="array" ref="E65">concatenate(A65,,":",CHAR(10),D65)</f>
        <v>Heavy Blow Lv.MAX:
Single-target fire physical attack for 420%.</v>
      </c>
    </row>
    <row r="66">
      <c r="A66" s="188" t="s">
        <v>966</v>
      </c>
      <c r="B66" s="190">
        <v>100.0</v>
      </c>
      <c r="C66" s="188" t="s">
        <v>792</v>
      </c>
      <c r="D66" s="188" t="s">
        <v>967</v>
      </c>
      <c r="E66" s="189" t="str">
        <f t="array" ref="E66">concatenate(A66,,":",CHAR(10),D66)</f>
        <v>Hell Flare Lv.MAX:
All-target fire magic attack for 270%.</v>
      </c>
    </row>
    <row r="67">
      <c r="A67" s="188" t="s">
        <v>968</v>
      </c>
      <c r="B67" s="190">
        <v>100.0</v>
      </c>
      <c r="C67" s="188" t="s">
        <v>792</v>
      </c>
      <c r="D67" s="188" t="s">
        <v>969</v>
      </c>
      <c r="E67" s="189" t="str">
        <f t="array" ref="E67">concatenate(A67,,":",CHAR(10),D67)</f>
        <v>Heroic Braver Lv.MAX:
Single-target light physical attack for 420%.</v>
      </c>
    </row>
    <row r="68">
      <c r="A68" s="188" t="s">
        <v>970</v>
      </c>
      <c r="B68" s="190">
        <v>100.0</v>
      </c>
      <c r="C68" s="36" t="s">
        <v>645</v>
      </c>
      <c r="D68" s="188" t="s">
        <v>916</v>
      </c>
      <c r="E68" s="189" t="str">
        <f t="array" ref="E68">concatenate(A68,,":",CHAR(10),D68)</f>
        <v>Jewelcraft Lv.MAX:
Increases all allies' M-ATK at start of battle by 11%.</v>
      </c>
    </row>
    <row r="69">
      <c r="A69" s="188" t="s">
        <v>971</v>
      </c>
      <c r="B69" s="190">
        <v>100.0</v>
      </c>
      <c r="C69" s="36" t="s">
        <v>645</v>
      </c>
      <c r="D69" s="188" t="s">
        <v>972</v>
      </c>
      <c r="E69" s="189" t="str">
        <f t="array" ref="E69">concatenate(A69,,":",CHAR(10),D69)</f>
        <v>Lab Results Lv.MAX:
Increases all allies' space ATK at start of battle by 13%. Increases all allies' wind ATK at start of battle by 5%.</v>
      </c>
    </row>
    <row r="70">
      <c r="A70" s="188" t="s">
        <v>973</v>
      </c>
      <c r="B70" s="190">
        <v>100.0</v>
      </c>
      <c r="C70" s="188" t="s">
        <v>792</v>
      </c>
      <c r="D70" s="188" t="s">
        <v>924</v>
      </c>
      <c r="E70" s="189" t="str">
        <f t="array" ref="E70">concatenate(A70,,":",CHAR(10),D70)</f>
        <v>Leopard Fang Flaming Palm Lv.MAX:
All-target fire magic attack for 260%.</v>
      </c>
    </row>
    <row r="71">
      <c r="A71" s="188" t="s">
        <v>974</v>
      </c>
      <c r="B71" s="190">
        <v>100.0</v>
      </c>
      <c r="C71" s="188" t="s">
        <v>792</v>
      </c>
      <c r="D71" s="188" t="s">
        <v>975</v>
      </c>
      <c r="E71" s="189" t="str">
        <f t="array" ref="E71">concatenate(A71,,":",CHAR(10),D71)</f>
        <v>Muscle Strike Lv.MAX:
Single-target wind physical attack for 420%.</v>
      </c>
    </row>
    <row r="72">
      <c r="A72" s="188" t="s">
        <v>976</v>
      </c>
      <c r="B72" s="190">
        <v>100.0</v>
      </c>
      <c r="C72" s="188" t="s">
        <v>792</v>
      </c>
      <c r="D72" s="188" t="s">
        <v>938</v>
      </c>
      <c r="E72" s="189" t="str">
        <f t="array" ref="E72">concatenate(A72,,":",CHAR(10),D72)</f>
        <v>Ogre Guillotine Lv.Max:
All-target dark physical attack for 270%.</v>
      </c>
    </row>
    <row r="73">
      <c r="A73" s="188" t="s">
        <v>977</v>
      </c>
      <c r="B73" s="190">
        <v>100.0</v>
      </c>
      <c r="C73" s="36" t="s">
        <v>645</v>
      </c>
      <c r="D73" s="188" t="s">
        <v>916</v>
      </c>
      <c r="E73" s="189" t="str">
        <f t="array" ref="E73">concatenate(A73,,":",CHAR(10),D73)</f>
        <v>Peek Into the Future Lv.MAX:
Increases all allies' M-ATK at start of battle by 11%.</v>
      </c>
    </row>
    <row r="74">
      <c r="A74" s="188" t="s">
        <v>978</v>
      </c>
      <c r="B74" s="190">
        <v>100.0</v>
      </c>
      <c r="C74" s="36" t="s">
        <v>645</v>
      </c>
      <c r="D74" s="188" t="s">
        <v>979</v>
      </c>
      <c r="E74" s="189" t="str">
        <f t="array" ref="E74">concatenate(A74,,":",CHAR(10),D74)</f>
        <v>Feelings Concealed Lv.Max:
Increases all allies' light ATK at start of battle by 16%. Increases all allies' earth ATK at start of battle by 8%.</v>
      </c>
    </row>
    <row r="75">
      <c r="A75" s="188" t="s">
        <v>980</v>
      </c>
      <c r="B75" s="190">
        <v>100.0</v>
      </c>
      <c r="C75" s="36" t="s">
        <v>794</v>
      </c>
      <c r="D75" s="188" t="s">
        <v>981</v>
      </c>
      <c r="E75" s="189" t="str">
        <f t="array" ref="E75">concatenate(A75,,":",CHAR(10),D75)</f>
        <v>Pure Emotion Lv.1/Lv.10:
Increases all allies' guard rate by 60%/80% (Turns: 3). Decreases the skill cost by 20 for vanguard allies (Cannot go below each skill's initial cost). Increases Soul of Secrets secret skill gauge increase by 20% (Turns: 3).</v>
      </c>
    </row>
    <row r="76">
      <c r="A76" s="188" t="s">
        <v>982</v>
      </c>
      <c r="B76" s="190">
        <v>100.0</v>
      </c>
      <c r="C76" s="36" t="s">
        <v>645</v>
      </c>
      <c r="D76" s="188" t="s">
        <v>979</v>
      </c>
      <c r="E76" s="189" t="str">
        <f t="array" ref="E76">concatenate(A76,,":",CHAR(10),D76)</f>
        <v>Prank Illusion Lv.MAX:
Increases all allies' light ATK at start of battle by 16%. Increases all allies' earth ATK at start of battle by 8%.</v>
      </c>
    </row>
    <row r="77">
      <c r="A77" s="188" t="s">
        <v>983</v>
      </c>
      <c r="B77" s="190">
        <v>100.0</v>
      </c>
      <c r="C77" s="188" t="s">
        <v>792</v>
      </c>
      <c r="D77" s="188" t="s">
        <v>984</v>
      </c>
      <c r="E77" s="189" t="str">
        <f t="array" ref="E77">concatenate(A77,,":",CHAR(10),D77)</f>
        <v>Puppet Rondo Lv.MAX:
Single-target space magic attack for 420%.</v>
      </c>
    </row>
    <row r="78">
      <c r="A78" s="188" t="s">
        <v>985</v>
      </c>
      <c r="B78" s="190">
        <v>100.0</v>
      </c>
      <c r="C78" s="188" t="s">
        <v>792</v>
      </c>
      <c r="D78" s="188" t="s">
        <v>986</v>
      </c>
      <c r="E78" s="189" t="str">
        <f t="array" ref="E78">concatenate(A78,,":",CHAR(10),D78)</f>
        <v>Purple Iron Hammer Lv.MAX:
All-target space physical attack for 260%.</v>
      </c>
    </row>
    <row r="79">
      <c r="A79" s="188" t="s">
        <v>987</v>
      </c>
      <c r="B79" s="190">
        <v>100.0</v>
      </c>
      <c r="C79" s="188" t="s">
        <v>792</v>
      </c>
      <c r="D79" s="188" t="s">
        <v>988</v>
      </c>
      <c r="E79" s="189" t="str">
        <f t="array" ref="E79">concatenate(A79,,":",CHAR(10),D79)</f>
        <v>Quake Slash Lv.MAX:
Single-target earth physical attack for 435%.</v>
      </c>
    </row>
    <row r="80">
      <c r="A80" s="188" t="s">
        <v>989</v>
      </c>
      <c r="B80" s="190">
        <v>100.0</v>
      </c>
      <c r="C80" s="188" t="s">
        <v>792</v>
      </c>
      <c r="D80" s="188" t="s">
        <v>990</v>
      </c>
      <c r="E80" s="189" t="str">
        <f t="array" ref="E80">concatenate(A80,,":",CHAR(10),D80)</f>
        <v>Reeling Slicer Lv.MAX:
Single-target water physical attack for 450%.</v>
      </c>
    </row>
    <row r="81">
      <c r="A81" s="188" t="s">
        <v>991</v>
      </c>
      <c r="B81" s="190">
        <v>100.0</v>
      </c>
      <c r="C81" s="188" t="s">
        <v>792</v>
      </c>
      <c r="D81" s="188" t="s">
        <v>992</v>
      </c>
      <c r="E81" s="189" t="str">
        <f t="array" ref="E81">concatenate(A81,,":",CHAR(10),D81)</f>
        <v>Sealing Zone Lv.MAX:
Single-target space magic attack for 435%.</v>
      </c>
    </row>
    <row r="82">
      <c r="A82" s="188" t="s">
        <v>993</v>
      </c>
      <c r="B82" s="190">
        <v>100.0</v>
      </c>
      <c r="C82" s="188" t="s">
        <v>792</v>
      </c>
      <c r="D82" s="188" t="s">
        <v>994</v>
      </c>
      <c r="E82" s="189" t="str">
        <f t="array" ref="E82">concatenate(A82,,":",CHAR(10),D82)</f>
        <v>Shadow Disruption Lv.MAX:
Single-target wind physical attack for 435%.</v>
      </c>
    </row>
    <row r="83">
      <c r="A83" s="188" t="s">
        <v>995</v>
      </c>
      <c r="B83" s="190">
        <v>100.0</v>
      </c>
      <c r="C83" s="188" t="s">
        <v>792</v>
      </c>
      <c r="D83" s="188" t="s">
        <v>996</v>
      </c>
      <c r="E83" s="189" t="str">
        <f t="array" ref="E83">concatenate(A83,,":",CHAR(10),D83)</f>
        <v>Shredding Darkness Lv.MAX:
Single-target dark physical attack for 435%.</v>
      </c>
    </row>
    <row r="84">
      <c r="A84" s="188" t="s">
        <v>997</v>
      </c>
      <c r="B84" s="190">
        <v>100.0</v>
      </c>
      <c r="C84" s="188" t="s">
        <v>792</v>
      </c>
      <c r="D84" s="188" t="s">
        <v>998</v>
      </c>
      <c r="E84" s="189" t="str">
        <f t="array" ref="E84">concatenate(A84,,":",CHAR(10),D84)</f>
        <v>Slashing Flurry Lv.MAX:
Single-target wind magic attack for 435%.</v>
      </c>
    </row>
    <row r="85">
      <c r="A85" s="188" t="s">
        <v>999</v>
      </c>
      <c r="B85" s="190">
        <v>100.0</v>
      </c>
      <c r="C85" s="188" t="s">
        <v>792</v>
      </c>
      <c r="D85" s="188" t="s">
        <v>1000</v>
      </c>
      <c r="E85" s="189" t="str">
        <f t="array" ref="E85">concatenate(A85,,":",CHAR(10),D85)</f>
        <v>Solar Rain Lv.MAX:
All-target light magic attack for 260%.</v>
      </c>
    </row>
    <row r="86">
      <c r="A86" s="188" t="s">
        <v>1001</v>
      </c>
      <c r="B86" s="190">
        <v>100.0</v>
      </c>
      <c r="C86" s="188" t="s">
        <v>792</v>
      </c>
      <c r="D86" s="188" t="s">
        <v>1002</v>
      </c>
      <c r="E86" s="189" t="str">
        <f t="array" ref="E86">concatenate(A86,,":",CHAR(10),D86)</f>
        <v>Holy Circle Lv.MAX:
All-target wind physical attack for 260%.</v>
      </c>
    </row>
    <row r="87">
      <c r="A87" s="188" t="s">
        <v>1003</v>
      </c>
      <c r="B87" s="190">
        <v>100.0</v>
      </c>
      <c r="C87" s="188" t="s">
        <v>792</v>
      </c>
      <c r="D87" s="188" t="s">
        <v>1004</v>
      </c>
      <c r="E87" s="189" t="str">
        <f t="array" ref="E87">concatenate(A87,,":",CHAR(10),D87)</f>
        <v>Sonic Impact Lv.MAX:
Single-target water physical attack for 435%.</v>
      </c>
    </row>
    <row r="88">
      <c r="A88" s="188" t="s">
        <v>1005</v>
      </c>
      <c r="B88" s="190">
        <v>100.0</v>
      </c>
      <c r="C88" s="188" t="s">
        <v>792</v>
      </c>
      <c r="D88" s="188" t="s">
        <v>998</v>
      </c>
      <c r="E88" s="189" t="str">
        <f t="array" ref="E88">concatenate(A88,,":",CHAR(10),D88)</f>
        <v>Sonic Wolf Lv. MAX:
Single-target wind magic attack for 435%.</v>
      </c>
    </row>
    <row r="89">
      <c r="A89" s="188" t="s">
        <v>1006</v>
      </c>
      <c r="B89" s="190">
        <v>100.0</v>
      </c>
      <c r="C89" s="36" t="s">
        <v>645</v>
      </c>
      <c r="D89" s="188" t="s">
        <v>1007</v>
      </c>
      <c r="E89" s="189" t="str">
        <f t="array" ref="E89">concatenate(A89,,":",CHAR(10),D89)</f>
        <v>Sophisticated Armor Lv.MAX:
Increases all allies' earth ATK at start of battle by 13%. Increases all allies' fire ATK at start of battle by 5%.</v>
      </c>
    </row>
    <row r="90">
      <c r="A90" s="188" t="s">
        <v>1008</v>
      </c>
      <c r="B90" s="190">
        <v>100.0</v>
      </c>
      <c r="C90" s="188" t="s">
        <v>792</v>
      </c>
      <c r="D90" s="188" t="s">
        <v>994</v>
      </c>
      <c r="E90" s="189" t="str">
        <f t="array" ref="E90">concatenate(A90,,":",CHAR(10),D90)</f>
        <v>Spinning Rush Lv.MAX:
Single-target wind physical attack for 435%.</v>
      </c>
    </row>
    <row r="91">
      <c r="A91" s="188" t="s">
        <v>1009</v>
      </c>
      <c r="B91" s="190">
        <v>100.0</v>
      </c>
      <c r="C91" s="36" t="s">
        <v>645</v>
      </c>
      <c r="D91" s="188" t="s">
        <v>1010</v>
      </c>
      <c r="E91" s="189" t="str">
        <f t="array" ref="E91">concatenate(A91,,":",CHAR(10),D91)</f>
        <v>Spirit Engineering Crystal Lv.MAX:
Increases all allies' earth ATK at start of battle by 16%. Increases all allies' water ATK at start of battle by 8%.</v>
      </c>
    </row>
    <row r="92">
      <c r="A92" s="188" t="s">
        <v>1011</v>
      </c>
      <c r="B92" s="190">
        <v>100.0</v>
      </c>
      <c r="C92" s="188" t="s">
        <v>792</v>
      </c>
      <c r="D92" s="188" t="s">
        <v>1012</v>
      </c>
      <c r="E92" s="189" t="str">
        <f t="array" ref="E92">concatenate(A92,,":",CHAR(10),D92)</f>
        <v>Spirit Slayer Lv.MAX:
Single-target fire physical attack for 435%.</v>
      </c>
    </row>
    <row r="93">
      <c r="A93" s="188" t="s">
        <v>1013</v>
      </c>
      <c r="B93" s="190">
        <v>100.0</v>
      </c>
      <c r="C93" s="188" t="s">
        <v>792</v>
      </c>
      <c r="D93" s="188" t="s">
        <v>1014</v>
      </c>
      <c r="E93" s="189" t="str">
        <f t="array" ref="E93">concatenate(A93,,":",CHAR(10),D93)</f>
        <v>Drago-Slash Lv.MAX:
Single-target space physical attack for 470%.</v>
      </c>
    </row>
    <row r="94">
      <c r="A94" s="188" t="s">
        <v>1015</v>
      </c>
      <c r="B94" s="190">
        <v>100.0</v>
      </c>
      <c r="C94" s="188" t="s">
        <v>792</v>
      </c>
      <c r="D94" s="188" t="s">
        <v>1016</v>
      </c>
      <c r="E94" s="189" t="str">
        <f t="array" ref="E94">concatenate(A94,,":",CHAR(10),D94)</f>
        <v>Sudden Slice Lv.MAX:
Single-target space physical attack for 435%.</v>
      </c>
    </row>
    <row r="95">
      <c r="A95" s="188" t="s">
        <v>1017</v>
      </c>
      <c r="B95" s="190">
        <v>100.0</v>
      </c>
      <c r="C95" s="36" t="s">
        <v>645</v>
      </c>
      <c r="D95" s="188" t="s">
        <v>1018</v>
      </c>
      <c r="E95" s="189" t="str">
        <f t="array" ref="E95">concatenate(A95,,":",CHAR(10),D95)</f>
        <v>Swimming Calamity Lv.MAX:
Increases all allies' space ATK at start of battle by 16%. Increases all allies' wind ATK at start of battle by 8%.</v>
      </c>
    </row>
    <row r="96">
      <c r="A96" s="188" t="s">
        <v>1019</v>
      </c>
      <c r="B96" s="190">
        <v>100.0</v>
      </c>
      <c r="C96" s="36" t="s">
        <v>645</v>
      </c>
      <c r="D96" s="188" t="s">
        <v>1020</v>
      </c>
      <c r="E96" s="189" t="str">
        <f t="array" ref="E96">concatenate(A96,,":",CHAR(10),D96)</f>
        <v>Terrifying Winds Lv.MAX:
Increases all allies' water ATK at start of battle by 13%.</v>
      </c>
    </row>
    <row r="97">
      <c r="A97" s="188" t="s">
        <v>1021</v>
      </c>
      <c r="B97" s="190">
        <v>100.0</v>
      </c>
      <c r="C97" s="188" t="s">
        <v>792</v>
      </c>
      <c r="D97" s="188" t="s">
        <v>1022</v>
      </c>
      <c r="E97" s="189" t="str">
        <f t="array" ref="E97">concatenate(A97,,":",CHAR(10),D97)</f>
        <v>Three Evils of the Forge Lv.MAX:
All-target earth physical attack for 260%.</v>
      </c>
    </row>
    <row r="98">
      <c r="A98" s="188" t="s">
        <v>1023</v>
      </c>
      <c r="B98" s="190">
        <v>100.0</v>
      </c>
      <c r="C98" s="188" t="s">
        <v>792</v>
      </c>
      <c r="D98" s="188" t="s">
        <v>927</v>
      </c>
      <c r="E98" s="189" t="str">
        <f t="array" ref="E98">concatenate(A98,,":",CHAR(10),D98)</f>
        <v>Luminus Storm Lv.MAX:
Single-target wind physical attack for 450%.</v>
      </c>
    </row>
    <row r="99">
      <c r="A99" s="188" t="s">
        <v>1024</v>
      </c>
      <c r="B99" s="190">
        <v>100.0</v>
      </c>
      <c r="C99" s="36" t="s">
        <v>645</v>
      </c>
      <c r="D99" s="188" t="s">
        <v>1025</v>
      </c>
      <c r="E99" s="189" t="str">
        <f t="array" ref="E99">concatenate(A99,,":",CHAR(10),D99)</f>
        <v>Tough Business Lv.MAX:
Increases all allies' water ATK at start of battle by 13%. Increases all allies' light ATK at start of battle by 5%.</v>
      </c>
    </row>
    <row r="100">
      <c r="A100" s="188" t="s">
        <v>1026</v>
      </c>
      <c r="B100" s="190">
        <v>100.0</v>
      </c>
      <c r="C100" s="36" t="s">
        <v>645</v>
      </c>
      <c r="D100" s="188" t="s">
        <v>899</v>
      </c>
      <c r="E100" s="189" t="str">
        <f t="array" ref="E100">concatenate(A100,,":",CHAR(10),D100)</f>
        <v>Unending Thirst Lv.MAX:
Increases all allies' dark ATK at start of battle by 16%. Increases all allies' fire ATK at start of battle by 8%.</v>
      </c>
    </row>
    <row r="101">
      <c r="A101" s="188" t="s">
        <v>1027</v>
      </c>
      <c r="B101" s="190">
        <v>100.0</v>
      </c>
      <c r="C101" s="36" t="s">
        <v>645</v>
      </c>
      <c r="D101" s="188" t="s">
        <v>1028</v>
      </c>
      <c r="E101" s="189" t="str">
        <f t="array" ref="E101">concatenate(A101,,":",CHAR(10),D101)</f>
        <v>Training of the Maid Lv.MAX:
Increases all allies' wind ATK at start of battle by 16%. Increases all allies' water ATK at start of battle by 8%.</v>
      </c>
    </row>
    <row r="102">
      <c r="A102" s="188" t="s">
        <v>1029</v>
      </c>
      <c r="B102" s="190">
        <v>100.0</v>
      </c>
      <c r="C102" s="188" t="s">
        <v>792</v>
      </c>
      <c r="D102" s="188" t="s">
        <v>1030</v>
      </c>
      <c r="E102" s="189" t="str">
        <f t="array" ref="E102">concatenate(A102,,":",CHAR(10),D102)</f>
        <v>Vortex Crash Lv.MAX:
All-target water physical attack for 260%.</v>
      </c>
    </row>
    <row r="103">
      <c r="A103" s="188" t="s">
        <v>1031</v>
      </c>
      <c r="B103" s="190">
        <v>100.0</v>
      </c>
      <c r="C103" s="188" t="s">
        <v>792</v>
      </c>
      <c r="D103" s="188" t="s">
        <v>996</v>
      </c>
      <c r="E103" s="189" t="str">
        <f t="array" ref="E103">concatenate(A103,,":",CHAR(10),D103)</f>
        <v>Dark Flame Flash:
Single-target dark physical attack for 435%.</v>
      </c>
    </row>
    <row r="104">
      <c r="A104" s="188" t="s">
        <v>1032</v>
      </c>
      <c r="B104" s="190">
        <v>100.0</v>
      </c>
      <c r="C104" s="188" t="s">
        <v>792</v>
      </c>
      <c r="D104" s="188" t="s">
        <v>927</v>
      </c>
      <c r="E104" s="191" t="str">
        <f t="array" ref="E104">concatenate(A104,,":",CHAR(10),D104)</f>
        <v>Ornamental Spiral Lv.MAX:
Single-target wind physical attack for 450%.</v>
      </c>
    </row>
    <row r="105">
      <c r="A105" s="188" t="s">
        <v>1033</v>
      </c>
      <c r="B105" s="190">
        <v>100.0</v>
      </c>
      <c r="C105" s="188" t="s">
        <v>792</v>
      </c>
      <c r="D105" s="188" t="s">
        <v>1034</v>
      </c>
      <c r="E105" s="189" t="str">
        <f t="array" ref="E105">concatenate(A105,,":",CHAR(10),D105)</f>
        <v>Water Blade Torrent Lv.MAX:
All-target water magic attack for 260%.</v>
      </c>
    </row>
    <row r="106">
      <c r="A106" s="188" t="s">
        <v>1035</v>
      </c>
      <c r="B106" s="190">
        <v>100.0</v>
      </c>
      <c r="C106" s="188" t="s">
        <v>792</v>
      </c>
      <c r="D106" s="188" t="s">
        <v>942</v>
      </c>
      <c r="E106" s="189" t="str">
        <f t="array" ref="E106">concatenate(A106,,":",CHAR(10),D106)</f>
        <v>Phoenix Blast Lv.MAX:
All-target wind magic attack for 270%.</v>
      </c>
    </row>
    <row r="107">
      <c r="A107" s="188" t="s">
        <v>1036</v>
      </c>
      <c r="B107" s="41">
        <v>100.0</v>
      </c>
      <c r="C107" s="188" t="s">
        <v>792</v>
      </c>
      <c r="D107" s="36" t="s">
        <v>1037</v>
      </c>
      <c r="E107" s="189" t="str">
        <f t="array" ref="E107">concatenate(A107,,":",CHAR(10),D107)</f>
        <v>Final Waltz Lv.MAX:
Single-target dark physical attack for 450%.</v>
      </c>
    </row>
    <row r="108">
      <c r="A108" s="188" t="s">
        <v>1038</v>
      </c>
      <c r="B108" s="41">
        <v>100.0</v>
      </c>
      <c r="C108" s="188" t="s">
        <v>792</v>
      </c>
      <c r="D108" s="36" t="s">
        <v>911</v>
      </c>
      <c r="E108" s="189" t="str">
        <f t="array" ref="E108">concatenate(A108,,":",CHAR(10),D108)</f>
        <v>Flare Smash Lv.MAX:
Single-target fire physical attack for 450%.</v>
      </c>
    </row>
    <row r="109">
      <c r="A109" s="188" t="s">
        <v>1039</v>
      </c>
      <c r="B109" s="41">
        <v>100.0</v>
      </c>
      <c r="C109" s="188" t="s">
        <v>792</v>
      </c>
      <c r="D109" s="188" t="s">
        <v>942</v>
      </c>
      <c r="E109" s="189" t="str">
        <f t="array" ref="E109">concatenate(A109,,":",CHAR(10),D109)</f>
        <v>Air Suppression Lv.MAX:
All-target wind magic attack for 270%.</v>
      </c>
    </row>
    <row r="110">
      <c r="A110" s="188" t="s">
        <v>910</v>
      </c>
      <c r="B110" s="41">
        <v>100.0</v>
      </c>
      <c r="C110" s="188" t="s">
        <v>792</v>
      </c>
      <c r="D110" s="188" t="s">
        <v>911</v>
      </c>
      <c r="E110" s="189" t="str">
        <f t="array" ref="E110">concatenate(A110,,":",CHAR(10),D110)</f>
        <v>Drago Upper Lv.MAX:
Single-target fire physical attack for 450%.</v>
      </c>
    </row>
    <row r="111">
      <c r="A111" s="188" t="s">
        <v>1040</v>
      </c>
      <c r="B111" s="41">
        <v>100.0</v>
      </c>
      <c r="C111" s="188" t="s">
        <v>792</v>
      </c>
      <c r="D111" s="188" t="s">
        <v>1041</v>
      </c>
      <c r="E111" s="189" t="str">
        <f t="array" ref="E111">concatenate(A111,,":",CHAR(10),D111)</f>
        <v>Demon's Blaze Lv.MAX:
All-target fire magic attack for 290%.</v>
      </c>
    </row>
    <row r="112">
      <c r="A112" s="188" t="s">
        <v>1042</v>
      </c>
      <c r="B112" s="41">
        <v>100.0</v>
      </c>
      <c r="C112" s="188" t="s">
        <v>792</v>
      </c>
      <c r="D112" s="188" t="s">
        <v>1043</v>
      </c>
      <c r="E112" s="189" t="str">
        <f t="array" ref="E112">concatenate(A112,,":",CHAR(10),D112)</f>
        <v>Special Cooking Lv.MAX:
All-target light magic attack for 270%.</v>
      </c>
    </row>
    <row r="113">
      <c r="A113" s="188" t="s">
        <v>1044</v>
      </c>
      <c r="B113" s="41">
        <v>100.0</v>
      </c>
      <c r="C113" s="188" t="s">
        <v>792</v>
      </c>
      <c r="D113" s="188" t="s">
        <v>922</v>
      </c>
      <c r="E113" s="189" t="str">
        <f t="array" ref="E113">concatenate(A113,,":",CHAR(10),D113)</f>
        <v>Disintegration Lv.MAX:
Single-target light magic attack for 450%.</v>
      </c>
    </row>
    <row r="114">
      <c r="A114" s="188" t="s">
        <v>1045</v>
      </c>
      <c r="B114" s="41">
        <v>100.0</v>
      </c>
      <c r="C114" s="188" t="s">
        <v>792</v>
      </c>
      <c r="D114" s="188" t="s">
        <v>924</v>
      </c>
      <c r="E114" s="189" t="str">
        <f t="array" ref="E114">concatenate(A114,,":",CHAR(10),D114)</f>
        <v>New Dawn Lv.MAX:
All-target fire magic attack for 260%.</v>
      </c>
    </row>
    <row r="115">
      <c r="A115" s="188" t="s">
        <v>1046</v>
      </c>
      <c r="B115" s="41">
        <v>100.0</v>
      </c>
      <c r="C115" s="188" t="s">
        <v>792</v>
      </c>
      <c r="D115" s="188" t="s">
        <v>1000</v>
      </c>
      <c r="E115" s="189" t="str">
        <f t="array" ref="E115">concatenate(A115,,":",CHAR(10),D115)</f>
        <v>Confection Burst Lv.MAX:
All-target light magic attack for 260%.</v>
      </c>
    </row>
    <row r="116">
      <c r="A116" s="188" t="s">
        <v>1047</v>
      </c>
      <c r="B116" s="41">
        <v>100.0</v>
      </c>
      <c r="C116" s="188" t="s">
        <v>792</v>
      </c>
      <c r="D116" s="188" t="s">
        <v>1043</v>
      </c>
      <c r="E116" s="189" t="str">
        <f t="array" ref="E116">concatenate(A116,,":",CHAR(10),D116)</f>
        <v>Punishment Blast Lv.Max:
All-target light magic attack for 270%.</v>
      </c>
    </row>
    <row r="117">
      <c r="A117" s="188" t="s">
        <v>1048</v>
      </c>
      <c r="B117" s="41" t="s">
        <v>1049</v>
      </c>
      <c r="C117" s="188" t="s">
        <v>1050</v>
      </c>
      <c r="D117" s="188" t="s">
        <v>1051</v>
      </c>
      <c r="E117" s="189" t="str">
        <f t="array" ref="E117">concatenate(A117,,":",CHAR(10),D117)</f>
        <v>Sacred Power Lv.1/Lv.10:
Increases all allies' light ATK by 40%/50% (Turns: 1)</v>
      </c>
    </row>
    <row r="118">
      <c r="A118" s="188" t="s">
        <v>1052</v>
      </c>
      <c r="B118" s="41" t="s">
        <v>1053</v>
      </c>
      <c r="C118" s="188" t="s">
        <v>1050</v>
      </c>
      <c r="D118" s="188" t="s">
        <v>1054</v>
      </c>
      <c r="E118" s="189" t="str">
        <f t="array" ref="E118">concatenate(A118,,":",CHAR(10),D118)</f>
        <v>Eccentric Force Lv.1/Lv.10:
Changes Soul of Divine Protection x into Soul of Secrets. Increases all Soul of Secrets gauges' increase by 3%/5% (Max: 100%</v>
      </c>
    </row>
    <row r="119">
      <c r="A119" s="188" t="s">
        <v>1055</v>
      </c>
      <c r="B119" s="41" t="s">
        <v>1056</v>
      </c>
      <c r="C119" s="188" t="s">
        <v>1050</v>
      </c>
      <c r="D119" s="188" t="s">
        <v>1057</v>
      </c>
      <c r="E119" s="189" t="str">
        <f t="array" ref="E119">concatenate(A119,,":",CHAR(10),D119)</f>
        <v>Destiny Rendezvous Lv.1/Lv.10:
Changes Soul of Skills x2 into Soul of Secrets. Increases all Soul of Secrets gauges' increase by 5%/10% (Turns: 1).</v>
      </c>
    </row>
    <row r="120">
      <c r="A120" s="188" t="s">
        <v>1058</v>
      </c>
      <c r="B120" s="41" t="s">
        <v>1053</v>
      </c>
      <c r="C120" s="188" t="s">
        <v>1050</v>
      </c>
      <c r="D120" s="188" t="s">
        <v>1059</v>
      </c>
      <c r="E120" s="189" t="str">
        <f t="array" ref="E120">concatenate(A120,,":",CHAR(10),D120)</f>
        <v>It's a Date Lv.1/Lv.10:
Descreases all targets' critical damage by 20%/30% (Turns: 2).</v>
      </c>
    </row>
    <row r="121">
      <c r="A121" s="188" t="s">
        <v>1060</v>
      </c>
      <c r="B121" s="41" t="s">
        <v>1056</v>
      </c>
      <c r="C121" s="188" t="s">
        <v>1050</v>
      </c>
      <c r="D121" s="188" t="s">
        <v>1061</v>
      </c>
      <c r="E121" s="189" t="str">
        <f t="array" ref="E121">concatenate(A121,,":",CHAR(10),D121)</f>
        <v>Brilliant Dawn Lv.1/Lv.10:
Changes Soul of Skills x2 into Soul of Divine Protection. Increases all Soul of Divine Protection gauges' increase by 5%/10% (Turns: 1).</v>
      </c>
    </row>
    <row r="122">
      <c r="A122" s="188" t="s">
        <v>1062</v>
      </c>
      <c r="B122" s="41" t="s">
        <v>1053</v>
      </c>
      <c r="C122" s="188" t="s">
        <v>1050</v>
      </c>
      <c r="D122" s="188" t="s">
        <v>1063</v>
      </c>
      <c r="E122" s="189" t="str">
        <f t="array" ref="E122">concatenate(A122,,":",CHAR(10),D122)</f>
        <v>Prayer of Plenty Lv.1/Lv.10:
Recovers all allies from Poison. Increases own poison evasion rate by 5%/10% (Turns: 3).</v>
      </c>
    </row>
    <row r="123">
      <c r="A123" s="188" t="s">
        <v>1064</v>
      </c>
      <c r="B123" s="41" t="s">
        <v>1053</v>
      </c>
      <c r="C123" s="188" t="s">
        <v>1050</v>
      </c>
      <c r="D123" s="188" t="s">
        <v>1065</v>
      </c>
      <c r="E123" s="189" t="str">
        <f t="array" ref="E123">concatenate(A123,,":",CHAR(10),D123)</f>
        <v>Ruthless Flash Lv.1/Lv.10:
Increase all allies' DEF by 35%/40% (Turns: 1). Increases own all attribute resistance by 20% (Turns: 3).</v>
      </c>
    </row>
    <row r="124">
      <c r="A124" s="188" t="s">
        <v>1066</v>
      </c>
      <c r="B124" s="41" t="s">
        <v>1067</v>
      </c>
      <c r="C124" s="188" t="s">
        <v>1050</v>
      </c>
      <c r="D124" s="188" t="s">
        <v>1068</v>
      </c>
      <c r="E124" s="189" t="str">
        <f t="array" ref="E124">concatenate(A124,,":",CHAR(10),D124)</f>
        <v>Usurper Lv.1/Lv10:
Changes Soul of Skills and Soul of Divine Protection x1 each into Soul of Secrets. Increases Soul of Secrets secret skill gauge increase until the end of battle by 3%/5% (Max: 100%).</v>
      </c>
    </row>
    <row r="125">
      <c r="A125" s="188" t="s">
        <v>1069</v>
      </c>
      <c r="B125" s="41" t="s">
        <v>1053</v>
      </c>
      <c r="C125" s="188" t="s">
        <v>1050</v>
      </c>
      <c r="D125" s="188" t="s">
        <v>1070</v>
      </c>
      <c r="E125" s="189" t="str">
        <f t="array" ref="E125">concatenate(A125,,":",CHAR(10),D125)</f>
        <v>Sunbeam Lv.1/Lv.10:
Heals the ally with the lowest percentage of HP by 40%/45% of their max HP.</v>
      </c>
    </row>
    <row r="126">
      <c r="A126" s="188" t="s">
        <v>1071</v>
      </c>
      <c r="B126" s="41" t="s">
        <v>1053</v>
      </c>
      <c r="C126" s="188" t="s">
        <v>1050</v>
      </c>
      <c r="D126" s="188" t="s">
        <v>1072</v>
      </c>
      <c r="E126" s="189" t="str">
        <f t="array" ref="E126">concatenate(A126,,":",CHAR(10),D126)</f>
        <v>Elegant Light Lv.1/Lv.10:
Decreases a single target's ATK by 15%/20% (Turns: 1).</v>
      </c>
    </row>
    <row r="127">
      <c r="A127" s="188" t="s">
        <v>1073</v>
      </c>
      <c r="B127" s="41" t="s">
        <v>1049</v>
      </c>
      <c r="C127" s="36" t="s">
        <v>1074</v>
      </c>
      <c r="D127" s="36" t="s">
        <v>1075</v>
      </c>
      <c r="E127" s="189" t="str">
        <f t="array" ref="E127">concatenate(A127,,":",CHAR(10),D127,CHAR(10),"Lv.1/Lv.10 Cost: ",B127)</f>
        <v>All of Creation Lv.1/Lv.10:
Increases all allies' ATK by 35%/40% (Turns: 1).
Lv.1/Lv.10 Cost: 65/55</v>
      </c>
    </row>
    <row r="128">
      <c r="A128" s="188" t="s">
        <v>1076</v>
      </c>
      <c r="B128" s="41" t="s">
        <v>1049</v>
      </c>
      <c r="C128" s="36" t="s">
        <v>1074</v>
      </c>
      <c r="D128" s="188" t="s">
        <v>1077</v>
      </c>
      <c r="E128" s="189" t="str">
        <f t="array" ref="E128">concatenate(A128,,":",CHAR(10),D128,CHAR(10),"Lv.1/Lv.10 Cost: ",B128)</f>
        <v>Crowd Work Lv.1/Lv.10:
Increases all allies' critical rate by 15%/25% (Turns: 1).
Lv.1/Lv.10 Cost: 65/55</v>
      </c>
    </row>
    <row r="129">
      <c r="A129" s="188" t="s">
        <v>1078</v>
      </c>
      <c r="B129" s="41" t="s">
        <v>1056</v>
      </c>
      <c r="C129" s="36" t="s">
        <v>1074</v>
      </c>
      <c r="D129" s="188" t="s">
        <v>1079</v>
      </c>
      <c r="E129" s="192" t="str">
        <f t="array" ref="E129">concatenate(A129,,":",CHAR(10),D129,CHAR(10),"Lv.1/Lv.10 Cost: ",B129)</f>
        <v>Rapid Service Lv.1/Lv.10:
Change Soul of Secrets x2 to Soul of Skills. Increases all Soul of Skills gauges' increase by 5% (Turns: 1).
Lv.1/Lv.10 Cost: 35/25</v>
      </c>
    </row>
    <row r="130">
      <c r="A130" s="188" t="s">
        <v>1080</v>
      </c>
      <c r="B130" s="41" t="s">
        <v>1053</v>
      </c>
      <c r="C130" s="36" t="s">
        <v>1074</v>
      </c>
      <c r="D130" s="188" t="s">
        <v>1081</v>
      </c>
      <c r="E130" s="191" t="str">
        <f t="array" ref="E130">concatenate(A130,,":",CHAR(10),D130,CHAR(10),"Lv.1/Lv.10 Cost: ",B130)</f>
        <v>Sacred Guidance Lv.1/Lv.10:
Decreases all targets' pierce power by 15% (Turns:2). Increases Soul of Skills damage until the end of battle by 5% (Max: 100%).
Lv.1/Lv.10 Cost: 25/15</v>
      </c>
    </row>
    <row r="131">
      <c r="A131" s="188" t="s">
        <v>1082</v>
      </c>
      <c r="B131" s="41" t="s">
        <v>1049</v>
      </c>
      <c r="C131" s="36" t="s">
        <v>1074</v>
      </c>
      <c r="D131" s="188" t="s">
        <v>1083</v>
      </c>
      <c r="E131" s="189" t="str">
        <f t="array" ref="E131">concatenate(A131,,":",CHAR(10),D131,CHAR(10),"Lv.1/Lv.10 Cost: ",B131)</f>
        <v>Destructive Strike Lv.1/Lv.10:
Decrease all targets' DEF by 25%/30% (Turns: 2).
Lv.1/Lv.10 Cost: 65/55</v>
      </c>
    </row>
    <row r="132">
      <c r="A132" s="188" t="s">
        <v>1084</v>
      </c>
      <c r="B132" s="41" t="s">
        <v>1049</v>
      </c>
      <c r="C132" s="36" t="s">
        <v>1074</v>
      </c>
      <c r="D132" s="188" t="s">
        <v>1085</v>
      </c>
      <c r="E132" s="189" t="str">
        <f t="array" ref="E132">concatenate(A132,,":",CHAR(10),D132,CHAR(10),"Lv.1/Lv.10 Cost: ",B132)</f>
        <v>Dragon Smash Lv.1/Lv.10:
Increases activating Soul of Combos damage by 50％/60% (Turns: 1). Decreases all targets' pierce resistance by 10％ (Turns: 1).
Lv.1/Lv.10 Cost: 65/55</v>
      </c>
    </row>
    <row r="133">
      <c r="A133" s="188" t="s">
        <v>1086</v>
      </c>
      <c r="B133" s="41" t="s">
        <v>1053</v>
      </c>
      <c r="C133" s="36" t="s">
        <v>1074</v>
      </c>
      <c r="D133" s="188" t="s">
        <v>1087</v>
      </c>
      <c r="E133" s="189" t="str">
        <f t="array" ref="E133">concatenate(A133,,":",CHAR(10),D133,CHAR(10),"Lv.1/Lv.10 Cost: ",B133)</f>
        <v>Battle Rush Lv.1/Lv.10:
Decreases a single target's DEF by 10%/15% (Turns: 1). Increases own critical rate by 15% (Turns: 1).
Lv.1/Lv.10 Cost: 25/15</v>
      </c>
    </row>
    <row r="134">
      <c r="A134" s="188" t="s">
        <v>1088</v>
      </c>
      <c r="B134" s="41" t="s">
        <v>1056</v>
      </c>
      <c r="C134" s="36" t="s">
        <v>1074</v>
      </c>
      <c r="D134" s="188" t="s">
        <v>1089</v>
      </c>
      <c r="E134" s="189" t="str">
        <f t="array" ref="E134">concatenate(A134,,":",CHAR(10),D134,CHAR(10),"Lv.1/Lv.10 Cost: ",B134)</f>
        <v>Dark Tactics Lv.1/Lv.10:
Increases all allies' stun evasion rate by 90%/100% (Turns: 1).
Lv.1/Lv.10 Cost: 35/25</v>
      </c>
    </row>
    <row r="135">
      <c r="A135" s="188" t="s">
        <v>1090</v>
      </c>
      <c r="B135" s="41" t="s">
        <v>1049</v>
      </c>
      <c r="C135" s="36" t="s">
        <v>1074</v>
      </c>
      <c r="D135" s="188" t="s">
        <v>1091</v>
      </c>
      <c r="E135" s="189" t="str">
        <f t="array" ref="E135">concatenate(A135,,":",CHAR(10),D135,CHAR(10),"Lv.1/Lv.10 Cost: ",B135)</f>
        <v>Dragon Power Lv.1/Lv.10:
Increases activating Soul of Combos damage by 60%/70% (Turns: 1). Increases own critical damage by 20% (Turns: 2).
Lv.1/Lv.10 Cost: 65/55</v>
      </c>
    </row>
    <row r="136">
      <c r="A136" s="188" t="s">
        <v>1092</v>
      </c>
      <c r="B136" s="41" t="s">
        <v>1049</v>
      </c>
      <c r="C136" s="36" t="s">
        <v>1074</v>
      </c>
      <c r="D136" s="188" t="s">
        <v>1093</v>
      </c>
      <c r="E136" s="189" t="str">
        <f t="array" ref="E136">concatenate(A136,,":",CHAR(10),D136,CHAR(10),"Lv.1/Lv.10 Cost: ",B136)</f>
        <v>Indigo Charge Lv.1/Lv.10:
Increases all allies' pierce rate by 80%/100% (Turns: 1). Increases all allies' pierce power by 20% (Turns: 2).
Lv.1/Lv.10 Cost: 65/55</v>
      </c>
    </row>
    <row r="137">
      <c r="A137" s="188" t="s">
        <v>1094</v>
      </c>
      <c r="B137" s="41" t="s">
        <v>1049</v>
      </c>
      <c r="C137" s="36" t="s">
        <v>1074</v>
      </c>
      <c r="D137" s="188" t="s">
        <v>1095</v>
      </c>
      <c r="E137" s="189" t="str">
        <f t="array" ref="E137">concatenate(A137,,":",CHAR(10),D137,CHAR(10),"Lv.1/Lv.10 Cost: ",B137)</f>
        <v>Keigoku Lv.1/Lv.10:
Decreases all targets' DEF by 25%/30% (Turns: 1). Increases all allies' critical rate by 30% (Turns: 1).
Lv.1/Lv.10 Cost: 65/55</v>
      </c>
    </row>
    <row r="138">
      <c r="A138" s="188" t="s">
        <v>1096</v>
      </c>
      <c r="B138" s="41" t="s">
        <v>1053</v>
      </c>
      <c r="C138" s="36" t="s">
        <v>1074</v>
      </c>
      <c r="D138" s="188" t="s">
        <v>1097</v>
      </c>
      <c r="E138" s="189" t="str">
        <f t="array" ref="E138">concatenate(A138,,":",CHAR(10),D138,CHAR(10),"Lv.1/Lv.10 Cost: ",B138)</f>
        <v>Dragon Thrash Lv.1/Lv.10:
Increases all allies' critical resistance by 40%/50% (Turns: 1). Increases own critical rate by 15% (Turns: 1).
Lv.1/Lv.10 Cost: 25/15</v>
      </c>
    </row>
    <row r="139">
      <c r="A139" s="188" t="s">
        <v>1098</v>
      </c>
      <c r="B139" s="41" t="s">
        <v>1056</v>
      </c>
      <c r="C139" s="36" t="s">
        <v>1074</v>
      </c>
      <c r="D139" s="188" t="s">
        <v>1099</v>
      </c>
      <c r="E139" s="189" t="str">
        <f t="array" ref="E139">concatenate(A139,,":",CHAR(10),D139,CHAR(10),"Lv.1/Lv.10 Cost: ",B139)</f>
        <v>Dragon Orb Lv.1/Lv.10:
Changes Soul of Secrets x2 into Soul of Divine Protection. Increases all Soul of Divine Protection gauges' increase by 5%/10% (Turns: 1).
Lv.1/Lv.10 Cost: 35/25</v>
      </c>
    </row>
    <row r="140">
      <c r="A140" s="188" t="s">
        <v>1100</v>
      </c>
      <c r="B140" s="41" t="s">
        <v>1049</v>
      </c>
      <c r="C140" s="36" t="s">
        <v>1074</v>
      </c>
      <c r="D140" s="188" t="s">
        <v>1101</v>
      </c>
      <c r="E140" s="189" t="str">
        <f t="array" ref="E140">concatenate(A140,,":",CHAR(10),D140,CHAR(10),"Lv.1/Lv.10 Cost: ",B140)</f>
        <v>Supporting Wave Lv.1/Lv.10:
Increases all allies' ATK by 15%/20% (Turns: 1).
Lv.1/Lv.10 Cost: 65/55</v>
      </c>
    </row>
    <row r="141">
      <c r="A141" s="188" t="s">
        <v>1102</v>
      </c>
      <c r="B141" s="41" t="s">
        <v>1049</v>
      </c>
      <c r="C141" s="36" t="s">
        <v>1074</v>
      </c>
      <c r="D141" s="188" t="s">
        <v>1103</v>
      </c>
      <c r="E141" s="189" t="str">
        <f t="array" ref="E141">concatenate(A141,,":",CHAR(10),D141,CHAR(10),"Lv.1/Lv.10 Cost: ",B141)</f>
        <v>Forge Result Lv.1/Lv.10:
Increases all allies' ATK by 20%/25% (Turns: 1).
Lv.1/Lv.10 Cost: 65/55</v>
      </c>
    </row>
    <row r="142">
      <c r="A142" s="188" t="s">
        <v>1104</v>
      </c>
      <c r="B142" s="41" t="s">
        <v>1105</v>
      </c>
      <c r="C142" s="36" t="s">
        <v>1074</v>
      </c>
      <c r="D142" s="188" t="s">
        <v>1106</v>
      </c>
      <c r="E142" s="189" t="str">
        <f t="array" ref="E142">concatenate(A142,,":",CHAR(10),D142,CHAR(10),"Lv.1/Lv.10 Cost: ",B142)</f>
        <v>Hydro Combat Lv.1/Lv.10:
Decreases a single target's Secret Skill Gauge by 5%/15%.
Lv.1/Lv.10 Cost: 50/40</v>
      </c>
    </row>
    <row r="143">
      <c r="A143" s="188" t="s">
        <v>1107</v>
      </c>
      <c r="B143" s="41" t="s">
        <v>1067</v>
      </c>
      <c r="C143" s="36" t="s">
        <v>1074</v>
      </c>
      <c r="D143" s="188" t="s">
        <v>1108</v>
      </c>
      <c r="E143" s="189" t="str">
        <f t="array" ref="E143">concatenate(A143,,":",CHAR(10),D143,CHAR(10),"Lv.1/Lv.10 Cost: ",B143)</f>
        <v>Sweet Spirit Lv.1/Lv.10:
Heals all allies' by 25%/30% of their max HP.
Lv.1/Lv.10 Cost: 40/30</v>
      </c>
    </row>
    <row r="144">
      <c r="A144" s="188" t="s">
        <v>1109</v>
      </c>
      <c r="B144" s="41" t="s">
        <v>1067</v>
      </c>
      <c r="C144" s="36" t="s">
        <v>1074</v>
      </c>
      <c r="D144" s="188" t="s">
        <v>1063</v>
      </c>
      <c r="E144" s="189" t="str">
        <f t="array" ref="E144">concatenate(A144,,":",CHAR(10),D144,CHAR(10),"Lv.1/Lv.10 Cost: ",B144)</f>
        <v>Blessing Lv.1/Lv.10:
Recovers all allies from Poison. Increases own poison evasion rate by 5%/10% (Turns: 3).
Lv.1/Lv.10 Cost: 40/30</v>
      </c>
    </row>
    <row r="145">
      <c r="A145" s="188" t="s">
        <v>1110</v>
      </c>
      <c r="B145" s="41" t="s">
        <v>1067</v>
      </c>
      <c r="C145" s="36" t="s">
        <v>1074</v>
      </c>
      <c r="D145" s="188" t="s">
        <v>1063</v>
      </c>
      <c r="E145" s="189" t="str">
        <f t="array" ref="E145">concatenate(A145,,":",CHAR(10),D145,CHAR(10),"Lv.1/Lv.10 Cost: ",B145)</f>
        <v>Dark Ogre Lv.1/Lv.10:
Recovers all allies from Poison. Increases own poison evasion rate by 5%/10% (Turns: 3).
Lv.1/Lv.10 Cost: 40/30</v>
      </c>
    </row>
    <row r="146">
      <c r="A146" s="188" t="s">
        <v>1111</v>
      </c>
      <c r="B146" s="41" t="s">
        <v>1053</v>
      </c>
      <c r="C146" s="36" t="s">
        <v>1074</v>
      </c>
      <c r="D146" s="188" t="s">
        <v>1112</v>
      </c>
      <c r="E146" s="189" t="str">
        <f t="array" ref="E146">concatenate(A146,,":",CHAR(10),D146,CHAR(10),"Lv.1/Lv.10 Cost: ",B146)</f>
        <v>Unlock Expertise Lv.1/Lv.10:
Increases own critical rate by 80％/100% (Turns: 1). Increases own critical damage by 15％ (Turns: 2).
Lv.1/Lv.10 Cost: 25/15</v>
      </c>
    </row>
    <row r="147">
      <c r="A147" s="188" t="s">
        <v>1113</v>
      </c>
      <c r="B147" s="41" t="s">
        <v>1067</v>
      </c>
      <c r="C147" s="36" t="s">
        <v>1074</v>
      </c>
      <c r="D147" s="188" t="s">
        <v>1114</v>
      </c>
      <c r="E147" s="189" t="str">
        <f t="array" ref="E147">concatenate(A147,,":",CHAR(10),D147,CHAR(10),"Lv.1/Lv.10 Cost: ",B147)</f>
        <v>Chancellor's Prestige Lv.1/Lv.10:
Increases all allies' stun evasion rate by 90％/100% (Turns: 1). Increases Soul of Divine Protection damage by 10％ (Turns: 1).
Lv.1/Lv.10 Cost: 40/30</v>
      </c>
    </row>
    <row r="148">
      <c r="A148" s="188" t="s">
        <v>1115</v>
      </c>
      <c r="B148" s="41" t="s">
        <v>1067</v>
      </c>
      <c r="C148" s="36" t="s">
        <v>1074</v>
      </c>
      <c r="D148" s="188" t="s">
        <v>1116</v>
      </c>
      <c r="E148" s="189" t="str">
        <f t="array" ref="E148">concatenate(A148,,":",CHAR(10),D148,CHAR(10),"Lv.1/Lv.10 Cost: ",B148)</f>
        <v>Glowing Future Lv.1/Lv.10:
Recovers all allies from Stun. Increases own stun evasion rate by 5%/10% (Turns: 2).
Lv.1/Lv.10 Cost: 40/30</v>
      </c>
    </row>
    <row r="149">
      <c r="A149" s="188" t="s">
        <v>1117</v>
      </c>
      <c r="B149" s="41" t="s">
        <v>1067</v>
      </c>
      <c r="C149" s="36" t="s">
        <v>1074</v>
      </c>
      <c r="D149" s="188" t="s">
        <v>1118</v>
      </c>
      <c r="E149" s="189" t="str">
        <f t="array" ref="E149">concatenate(A149,,":",CHAR(10),D149,CHAR(10),"Lv.1/Lv.10 Cost: ",B149)</f>
        <v>Heal Assist Lv.1/Lv.10:
Heal all allies' HP by 15%/20% of their max HP. Increases Soul of Divine Protection damage until the end of the battle by 5% (Max: 100%).
Lv.1/Lv.10 Cost: 40/30</v>
      </c>
    </row>
    <row r="150">
      <c r="A150" s="188" t="s">
        <v>1119</v>
      </c>
      <c r="B150" s="41" t="s">
        <v>1067</v>
      </c>
      <c r="C150" s="36" t="s">
        <v>1074</v>
      </c>
      <c r="D150" s="188" t="s">
        <v>1120</v>
      </c>
      <c r="E150" s="189" t="str">
        <f t="array" ref="E150">concatenate(A150,,":",CHAR(10),D150,CHAR(10),"Lv.1/Lv.10 Cost: ",B150)</f>
        <v>Hidden Hand Lv.1/Lv.10:
Changes Soul of Secrets x2 into Soul of Skills. Increases all Soul of Skills gauges' increase by 5%/10% (Turns: 1).
Lv.1/Lv.10 Cost: 40/30</v>
      </c>
    </row>
    <row r="151">
      <c r="A151" s="188" t="s">
        <v>1121</v>
      </c>
      <c r="B151" s="41" t="s">
        <v>1067</v>
      </c>
      <c r="C151" s="36" t="s">
        <v>1074</v>
      </c>
      <c r="D151" s="188" t="s">
        <v>1122</v>
      </c>
      <c r="E151" s="189" t="str">
        <f t="array" ref="E151">concatenate(A151,,":",CHAR(10),D151,CHAR(10),"Lv.1/Lv.10 Cost: ",B151)</f>
        <v>Keen Smell Lv.1/Lv.10:
Increases all allies' pierce rate by 10%/20% (Turns: 1). Increases all allies' guard penetration by 30% (Turns: 1).
Lv.1/Lv.10 Cost: 40/30</v>
      </c>
    </row>
    <row r="152">
      <c r="A152" s="188" t="s">
        <v>1123</v>
      </c>
      <c r="B152" s="41" t="s">
        <v>1056</v>
      </c>
      <c r="C152" s="36" t="s">
        <v>1074</v>
      </c>
      <c r="D152" s="188" t="s">
        <v>1124</v>
      </c>
      <c r="E152" s="189" t="str">
        <f t="array" ref="E152">concatenate(A152,,":",CHAR(10),D152,CHAR(10),"Lv.1/Lv.10 Cost: ",B152)</f>
        <v>Gift of Magic Lv.1/Lv.10:
Increases all allies' DEF by 20％/25% (Turns: 3). Increases all allies' max HP by 30％ (Turns: 3).
Lv.1/Lv.10 Cost: 35/25</v>
      </c>
    </row>
    <row r="153">
      <c r="A153" s="188" t="s">
        <v>1125</v>
      </c>
      <c r="B153" s="41" t="s">
        <v>1053</v>
      </c>
      <c r="C153" s="36" t="s">
        <v>1074</v>
      </c>
      <c r="D153" s="188" t="s">
        <v>1126</v>
      </c>
      <c r="E153" s="189" t="str">
        <f t="array" ref="E153">concatenate(A153,,":",CHAR(10),D153,CHAR(10),"Lv.1/Lv.10 Cost: ",B153)</f>
        <v>Happiness Illuminate Lv.1/Lv.10:
Increases all allies' guard power by 15％/25% (Turns: 1). Increases Soul of Skills damage until the end of battle by 5％.
Lv.1/Lv.10 Cost: 25/15</v>
      </c>
    </row>
    <row r="154">
      <c r="A154" s="188" t="s">
        <v>1127</v>
      </c>
      <c r="B154" s="41" t="s">
        <v>1067</v>
      </c>
      <c r="C154" s="36" t="s">
        <v>1074</v>
      </c>
      <c r="D154" s="188" t="s">
        <v>1128</v>
      </c>
      <c r="E154" s="189" t="str">
        <f t="array" ref="E154">concatenate(A154,,":",CHAR(10),D154,CHAR(10),"Lv.1/Lv.10 Cost: ",B154)</f>
        <v>Light Beyond Lv.1/Lv.10:
Heals all allies' by 15%/20% of their max HP.
Lv.1/Lv.10 Cost: 40/30</v>
      </c>
    </row>
    <row r="155">
      <c r="A155" s="188" t="s">
        <v>1129</v>
      </c>
      <c r="B155" s="41" t="s">
        <v>1067</v>
      </c>
      <c r="C155" s="36" t="s">
        <v>1074</v>
      </c>
      <c r="D155" s="188" t="s">
        <v>1130</v>
      </c>
      <c r="E155" s="189" t="str">
        <f t="array" ref="E155">concatenate(A155,,":",CHAR(10),D155,CHAR(10),"Lv.1/Lv.10 Cost: ",B155)</f>
        <v>Lord of Catastrophe Lv.1/Lv.10:
Increases all allies' guard penetration by 40%/50% (Turns: 1).
Lv.1/Lv.10 Cost: 40/30</v>
      </c>
    </row>
    <row r="156">
      <c r="A156" s="188" t="s">
        <v>1131</v>
      </c>
      <c r="B156" s="41" t="s">
        <v>1053</v>
      </c>
      <c r="C156" s="36" t="s">
        <v>1074</v>
      </c>
      <c r="D156" s="188" t="s">
        <v>1132</v>
      </c>
      <c r="E156" s="189" t="str">
        <f t="array" ref="E156">concatenate(A156,,":",CHAR(10),D156,CHAR(10),"Lv.1/Lv.10 Cost: ",B156)</f>
        <v>Dragon Princess's Aura Lv.1/Lv.10:
Increases own pierce rate by 80% (Turns: 1). Increases own pierce power by 15% (Turns: 1).
Lv.1/Lv.10 Cost: 25/15</v>
      </c>
    </row>
    <row r="157">
      <c r="A157" s="188" t="s">
        <v>1133</v>
      </c>
      <c r="B157" s="41" t="s">
        <v>1049</v>
      </c>
      <c r="C157" s="36" t="s">
        <v>1074</v>
      </c>
      <c r="D157" s="188" t="s">
        <v>1134</v>
      </c>
      <c r="E157" s="189" t="str">
        <f t="array" ref="E157">concatenate(A157,,":",CHAR(10),D157,CHAR(10),"Lv.1/Lv.10 Cost: ",B157)</f>
        <v>Beyond Compare Lv.1/Lv.10:
Increases all allies' critical rate by 30% (Turns: 1). Decreases a single target's guard power by 25% (Turns: 1).
Lv.1/Lv.10 Cost: 65/55</v>
      </c>
    </row>
    <row r="158">
      <c r="A158" s="188" t="s">
        <v>1135</v>
      </c>
      <c r="B158" s="41" t="s">
        <v>1067</v>
      </c>
      <c r="C158" s="36" t="s">
        <v>1074</v>
      </c>
      <c r="D158" s="188" t="s">
        <v>1130</v>
      </c>
      <c r="E158" s="189" t="str">
        <f t="array" ref="E158">concatenate(A158,,":",CHAR(10),D158,CHAR(10),"Lv.1/Lv.10 Cost: ",B158)</f>
        <v>Pump Up Lv.1/Lv.10:
Increases all allies' guard penetration by 40%/50% (Turns: 1).
Lv.1/Lv.10 Cost: 40/30</v>
      </c>
    </row>
    <row r="159">
      <c r="A159" s="188" t="s">
        <v>1136</v>
      </c>
      <c r="B159" s="41" t="s">
        <v>1067</v>
      </c>
      <c r="C159" s="36" t="s">
        <v>1074</v>
      </c>
      <c r="D159" s="188" t="s">
        <v>1128</v>
      </c>
      <c r="E159" s="189" t="str">
        <f t="array" ref="E159">concatenate(A159,,":",CHAR(10),D159,CHAR(10),"Lv.1/Lv.10 Cost: ",B159)</f>
        <v>Self-regeneration Lv.1/Lv.10:
Heals all allies' by 15%/20% of their max HP.
Lv.1/Lv.10 Cost: 40/30</v>
      </c>
    </row>
    <row r="160">
      <c r="A160" s="188" t="s">
        <v>1137</v>
      </c>
      <c r="B160" s="41" t="s">
        <v>1067</v>
      </c>
      <c r="C160" s="36" t="s">
        <v>1074</v>
      </c>
      <c r="D160" s="188" t="s">
        <v>1138</v>
      </c>
      <c r="E160" s="189" t="str">
        <f t="array" ref="E160">concatenate(A160,,":",CHAR(10),D160,CHAR(10),"Lv.1/Lv.10 Cost: ",B160)</f>
        <v>Shadow Rush Lv.1/Lv.10:
Increases all allies' guard penetration by 40%/50% (Turns: 1). Increases all allies' pierce rate by 10% (Turns: 1).
Lv.1/Lv.10 Cost: 40/30</v>
      </c>
    </row>
    <row r="161">
      <c r="A161" s="188" t="s">
        <v>1139</v>
      </c>
      <c r="B161" s="41" t="s">
        <v>1067</v>
      </c>
      <c r="C161" s="36" t="s">
        <v>1074</v>
      </c>
      <c r="D161" s="188" t="s">
        <v>1063</v>
      </c>
      <c r="E161" s="189" t="str">
        <f t="array" ref="E161">concatenate(A161,,":",CHAR(10),D161,CHAR(10),"Lv.1/Lv.10 Cost: ",B161)</f>
        <v>Siege Lv.1/Lv.10:
Recovers all allies from Poison. Increases own poison evasion rate by 5%/10% (Turns: 3).
Lv.1/Lv.10 Cost: 40/30</v>
      </c>
    </row>
    <row r="162">
      <c r="A162" s="188" t="s">
        <v>1140</v>
      </c>
      <c r="B162" s="41" t="s">
        <v>1056</v>
      </c>
      <c r="C162" s="36" t="s">
        <v>1074</v>
      </c>
      <c r="D162" s="188" t="s">
        <v>1141</v>
      </c>
      <c r="E162" s="189" t="str">
        <f t="array" ref="E162">concatenate(A162,,":",CHAR(10),D162,CHAR(10),"Lv.1/Lv.10 Cost: ",B162)</f>
        <v>Analyze Weakness Lv.1/Lv.10:
Increases all allies' stun evasion rate by 90%/100% (Turns: 1). Increases own critical rate by 10% (Turns: 1).
Lv.1/Lv.10 Cost: 35/25</v>
      </c>
    </row>
    <row r="163">
      <c r="A163" s="188" t="s">
        <v>1142</v>
      </c>
      <c r="B163" s="41" t="s">
        <v>1056</v>
      </c>
      <c r="C163" s="36" t="s">
        <v>1074</v>
      </c>
      <c r="D163" s="188" t="s">
        <v>1099</v>
      </c>
      <c r="E163" s="189" t="str">
        <f t="array" ref="E163">concatenate(A163,,":",CHAR(10),D163,CHAR(10),"Lv.1/Lv.10 Cost: ",B163)</f>
        <v>Change Dragon Magic Lv.1/Lv.10:
Changes Soul of Secrets x2 into Soul of Divine Protection. Increases all Soul of Divine Protection gauges' increase by 5%/10% (Turns: 1).
Lv.1/Lv.10 Cost: 35/25</v>
      </c>
    </row>
    <row r="164">
      <c r="A164" s="188" t="s">
        <v>1143</v>
      </c>
      <c r="B164" s="41" t="s">
        <v>1056</v>
      </c>
      <c r="C164" s="36" t="s">
        <v>1074</v>
      </c>
      <c r="D164" s="188" t="s">
        <v>1144</v>
      </c>
      <c r="E164" s="189" t="str">
        <f t="array" ref="E164">concatenate(A164,,":",CHAR(10),D164,CHAR(10),"Lv.1/Lv.10 Cost: ",B164)</f>
        <v>Degenerate Lv.1/Lv.10:
Changes Soul of Divine Protection x2 into Soul of Secrets. Increases all Soul of Secrets gauges' increase by 5%/10% (Turns: 1).
Lv.1/Lv.10 Cost: 35/25</v>
      </c>
    </row>
    <row r="165">
      <c r="A165" s="188" t="s">
        <v>1145</v>
      </c>
      <c r="B165" s="41" t="s">
        <v>1056</v>
      </c>
      <c r="C165" s="36" t="s">
        <v>1074</v>
      </c>
      <c r="D165" s="188" t="s">
        <v>1099</v>
      </c>
      <c r="E165" s="189" t="str">
        <f t="array" ref="E165">concatenate(A165,,":",CHAR(10),D165,CHAR(10),"Lv.1/Lv.10 Cost: ",B165)</f>
        <v>Divination Lv.1/Lv.10:
Changes Soul of Secrets x2 into Soul of Divine Protection. Increases all Soul of Divine Protection gauges' increase by 5%/10% (Turns: 1).
Lv.1/Lv.10 Cost: 35/25</v>
      </c>
    </row>
    <row r="166">
      <c r="A166" s="188" t="s">
        <v>1146</v>
      </c>
      <c r="B166" s="41" t="s">
        <v>1056</v>
      </c>
      <c r="C166" s="36" t="s">
        <v>1074</v>
      </c>
      <c r="D166" s="188" t="s">
        <v>1147</v>
      </c>
      <c r="E166" s="189" t="str">
        <f t="array" ref="E166">concatenate(A166,,":",CHAR(10),D166,CHAR(10),"Lv.1/Lv.10 Cost: ",B166)</f>
        <v>Dragon's Magic's Call Lv.1/Lv.10:
Increases all allies' DEF by 20%/25% (Turns: 1).
Lv.1/Lv.10 Cost: 35/25</v>
      </c>
    </row>
    <row r="167">
      <c r="A167" s="188" t="s">
        <v>1148</v>
      </c>
      <c r="B167" s="41" t="s">
        <v>1056</v>
      </c>
      <c r="C167" s="36" t="s">
        <v>1074</v>
      </c>
      <c r="D167" s="188" t="s">
        <v>1149</v>
      </c>
      <c r="E167" s="189" t="str">
        <f t="array" ref="E167">concatenate(A167,,":",CHAR(10),D167,CHAR(10),"Lv.1/Lv.10 Cost: ",B167)</f>
        <v>Homura Lv.1/Lv.10:
Increases all allies' stun evasion rate by 90%/100% (Turns: 1). Increases own critical rate by 15% (Turns: 1).
Lv.1/Lv.10 Cost: 35/25</v>
      </c>
    </row>
    <row r="168">
      <c r="A168" s="188" t="s">
        <v>1150</v>
      </c>
      <c r="B168" s="41" t="s">
        <v>1056</v>
      </c>
      <c r="C168" s="36" t="s">
        <v>1074</v>
      </c>
      <c r="D168" s="188" t="s">
        <v>1151</v>
      </c>
      <c r="E168" s="189" t="str">
        <f t="array" ref="E168">concatenate(A168,,":",CHAR(10),D168,CHAR(10),"Lv.1/Lv.10 Cost: ",B168)</f>
        <v>Nightmare Strike Lv.1/Lv.10:
Heals all allies' by 20%/25% of their max HP. Increases Soul of Skills damage until the end of battle by 5% (Max: 100%).
Lv.1/Lv.10 Cost: 35/25</v>
      </c>
    </row>
    <row r="169">
      <c r="A169" s="188" t="s">
        <v>1152</v>
      </c>
      <c r="B169" s="41" t="s">
        <v>1067</v>
      </c>
      <c r="C169" s="36" t="s">
        <v>1074</v>
      </c>
      <c r="D169" s="188" t="s">
        <v>1153</v>
      </c>
      <c r="E169" s="189" t="str">
        <f t="array" ref="E169">concatenate(A169,,":",CHAR(10),D169,CHAR(10),"Lv.1/Lv.10 Cost: ",B169)</f>
        <v>Dark Allure Lv.1/Lv.10:
Changes Soul of Protection and Soul of Secrets x1 each into Soul of Skills. Increases all Soul of Skills gauges' increase by 5%/10% (Turns: 1).
Lv.1/Lv.10 Cost: 40/30</v>
      </c>
    </row>
    <row r="170">
      <c r="A170" s="188" t="s">
        <v>1154</v>
      </c>
      <c r="B170" s="41" t="s">
        <v>1056</v>
      </c>
      <c r="C170" s="36" t="s">
        <v>1074</v>
      </c>
      <c r="D170" s="36" t="s">
        <v>1155</v>
      </c>
      <c r="E170" s="189" t="str">
        <f t="array" ref="E170">concatenate(A170,,":",CHAR(10),D170,CHAR(10),"Lv.1/Lv.10 Cost: ",B170)</f>
        <v>Magic Sense Lv.1/Lv.10:
Increases all allies' DEF by 20%/25% (Turns: 2).
Lv.1/Lv.10 Cost: 35/25</v>
      </c>
    </row>
    <row r="171">
      <c r="A171" s="188" t="s">
        <v>1156</v>
      </c>
      <c r="B171" s="41" t="s">
        <v>1056</v>
      </c>
      <c r="C171" s="36" t="s">
        <v>1074</v>
      </c>
      <c r="D171" s="188" t="s">
        <v>1061</v>
      </c>
      <c r="E171" s="189" t="str">
        <f t="array" ref="E171">concatenate(A171,,":",CHAR(10),D171,CHAR(10),"Lv.1/Lv.10 Cost: ",B171)</f>
        <v>Bright Eye Lv.1/Lv.10:
Changes Soul of Skills x2 into Soul of Divine Protection. Increases all Soul of Divine Protection gauges' increase by 5%/10% (Turns: 1).
Lv.1/Lv.10 Cost: 35/25</v>
      </c>
    </row>
    <row r="172">
      <c r="A172" s="188" t="s">
        <v>1157</v>
      </c>
      <c r="B172" s="41" t="s">
        <v>1056</v>
      </c>
      <c r="C172" s="36" t="s">
        <v>1074</v>
      </c>
      <c r="D172" s="188" t="s">
        <v>1158</v>
      </c>
      <c r="E172" s="189" t="str">
        <f t="array" ref="E172">concatenate(A172,,":",CHAR(10),D172,CHAR(10),"Lv.1/Lv.10 Cost: ",B172)</f>
        <v>Contemplation Lv.1/Lv.10:
Changes Soul of Divine Protection x2 into Soul of Skills. Increases all Soul of Skills gauges' increase by 5%/10% (Turns: 1).
Lv.1/Lv.10 Cost: 35/25</v>
      </c>
    </row>
    <row r="173">
      <c r="A173" s="188" t="s">
        <v>1159</v>
      </c>
      <c r="B173" s="41" t="s">
        <v>1056</v>
      </c>
      <c r="C173" s="36" t="s">
        <v>1074</v>
      </c>
      <c r="D173" s="188" t="s">
        <v>1099</v>
      </c>
      <c r="E173" s="189" t="str">
        <f t="array" ref="E173">concatenate(A173,,":",CHAR(10),D173,CHAR(10),"Lv.1/Lv.10 Cost: ",B173)</f>
        <v>Enlightenment Lv.1/Lv.10:
Changes Soul of Secrets x2 into Soul of Divine Protection. Increases all Soul of Divine Protection gauges' increase by 5%/10% (Turns: 1).
Lv.1/Lv.10 Cost: 35/25</v>
      </c>
    </row>
    <row r="174">
      <c r="A174" s="188" t="s">
        <v>1160</v>
      </c>
      <c r="B174" s="41" t="s">
        <v>1053</v>
      </c>
      <c r="C174" s="36" t="s">
        <v>1074</v>
      </c>
      <c r="D174" s="188" t="s">
        <v>1161</v>
      </c>
      <c r="E174" s="189" t="str">
        <f t="array" ref="E174">concatenate(A174,,":",CHAR(10),D174,CHAR(10),"Lv.1/Lv.10 Cost: ",B174)</f>
        <v>Faust Lv.1/Lv.10:
Decreases a single target's critical damage by 10％/20% (Turns: 3).
Lv.1/Lv.10 Cost: 25/15</v>
      </c>
    </row>
    <row r="175">
      <c r="A175" s="188" t="s">
        <v>1162</v>
      </c>
      <c r="B175" s="41" t="s">
        <v>1056</v>
      </c>
      <c r="C175" s="36" t="s">
        <v>1074</v>
      </c>
      <c r="D175" s="188" t="s">
        <v>1163</v>
      </c>
      <c r="E175" s="189" t="str">
        <f t="array" ref="E175">concatenate(A175,,":",CHAR(10),D175,CHAR(10),"Lv.1/Lv.10 Cost: ",B175)</f>
        <v>Flint Lv.1/Lv.10:
Increases all allies' pierce resistance by 40%/50% (Turns: 2).
Lv.1/Lv.10 Cost: 35/25</v>
      </c>
    </row>
    <row r="176">
      <c r="A176" s="188" t="s">
        <v>1164</v>
      </c>
      <c r="B176" s="41" t="s">
        <v>1056</v>
      </c>
      <c r="C176" s="36" t="s">
        <v>1074</v>
      </c>
      <c r="D176" s="188" t="s">
        <v>1057</v>
      </c>
      <c r="E176" s="189" t="str">
        <f t="array" ref="E176">concatenate(A176,,":",CHAR(10),D176,CHAR(10),"Lv.1/Lv.10 Cost: ",B176)</f>
        <v>Free Thread Lv.1/Lv.10:
Changes Soul of Skills x2 into Soul of Secrets. Increases all Soul of Secrets gauges' increase by 5%/10% (Turns: 1).
Lv.1/Lv.10 Cost: 35/25</v>
      </c>
    </row>
    <row r="177">
      <c r="A177" s="188" t="s">
        <v>1165</v>
      </c>
      <c r="B177" s="41" t="s">
        <v>1056</v>
      </c>
      <c r="C177" s="36" t="s">
        <v>1074</v>
      </c>
      <c r="D177" s="188" t="s">
        <v>1158</v>
      </c>
      <c r="E177" s="189" t="str">
        <f t="array" ref="E177">concatenate(A177,,":",CHAR(10),D177,CHAR(10),"Lv.1/Lv.10 Cost: ",B177)</f>
        <v>Oracle's Card Lv.1/Lv.10:
Changes Soul of Divine Protection x2 into Soul of Skills. Increases all Soul of Skills gauges' increase by 5%/10% (Turns: 1).
Lv.1/Lv.10 Cost: 35/25</v>
      </c>
    </row>
    <row r="178">
      <c r="A178" s="188" t="s">
        <v>1166</v>
      </c>
      <c r="B178" s="41" t="s">
        <v>1056</v>
      </c>
      <c r="C178" s="36" t="s">
        <v>1074</v>
      </c>
      <c r="D178" s="188" t="s">
        <v>1120</v>
      </c>
      <c r="E178" s="189" t="str">
        <f t="array" ref="E178">concatenate(A178,,":",CHAR(10),D178,CHAR(10),"Lv.1/Lv.10 Cost: ",B178)</f>
        <v>Pendulum Swing Lv.1/Lv.10:
Changes Soul of Secrets x2 into Soul of Skills. Increases all Soul of Skills gauges' increase by 5%/10% (Turns: 1).
Lv.1/Lv.10 Cost: 35/25</v>
      </c>
    </row>
    <row r="179">
      <c r="A179" s="188" t="s">
        <v>1167</v>
      </c>
      <c r="B179" s="41" t="s">
        <v>1056</v>
      </c>
      <c r="C179" s="36" t="s">
        <v>1074</v>
      </c>
      <c r="D179" s="188" t="s">
        <v>1168</v>
      </c>
      <c r="E179" s="189" t="str">
        <f t="array" ref="E179">concatenate(A179,,":",CHAR(10),D179,CHAR(10),"Lv.1/Lv.10 Cost: ",B179)</f>
        <v>Sad Russian Doll Lv.1/Lv.10:
Chance to stun a single target: 10%/30% (Turns: 1).
Lv.1/Lv.10 Cost: 35/25</v>
      </c>
    </row>
    <row r="180">
      <c r="A180" s="188" t="s">
        <v>1169</v>
      </c>
      <c r="B180" s="41" t="s">
        <v>1056</v>
      </c>
      <c r="C180" s="36" t="s">
        <v>1074</v>
      </c>
      <c r="D180" s="188" t="s">
        <v>1170</v>
      </c>
      <c r="E180" s="189" t="str">
        <f t="array" ref="E180">concatenate(A180,,":",CHAR(10),D180,CHAR(10),"Lv.1/Lv.10 Cost: ",B180)</f>
        <v>Search Change Lv.1/Lv.10:
Changes Soul of Divine Protection x2 into Soul of Secrets. Increases all Soul of Secrets gauges' increase by 5%/10% (turns: 1).
Lv.1/Lv.10 Cost: 35/25</v>
      </c>
    </row>
    <row r="181">
      <c r="A181" s="188" t="s">
        <v>1171</v>
      </c>
      <c r="B181" s="41" t="s">
        <v>1056</v>
      </c>
      <c r="C181" s="36" t="s">
        <v>1074</v>
      </c>
      <c r="D181" s="188" t="s">
        <v>1172</v>
      </c>
      <c r="E181" s="189" t="str">
        <f t="array" ref="E181">concatenate(A181,,":",CHAR(10),D181,CHAR(10),"Lv.1/Lv.10 Cost: ",B181)</f>
        <v>Shield Field Lv.1/Lv.10:
Increases all allies' counter power by 10%/20% (Turns: 2).
Lv.1/Lv.10 Cost: 35/25</v>
      </c>
    </row>
    <row r="182">
      <c r="A182" s="188" t="s">
        <v>1173</v>
      </c>
      <c r="B182" s="41" t="s">
        <v>1056</v>
      </c>
      <c r="C182" s="36" t="s">
        <v>1074</v>
      </c>
      <c r="D182" s="188" t="s">
        <v>1061</v>
      </c>
      <c r="E182" s="189" t="str">
        <f t="array" ref="E182">concatenate(A182,,":",CHAR(10),D182,CHAR(10),"Lv.1/Lv.10 Cost: ",B182)</f>
        <v>Small Chance Lv.1/Lv.10:
Changes Soul of Skills x2 into Soul of Divine Protection. Increases all Soul of Divine Protection gauges' increase by 5%/10% (Turns: 1).
Lv.1/Lv.10 Cost: 35/25</v>
      </c>
    </row>
    <row r="183">
      <c r="A183" s="188" t="s">
        <v>1174</v>
      </c>
      <c r="B183" s="41" t="s">
        <v>1056</v>
      </c>
      <c r="C183" s="36" t="s">
        <v>1074</v>
      </c>
      <c r="D183" s="188" t="s">
        <v>1057</v>
      </c>
      <c r="E183" s="189" t="str">
        <f t="array" ref="E183">concatenate(A183,,":",CHAR(10),D183,CHAR(10),"Lv.1/Lv.10 Cost: ",B183)</f>
        <v>Thrill of the Hunt Lv.1/Lv.10:
Changes Soul of Skills x2 into Soul of Secrets. Increases all Soul of Secrets gauges' increase by 5%/10% (Turns: 1).
Lv.1/Lv.10 Cost: 35/25</v>
      </c>
    </row>
    <row r="184">
      <c r="A184" s="188" t="s">
        <v>1175</v>
      </c>
      <c r="B184" s="41" t="s">
        <v>1056</v>
      </c>
      <c r="C184" s="36" t="s">
        <v>1074</v>
      </c>
      <c r="D184" s="188" t="s">
        <v>1089</v>
      </c>
      <c r="E184" s="189" t="str">
        <f t="array" ref="E184">concatenate(A184,,":",CHAR(10),D184,CHAR(10),"Lv.1/Lv.10 Cost: ",B184)</f>
        <v>Vengeance Flourishing Lv.1/Lv.10:
Increases all allies' stun evasion rate by 90%/100% (Turns: 1).
Lv.1/Lv.10 Cost: 35/25</v>
      </c>
    </row>
    <row r="185">
      <c r="A185" s="188" t="s">
        <v>1176</v>
      </c>
      <c r="B185" s="41" t="s">
        <v>1056</v>
      </c>
      <c r="C185" s="36" t="s">
        <v>1074</v>
      </c>
      <c r="D185" s="188" t="s">
        <v>1158</v>
      </c>
      <c r="E185" s="189" t="str">
        <f t="array" ref="E185">concatenate(A185,,":",CHAR(10),D185,CHAR(10),"Lv.1/Lv.10 Cost: ",B185)</f>
        <v>Willow Talisman Lv.1/Lv.10:
Changes Soul of Divine Protection x2 into Soul of Skills. Increases all Soul of Skills gauges' increase by 5%/10% (Turns: 1).
Lv.1/Lv.10 Cost: 35/25</v>
      </c>
    </row>
    <row r="186">
      <c r="A186" s="188" t="s">
        <v>1177</v>
      </c>
      <c r="B186" s="41" t="s">
        <v>1056</v>
      </c>
      <c r="C186" s="36" t="s">
        <v>1074</v>
      </c>
      <c r="D186" s="188" t="s">
        <v>1147</v>
      </c>
      <c r="E186" s="189" t="str">
        <f t="array" ref="E186">concatenate(A186,,":",CHAR(10),D186,CHAR(10),"Lv.1/Lv.10 Cost: ",B186)</f>
        <v>Sublimate Lv.1/Lv.10:
Increases all allies' DEF by 20%/25% (Turns: 1).
Lv.1/Lv.10 Cost: 35/25</v>
      </c>
    </row>
    <row r="187">
      <c r="A187" s="188" t="s">
        <v>1178</v>
      </c>
      <c r="B187" s="41" t="s">
        <v>1053</v>
      </c>
      <c r="C187" s="36" t="s">
        <v>1074</v>
      </c>
      <c r="D187" s="188" t="s">
        <v>1179</v>
      </c>
      <c r="E187" s="189" t="str">
        <f t="array" ref="E187">concatenate(A187,,":",CHAR(10),D187,CHAR(10),"Lv.1/Lv.10 Cost: ",B187)</f>
        <v>Hard Mist Lv.1/Lv.10:
Decreases all targets' pierce power by 10%/20% (Turns: 3).
Lv.1/Lv.10 Cost: 25/15</v>
      </c>
    </row>
    <row r="188">
      <c r="A188" s="188" t="s">
        <v>1180</v>
      </c>
      <c r="B188" s="41" t="s">
        <v>1053</v>
      </c>
      <c r="C188" s="36" t="s">
        <v>1074</v>
      </c>
      <c r="D188" s="188" t="s">
        <v>1181</v>
      </c>
      <c r="E188" s="189" t="str">
        <f t="array" ref="E188">concatenate(A188,,":",CHAR(10),D188,CHAR(10),"Lv.1/Lv.10 Cost: ",B188)</f>
        <v>Advance Attack Lv.1/Lv.10:
Increases all allies' poison evasion rate by 90%/100% (Turns: 1).
Lv.1/Lv.10 Cost: 25/15</v>
      </c>
    </row>
    <row r="189">
      <c r="A189" s="188" t="s">
        <v>1182</v>
      </c>
      <c r="B189" s="41" t="s">
        <v>1053</v>
      </c>
      <c r="C189" s="36" t="s">
        <v>1074</v>
      </c>
      <c r="D189" s="188" t="s">
        <v>1183</v>
      </c>
      <c r="E189" s="189" t="str">
        <f t="array" ref="E189">concatenate(A189,,":",CHAR(10),D189,CHAR(10),"Lv.1/Lv.10 Cost: ",B189)</f>
        <v>Anti-magic Wave Lv.1/Lv.10:
Decreases a single target's pierce resistance by 10%/20% (Turns: 2).
Lv.1/Lv.10 Cost: 25/15</v>
      </c>
    </row>
    <row r="190">
      <c r="A190" s="188" t="s">
        <v>1184</v>
      </c>
      <c r="B190" s="41" t="s">
        <v>1053</v>
      </c>
      <c r="C190" s="36" t="s">
        <v>1074</v>
      </c>
      <c r="D190" s="188" t="s">
        <v>1185</v>
      </c>
      <c r="E190" s="189" t="str">
        <f t="array" ref="E190">concatenate(A190,,":",CHAR(10),D190,CHAR(10),"Lv.1/Lv.10 Cost: ",B190)</f>
        <v>Battle Stations Lv.1/Lv.10:
Decreases a single target's guard rate by 20%/30% (Turns: 1).
Lv.1/Lv.10 Cost: 25/15</v>
      </c>
    </row>
    <row r="191">
      <c r="A191" s="188" t="s">
        <v>1186</v>
      </c>
      <c r="B191" s="41" t="s">
        <v>1053</v>
      </c>
      <c r="C191" s="36" t="s">
        <v>1074</v>
      </c>
      <c r="D191" s="188" t="s">
        <v>1187</v>
      </c>
      <c r="E191" s="189" t="str">
        <f t="array" ref="E191">concatenate(A191,,":",CHAR(10),D191,CHAR(10),"Lv.1/Lv.10 Cost: ",B191)</f>
        <v>Blunt Strike Lv.1/Lv.10:
Chance to poison a single target: 60%/80% (Turns: 3).
Lv.1/Lv.10 Cost: 25/15</v>
      </c>
    </row>
    <row r="192">
      <c r="A192" s="188" t="s">
        <v>1188</v>
      </c>
      <c r="B192" s="41" t="s">
        <v>1053</v>
      </c>
      <c r="C192" s="36" t="s">
        <v>1074</v>
      </c>
      <c r="D192" s="188" t="s">
        <v>1189</v>
      </c>
      <c r="E192" s="189" t="str">
        <f t="array" ref="E192">concatenate(A192,,":",CHAR(10),D192,CHAR(10),"Lv.1/Lv.10 Cost: ",B192)</f>
        <v>Breezy Reflection Lv.1/Lv.10:
Decreases all targets' counterattack resistance by 10%/20% (Turns: 2).
Lv.1/Lv.10 Cost: 25/15</v>
      </c>
    </row>
    <row r="193">
      <c r="A193" s="188" t="s">
        <v>1190</v>
      </c>
      <c r="B193" s="41" t="s">
        <v>1053</v>
      </c>
      <c r="C193" s="36" t="s">
        <v>1074</v>
      </c>
      <c r="D193" s="188" t="s">
        <v>1191</v>
      </c>
      <c r="E193" s="189" t="str">
        <f t="array" ref="E193">concatenate(A193,,":",CHAR(10),D193,CHAR(10),"Lv.1/Lv.10 Cost: ",B193)</f>
        <v>Chaotic Beat Lv.1/Lv.10:
Decreases a single target's counterattack rate by 25%/35% (Turns: 1).
Lv.1/Lv.10 Cost: 25/15</v>
      </c>
    </row>
    <row r="194">
      <c r="A194" s="188" t="s">
        <v>1192</v>
      </c>
      <c r="B194" s="41" t="s">
        <v>1053</v>
      </c>
      <c r="C194" s="36" t="s">
        <v>1074</v>
      </c>
      <c r="D194" s="188" t="s">
        <v>1193</v>
      </c>
      <c r="E194" s="189" t="str">
        <f t="array" ref="E194">concatenate(A194,,":",CHAR(10),D194,CHAR(10),"Lv.1/Lv.10 Cost: ",B194)</f>
        <v>Concentrated Bonds Lv.1/Lv.10:
Redraws soul in hand. Increases all Soul of Divine Protection gauges' increase by 5%/10% (Turns: 1).
Lv.1/Lv.10 Cost: 25/15</v>
      </c>
    </row>
    <row r="195">
      <c r="A195" s="188" t="s">
        <v>1194</v>
      </c>
      <c r="B195" s="41" t="s">
        <v>1053</v>
      </c>
      <c r="C195" s="36" t="s">
        <v>1074</v>
      </c>
      <c r="D195" s="188" t="s">
        <v>1195</v>
      </c>
      <c r="E195" s="189" t="str">
        <f t="array" ref="E195">concatenate(A195,,":",CHAR(10),D195,CHAR(10),"Lv.1/Lv.10 Cost: ",B195)</f>
        <v>Cradle Barrier Lv.1/Lv.10:
Increases all allies' pierce resistance by 40%/50% (Turns: 1).
Lv.1/Lv.10 Cost: 25/15</v>
      </c>
    </row>
    <row r="196">
      <c r="A196" s="188" t="s">
        <v>1196</v>
      </c>
      <c r="B196" s="41" t="s">
        <v>1053</v>
      </c>
      <c r="C196" s="36" t="s">
        <v>1074</v>
      </c>
      <c r="D196" s="188" t="s">
        <v>1197</v>
      </c>
      <c r="E196" s="189" t="str">
        <f t="array" ref="E196">concatenate(A196,,":",CHAR(10),D196,CHAR(10),"Lv.1/Lv.10 Cost: ",B196)</f>
        <v>Dynamic Cooking Lv.1/Lv.10:
Heals self by 20%/25% of own max HP. Increases Soul of Skills damage until the end of battle by 5% (Max: 100%).
Lv.1/Lv.10 Cost: 25/15</v>
      </c>
    </row>
    <row r="197">
      <c r="A197" s="188" t="s">
        <v>1198</v>
      </c>
      <c r="B197" s="41" t="s">
        <v>1053</v>
      </c>
      <c r="C197" s="36" t="s">
        <v>1074</v>
      </c>
      <c r="D197" s="188" t="s">
        <v>1199</v>
      </c>
      <c r="E197" s="189" t="str">
        <f t="array" ref="E197">concatenate(A197,,":",CHAR(10),D197,CHAR(10),"Lv.1/Lv.10 Cost: ",B197)</f>
        <v>Destructive Cleaning Lv.1/Lv.10:
Increases all allies' pierce resistance by 20%/25% (Turns: 2).
Lv.1/Lv.10 Cost: 25/15</v>
      </c>
    </row>
    <row r="198">
      <c r="A198" s="188" t="s">
        <v>1200</v>
      </c>
      <c r="B198" s="41" t="s">
        <v>1053</v>
      </c>
      <c r="C198" s="36" t="s">
        <v>1074</v>
      </c>
      <c r="D198" s="188" t="s">
        <v>1201</v>
      </c>
      <c r="E198" s="189" t="str">
        <f t="array" ref="E198">concatenate(A198,,":",CHAR(10),D198,CHAR(10),"Lv.1/Lv.10 Cost: ",B198)</f>
        <v>Devotion Lv.1/Lv.10:
Increases own ATK by 20%/25% (Turns: 1). Decreases all targets' dark resistance by 10% (Turns: 1).
Lv.1/Lv.10 Cost: 25/15</v>
      </c>
    </row>
    <row r="199">
      <c r="A199" s="188" t="s">
        <v>1202</v>
      </c>
      <c r="B199" s="41" t="s">
        <v>1053</v>
      </c>
      <c r="C199" s="36" t="s">
        <v>1074</v>
      </c>
      <c r="D199" s="188" t="s">
        <v>1203</v>
      </c>
      <c r="E199" s="189" t="str">
        <f t="array" ref="E199">concatenate(A199,,":",CHAR(10),D199,CHAR(10),"Lv.1/Lv.10 Cost: ",B199)</f>
        <v>Dancing Swords Lv.1/Lv.10:
Increases own ATK by 15%/20% (Turns: 1).
Lv.1/Lv.10 Cost: 25/15</v>
      </c>
    </row>
    <row r="200">
      <c r="A200" s="188" t="s">
        <v>1204</v>
      </c>
      <c r="B200" s="41" t="s">
        <v>1053</v>
      </c>
      <c r="C200" s="36" t="s">
        <v>1074</v>
      </c>
      <c r="D200" s="188" t="s">
        <v>1205</v>
      </c>
      <c r="E200" s="189" t="str">
        <f t="array" ref="E200">concatenate(A200,,":",CHAR(10),D200,CHAR(10),"Lv.1/Lv.10 Cost: ",B200)</f>
        <v>Draconic Frenzy Lv.1/Lv.10:
Increases all allies' DEF by 15%/20% (Turns: 3). Increases all allies' guard rate by 10% (Turns: 1).
Lv.1/Lv.10 Cost: 25/15</v>
      </c>
    </row>
    <row r="201">
      <c r="A201" s="188" t="s">
        <v>1206</v>
      </c>
      <c r="B201" s="41" t="s">
        <v>1053</v>
      </c>
      <c r="C201" s="36" t="s">
        <v>1074</v>
      </c>
      <c r="D201" s="188" t="s">
        <v>1207</v>
      </c>
      <c r="E201" s="189" t="str">
        <f t="array" ref="E201">concatenate(A201,,":",CHAR(10),D201,CHAR(10),"Lv.1/Lv.10 Cost: ",B201)</f>
        <v>Fair and Square Lv.1/Lv.10:
Increases all allies' critical resistance by 40%/50% (Turns: 1).
Lv.1/Lv.10 Cost: 25/15</v>
      </c>
    </row>
    <row r="202">
      <c r="A202" s="188" t="s">
        <v>1208</v>
      </c>
      <c r="B202" s="41" t="s">
        <v>1049</v>
      </c>
      <c r="C202" s="36" t="s">
        <v>1074</v>
      </c>
      <c r="D202" s="188" t="s">
        <v>1209</v>
      </c>
      <c r="E202" s="189" t="str">
        <f t="array" ref="E202">concatenate(A202,,":",CHAR(10),D202,CHAR(10),"Lv.1/Lv.10 Cost: ",B202)</f>
        <v>Top of Calamity Lv.1/Lv.10:
Increases all allies' critical rate by 80%/100% (Turns: 1). Chance to seal Critical Resistance UP on all targets: 100% (Turns: 1).
Lv.1/Lv.10 Cost: 65/55</v>
      </c>
    </row>
    <row r="203">
      <c r="A203" s="188" t="s">
        <v>1210</v>
      </c>
      <c r="B203" s="41" t="s">
        <v>1053</v>
      </c>
      <c r="C203" s="36" t="s">
        <v>1074</v>
      </c>
      <c r="D203" s="188" t="s">
        <v>1211</v>
      </c>
      <c r="E203" s="189" t="str">
        <f t="array" ref="E203">concatenate(A203,,":",CHAR(10),D203,CHAR(10),"Lv.1/Lv.10 Cost: ",B203)</f>
        <v>Draconic Racquet Lv.1:
Changes Soul of Skills x1 into Soul of Divine Protection. Increases all Soul of Divine Protection gauges' increase by 5%/10% (Turns: 1).
Lv.1/Lv.10 Cost: 25/15</v>
      </c>
    </row>
    <row r="204">
      <c r="A204" s="188" t="s">
        <v>1212</v>
      </c>
      <c r="B204" s="41" t="s">
        <v>1053</v>
      </c>
      <c r="C204" s="36" t="s">
        <v>1074</v>
      </c>
      <c r="D204" s="188" t="s">
        <v>1213</v>
      </c>
      <c r="E204" s="189" t="str">
        <f t="array" ref="E204">concatenate(A204,,":",CHAR(10),D204,CHAR(10),"Lv.1/Lv.10 Cost: ",B204)</f>
        <v>Furious Shake Lv.1/Lv.10:
Increases own guard penetration by 60%/70% (Turns: 1).
Lv.1/Lv.10 Cost: 25/15</v>
      </c>
    </row>
    <row r="205">
      <c r="A205" s="188" t="s">
        <v>1214</v>
      </c>
      <c r="B205" s="41" t="s">
        <v>1053</v>
      </c>
      <c r="C205" s="36" t="s">
        <v>1074</v>
      </c>
      <c r="D205" s="188" t="s">
        <v>1195</v>
      </c>
      <c r="E205" s="189" t="str">
        <f t="array" ref="E205">concatenate(A205,,":",CHAR(10),D205,CHAR(10),"Lv.1/Lv.10 Cost: ",B205)</f>
        <v>Gardener Combat Lv.1/Lv.10:
Increases all allies' pierce resistance by 40%/50% (Turns: 1).
Lv.1/Lv.10 Cost: 25/15</v>
      </c>
    </row>
    <row r="206">
      <c r="A206" s="188" t="s">
        <v>1215</v>
      </c>
      <c r="B206" s="41" t="s">
        <v>1053</v>
      </c>
      <c r="C206" s="36" t="s">
        <v>1074</v>
      </c>
      <c r="D206" s="188" t="s">
        <v>1216</v>
      </c>
      <c r="E206" s="189" t="str">
        <f t="array" ref="E206">concatenate(A206,,":",CHAR(10),D206,CHAR(10),"Lv.1/Lv.10 Cost: ",B206)</f>
        <v>Guardian Lv.1/Lv.10:
Increases all allies' DEF by 25%/30% (Turns: 1).
Lv.1/Lv.10 Cost: 25/15</v>
      </c>
    </row>
    <row r="207">
      <c r="A207" s="188" t="s">
        <v>1217</v>
      </c>
      <c r="B207" s="41" t="s">
        <v>1053</v>
      </c>
      <c r="C207" s="36" t="s">
        <v>1074</v>
      </c>
      <c r="D207" s="188" t="s">
        <v>1211</v>
      </c>
      <c r="E207" s="189" t="str">
        <f t="array" ref="E207">concatenate(A207,,":",CHAR(10),D207,CHAR(10),"Lv.1/Lv.10 Cost: ",B207)</f>
        <v>Soul Manipulation Lv.1/Lv.10:
Changes Soul of Skills x1 into Soul of Divine Protection. Increases all Soul of Divine Protection gauges' increase by 5%/10% (Turns: 1).
Lv.1/Lv.10 Cost: 25/15</v>
      </c>
    </row>
    <row r="208">
      <c r="A208" s="188" t="s">
        <v>1218</v>
      </c>
      <c r="B208" s="41" t="s">
        <v>1053</v>
      </c>
      <c r="C208" s="36" t="s">
        <v>1074</v>
      </c>
      <c r="D208" s="188" t="s">
        <v>1211</v>
      </c>
      <c r="E208" s="189" t="str">
        <f t="array" ref="E208">concatenate(A208,,":",CHAR(10),D208,CHAR(10),"Lv.1/Lv.10 Cost: ",B208)</f>
        <v>Have a Harp Lv.1/Lv.10:
Changes Soul of Skills x1 into Soul of Divine Protection. Increases all Soul of Divine Protection gauges' increase by 5%/10% (Turns: 1).
Lv.1/Lv.10 Cost: 25/15</v>
      </c>
    </row>
    <row r="209">
      <c r="A209" s="188" t="s">
        <v>1219</v>
      </c>
      <c r="B209" s="41" t="s">
        <v>1053</v>
      </c>
      <c r="C209" s="36" t="s">
        <v>1074</v>
      </c>
      <c r="D209" s="188" t="s">
        <v>1220</v>
      </c>
      <c r="E209" s="189" t="str">
        <f t="array" ref="E209">concatenate(A209,,":",CHAR(10),D209,CHAR(10),"Lv.1/Lv.10 Cost: ",B209)</f>
        <v>Heaven's Eye Lv.1/Lv.10:
Decreases a single target's counterattack rate by 30%/40% (Turns: 1).
Lv.1/Lv.10 Cost: 25/15</v>
      </c>
    </row>
    <row r="210">
      <c r="A210" s="188" t="s">
        <v>1221</v>
      </c>
      <c r="B210" s="41" t="s">
        <v>1053</v>
      </c>
      <c r="C210" s="36" t="s">
        <v>1074</v>
      </c>
      <c r="D210" s="188" t="s">
        <v>1222</v>
      </c>
      <c r="E210" s="189" t="str">
        <f t="array" ref="E210">concatenate(A210,,":",CHAR(10),D210,CHAR(10),"Lv.1/Lv.10 Cost: ",B210)</f>
        <v>Heroes Haki Lv.1/Lv.10:
Increases own ATK by 20%/25% (Turns: 1). Increases own critical rate by 20% (Turns: 1).
Lv.1/Lv.10 Cost: 25/15</v>
      </c>
    </row>
    <row r="211">
      <c r="A211" s="188" t="s">
        <v>1223</v>
      </c>
      <c r="B211" s="41" t="s">
        <v>1053</v>
      </c>
      <c r="C211" s="36" t="s">
        <v>1074</v>
      </c>
      <c r="D211" s="188" t="s">
        <v>1224</v>
      </c>
      <c r="E211" s="189" t="str">
        <f t="array" ref="E211">concatenate(A211,,":",CHAR(10),D211,CHAR(10),"Lv.1/Lv.10 Cost: ",B211)</f>
        <v>Increased Momentum Lv.1/Lv.10:
Increases all allies' DEF by 20%/25% (Turns: 1). Increases Soul of Divine Protection damage until the end of battle by 5% (Max: 100%).
Lv.1/Lv.10 Cost: 25/15</v>
      </c>
    </row>
    <row r="212">
      <c r="A212" s="188" t="s">
        <v>1225</v>
      </c>
      <c r="B212" s="41" t="s">
        <v>1053</v>
      </c>
      <c r="C212" s="36" t="s">
        <v>1074</v>
      </c>
      <c r="D212" s="188" t="s">
        <v>1226</v>
      </c>
      <c r="E212" s="189" t="str">
        <f t="array" ref="E212">concatenate(A212,,":",CHAR(10),D212,CHAR(10),"Lv.1/Lv.10 Cost: ",B212)</f>
        <v>Leopard's Claw Lv.1/Lv.10:
Decreases a single target's critical resistance by 15%/25% (Turns: 2).
Lv.1/Lv.10 Cost: 25/15</v>
      </c>
    </row>
    <row r="213">
      <c r="A213" s="188" t="s">
        <v>1227</v>
      </c>
      <c r="B213" s="41" t="s">
        <v>1053</v>
      </c>
      <c r="C213" s="36" t="s">
        <v>1074</v>
      </c>
      <c r="D213" s="188" t="s">
        <v>1228</v>
      </c>
      <c r="E213" s="189" t="str">
        <f t="array" ref="E213">concatenate(A213,,":",CHAR(10),D213,CHAR(10),"Lv.1/Lv.10 Cost: ",B213)</f>
        <v>Lion Dance Lv.1/Lv.10:
Increases own critical rate by 80%/100% (Turns: 1).
Lv.1/Lv.10 Cost: 25/15</v>
      </c>
    </row>
    <row r="214">
      <c r="A214" s="188" t="s">
        <v>1229</v>
      </c>
      <c r="B214" s="41" t="s">
        <v>1053</v>
      </c>
      <c r="C214" s="36" t="s">
        <v>1074</v>
      </c>
      <c r="D214" s="188" t="s">
        <v>1230</v>
      </c>
      <c r="E214" s="189" t="str">
        <f t="array" ref="E214">concatenate(A214,,":",CHAR(10),D214,CHAR(10),"Lv.1/Lv.10 Cost: ",B214)</f>
        <v>Macho Armor Lv.1/Lv.10:
Increases own guard rate by 30%/50% (Turns: 3). Increases own DEF by 30% (Turns: 1).
Lv.1/Lv.10 Cost: 25/15</v>
      </c>
    </row>
    <row r="215">
      <c r="A215" s="188" t="s">
        <v>1231</v>
      </c>
      <c r="B215" s="41" t="s">
        <v>1053</v>
      </c>
      <c r="C215" s="36" t="s">
        <v>1074</v>
      </c>
      <c r="D215" s="188" t="s">
        <v>1232</v>
      </c>
      <c r="E215" s="189" t="str">
        <f t="array" ref="E215">concatenate(A215,,":",CHAR(10),D215,CHAR(10),"Lv.1/Lv.10 Cost: ",B215)</f>
        <v>Magnum Opus Lv.1/Lv.10:
Changes Soul of Secrets x1 into Soul of Divine Protection. Increases all Soul of Divine Protection gauges' increase by 5%/10% (Turns: 1).
Lv.1/Lv.10 Cost: 25/15</v>
      </c>
    </row>
    <row r="216">
      <c r="A216" s="188" t="s">
        <v>1233</v>
      </c>
      <c r="B216" s="41" t="s">
        <v>1053</v>
      </c>
      <c r="C216" s="36" t="s">
        <v>1074</v>
      </c>
      <c r="D216" s="188" t="s">
        <v>1234</v>
      </c>
      <c r="E216" s="189" t="str">
        <f t="array" ref="E216">concatenate(A216,,":",CHAR(10),D216,CHAR(10),"Lv.1/Lv.10 Cost: ",B216)</f>
        <v>Mind Veil Lv.1/Lv.10:
Decreases a single target's critical damage by 10%/20% (Turns: 3).
Lv.1/Lv.10 Cost: 25/15</v>
      </c>
    </row>
    <row r="217">
      <c r="A217" s="188" t="s">
        <v>1235</v>
      </c>
      <c r="B217" s="41" t="s">
        <v>1053</v>
      </c>
      <c r="C217" s="36" t="s">
        <v>1074</v>
      </c>
      <c r="D217" s="188" t="s">
        <v>1236</v>
      </c>
      <c r="E217" s="189" t="str">
        <f t="array" ref="E217">concatenate(A217,,":",CHAR(10),D217,CHAR(10),"Lv.1/Lv.10 Cost: ",B217)</f>
        <v>Ogre Hero Lv.1/Lv.10:
Increases own ATK by 25%/30% (Turns: 1). Increases Soul of Secrets damage by 10% (Turns: 1).
Lv.1/Lv.10 Cost: 25/15</v>
      </c>
    </row>
    <row r="218">
      <c r="A218" s="188" t="s">
        <v>1237</v>
      </c>
      <c r="B218" s="41" t="s">
        <v>1053</v>
      </c>
      <c r="C218" s="36" t="s">
        <v>1074</v>
      </c>
      <c r="D218" s="188" t="s">
        <v>1181</v>
      </c>
      <c r="E218" s="189" t="str">
        <f t="array" ref="E218">concatenate(A218,,":",CHAR(10),D218,CHAR(10),"Lv.1/Lv.10 Cost: ",B218)</f>
        <v>Positive Position Lv.1/Lv.10:
Increases all allies' poison evasion rate by 90%/100% (Turns: 1).
Lv.1/Lv.10 Cost: 25/15</v>
      </c>
    </row>
    <row r="219">
      <c r="A219" s="188" t="s">
        <v>1238</v>
      </c>
      <c r="B219" s="41" t="s">
        <v>1053</v>
      </c>
      <c r="C219" s="36" t="s">
        <v>1074</v>
      </c>
      <c r="D219" s="188" t="s">
        <v>1205</v>
      </c>
      <c r="E219" s="189" t="str">
        <f t="array" ref="E219">concatenate(A219,,":",CHAR(10),D219,CHAR(10),"Lv.1/Lv.10 Cost: ",B219)</f>
        <v>Raging Blue Flames Lv.1/Lv.10:
Increases all allies' DEF by 15%/20% (Turns: 3). Increases all allies' guard rate by 10% (Turns: 1).
Lv.1/Lv.10 Cost: 25/15</v>
      </c>
    </row>
    <row r="220">
      <c r="A220" s="188" t="s">
        <v>1239</v>
      </c>
      <c r="B220" s="41" t="s">
        <v>1053</v>
      </c>
      <c r="C220" s="36" t="s">
        <v>1074</v>
      </c>
      <c r="D220" s="188" t="s">
        <v>1240</v>
      </c>
      <c r="E220" s="189" t="str">
        <f t="array" ref="E220">concatenate(A220,,":",CHAR(10),D220,CHAR(10),"Lv.1/Lv.10 Cost: ",B220)</f>
        <v>Repair Equipment Lv.1/Lv.10:
Changes Soul of Divine Protection x1 into Soul of Secrets. Increases all Soul of Secrets gauges' increase by 5%/10% (Turns: 1).
Lv.1/Lv.10 Cost: 25/15</v>
      </c>
    </row>
    <row r="221">
      <c r="A221" s="188" t="s">
        <v>1241</v>
      </c>
      <c r="B221" s="41" t="s">
        <v>1053</v>
      </c>
      <c r="C221" s="36" t="s">
        <v>1074</v>
      </c>
      <c r="D221" s="188" t="s">
        <v>1242</v>
      </c>
      <c r="E221" s="189" t="str">
        <f t="array" ref="E221">concatenate(A221,,":",CHAR(10),D221,CHAR(10),"Lv.1/Lv.10 Cost: ",B221)</f>
        <v>Rhapsodic Inspiration Lv.1/Lv.10:
Decreases a single target's ATK by 10%/15% (Turns: 1). Decreases a single target's pierce power by 10% (Turns: 1).
Lv.1/Lv.10 Cost: 25/15</v>
      </c>
    </row>
    <row r="222">
      <c r="A222" s="188" t="s">
        <v>1243</v>
      </c>
      <c r="B222" s="41" t="s">
        <v>1053</v>
      </c>
      <c r="C222" s="36" t="s">
        <v>1074</v>
      </c>
      <c r="D222" s="188" t="s">
        <v>1244</v>
      </c>
      <c r="E222" s="189" t="str">
        <f t="array" ref="E222">concatenate(A222,,":",CHAR(10),D222,CHAR(10),"Lv.1/Lv.10 Cost: ",B222)</f>
        <v>Shooting Star Lv.1/Lv.10:
Decreases a single target's DEF by 5%/10% (Turns: 2).
Lv.1/Lv.10 Cost: 25/15</v>
      </c>
    </row>
    <row r="223">
      <c r="A223" s="188" t="s">
        <v>1245</v>
      </c>
      <c r="B223" s="41" t="s">
        <v>1053</v>
      </c>
      <c r="C223" s="36" t="s">
        <v>1074</v>
      </c>
      <c r="D223" s="188" t="s">
        <v>1207</v>
      </c>
      <c r="E223" s="189" t="str">
        <f t="array" ref="E223">concatenate(A223,,":",CHAR(10),D223,CHAR(10),"Lv.1/Lv.10 Cost: ",B223)</f>
        <v>Spear Swing Lv.1/Lv.10:
Increases all allies' critical resistance by 40%/50% (Turns: 1).
Lv.1/Lv.10 Cost: 25/15</v>
      </c>
    </row>
    <row r="224">
      <c r="A224" s="188" t="s">
        <v>1246</v>
      </c>
      <c r="B224" s="41" t="s">
        <v>1053</v>
      </c>
      <c r="C224" s="36" t="s">
        <v>1074</v>
      </c>
      <c r="D224" s="188" t="s">
        <v>1195</v>
      </c>
      <c r="E224" s="189" t="str">
        <f t="array" ref="E224">concatenate(A224,,":",CHAR(10),D224,CHAR(10),"Lv.1/Lv.10 Cost: ",B224)</f>
        <v>Speed Sharpen Lv.1/Lv.10:
Increases all allies' pierce resistance by 40%/50% (Turns: 1).
Lv.1/Lv.10 Cost: 25/15</v>
      </c>
    </row>
    <row r="225">
      <c r="A225" s="188" t="s">
        <v>1247</v>
      </c>
      <c r="B225" s="41" t="s">
        <v>1053</v>
      </c>
      <c r="C225" s="36" t="s">
        <v>1074</v>
      </c>
      <c r="D225" s="188" t="s">
        <v>1232</v>
      </c>
      <c r="E225" s="189" t="str">
        <f t="array" ref="E225">concatenate(A225,,":",CHAR(10),D225,CHAR(10),"Lv.1/Lv.10 Cost: ",B225)</f>
        <v>Support of the Spirits Lv.1/Lv.10:
Changes Soul of Secrets x1 into Soul of Divine Protection. Increases all Soul of Divine Protection gauges' increase by 5%/10% (Turns: 1).
Lv.1/Lv.10 Cost: 25/15</v>
      </c>
    </row>
    <row r="226">
      <c r="A226" s="188" t="s">
        <v>1248</v>
      </c>
      <c r="B226" s="41" t="s">
        <v>1053</v>
      </c>
      <c r="C226" s="36" t="s">
        <v>1074</v>
      </c>
      <c r="D226" s="188" t="s">
        <v>1249</v>
      </c>
      <c r="E226" s="189" t="str">
        <f t="array" ref="E226">concatenate(A226,,":",CHAR(10),D226,CHAR(10),"Lv.1/Lv.10 Cost: ",B226)</f>
        <v>Support Stance Lv.1/Lv.10:
Increases all allies' max HP by 10%/20% (Turns: 3).
Lv.1/Lv.10 Cost: 25/15</v>
      </c>
    </row>
    <row r="227">
      <c r="A227" s="188" t="s">
        <v>1250</v>
      </c>
      <c r="B227" s="41" t="s">
        <v>1053</v>
      </c>
      <c r="C227" s="36" t="s">
        <v>1074</v>
      </c>
      <c r="D227" s="188" t="s">
        <v>1251</v>
      </c>
      <c r="E227" s="189" t="str">
        <f t="array" ref="E227">concatenate(A227,,":",CHAR(10),D227,CHAR(10),"Lv.1/Lv.10 Cost: ",B227)</f>
        <v>Symphony of the Dead Lv.1/Lv.10:
Chance to poison a single target: 40%/60% (Turns: 3).
Lv.1/Lv.10 Cost: 25/15</v>
      </c>
    </row>
    <row r="228">
      <c r="A228" s="188" t="s">
        <v>1252</v>
      </c>
      <c r="B228" s="41" t="s">
        <v>1053</v>
      </c>
      <c r="C228" s="36" t="s">
        <v>1074</v>
      </c>
      <c r="D228" s="188" t="s">
        <v>1253</v>
      </c>
      <c r="E228" s="189" t="str">
        <f t="array" ref="E228">concatenate(A228,,":",CHAR(10),D228,CHAR(10),"Lv.1/Lv.10 Cost: ",B228)</f>
        <v>Telepathy Lv.1/Lv.10:
Increases own critical damage by 10%/20% (Turns: 3). Increases own DEF by 20% (Turns: 1).
Lv.1/Lv.10 Cost: 25/15</v>
      </c>
    </row>
    <row r="229">
      <c r="A229" s="188" t="s">
        <v>1254</v>
      </c>
      <c r="B229" s="41" t="s">
        <v>1053</v>
      </c>
      <c r="C229" s="36" t="s">
        <v>1074</v>
      </c>
      <c r="D229" s="188" t="s">
        <v>1255</v>
      </c>
      <c r="E229" s="189" t="str">
        <f t="array" ref="E229">concatenate(A229,,":",CHAR(10),D229,CHAR(10),"Lv.1/Lv.10 Cost: ",B229)</f>
        <v>The Figurine's Curse Lv.1/Lv.10:
Decreases a single target's counterattack rate by 20%/30% (Turns: 1).
Lv.1/Lv.10 Cost: 25/15</v>
      </c>
    </row>
    <row r="230">
      <c r="A230" s="188" t="s">
        <v>1256</v>
      </c>
      <c r="B230" s="41" t="s">
        <v>1053</v>
      </c>
      <c r="C230" s="36" t="s">
        <v>1074</v>
      </c>
      <c r="D230" s="188" t="s">
        <v>1257</v>
      </c>
      <c r="E230" s="189" t="str">
        <f t="array" ref="E230">concatenate(A230,,":",CHAR(10),D230,CHAR(10),"Lv.1/Lv.10 Cost: ",B230)</f>
        <v>Trembling Glare Lv.1/Lv.10:
Decreases a single target's guard power by 10%/20% (Turns: 3).
Lv.1/Lv.10 Cost: 25/15</v>
      </c>
    </row>
    <row r="231">
      <c r="A231" s="188" t="s">
        <v>1258</v>
      </c>
      <c r="B231" s="41" t="s">
        <v>1053</v>
      </c>
      <c r="C231" s="36" t="s">
        <v>1074</v>
      </c>
      <c r="D231" s="188" t="s">
        <v>1259</v>
      </c>
      <c r="E231" s="189" t="str">
        <f t="array" ref="E231">concatenate(A231,,":",CHAR(10),D231,CHAR(10),"Lv.1/Lv.10 Cost: ",B231)</f>
        <v>War Hero Lv.1/Lv.10:
Decreases a single target's pierce power by 10%/20% (Turns: 3).
Lv.1/Lv.10 Cost: 25/15</v>
      </c>
    </row>
    <row r="232">
      <c r="A232" s="188" t="s">
        <v>1260</v>
      </c>
      <c r="B232" s="41" t="s">
        <v>1053</v>
      </c>
      <c r="C232" s="36" t="s">
        <v>1074</v>
      </c>
      <c r="D232" s="188" t="s">
        <v>1203</v>
      </c>
      <c r="E232" s="189" t="str">
        <f t="array" ref="E232">concatenate(A232,,":",CHAR(10),D232,CHAR(10),"Lv.1/Lv.10 Cost: ",B232)</f>
        <v>Water Control Lv.1/Lv.10:
Increases own ATK by 15%/20% (Turns: 1).
Lv.1/Lv.10 Cost: 25/15</v>
      </c>
    </row>
    <row r="233">
      <c r="A233" s="188" t="s">
        <v>1261</v>
      </c>
      <c r="B233" s="41" t="s">
        <v>1053</v>
      </c>
      <c r="C233" s="36" t="s">
        <v>1074</v>
      </c>
      <c r="D233" s="188" t="s">
        <v>1205</v>
      </c>
      <c r="E233" s="189" t="str">
        <f t="array" ref="E233">concatenate(A233,,":",CHAR(10),D233,CHAR(10),"Lv.1/Lv.10 Cost: ",B233)</f>
        <v>Whisper Lv.1/Lv.10:
Increases all allies' DEF by 15%/20% (Turns: 3). Increases all allies' guard rate by 10% (Turns: 1).
Lv.1/Lv.10 Cost: 25/15</v>
      </c>
    </row>
    <row r="234">
      <c r="A234" s="188" t="s">
        <v>1262</v>
      </c>
      <c r="B234" s="41" t="s">
        <v>1053</v>
      </c>
      <c r="C234" s="36" t="s">
        <v>1074</v>
      </c>
      <c r="D234" s="188" t="s">
        <v>1263</v>
      </c>
      <c r="E234" s="189" t="str">
        <f t="array" ref="E234">concatenate(A234,,":",CHAR(10),D234,CHAR(10),"Lv.1/Lv.10 Cost: ",B234)</f>
        <v>Brave Contact Lv.1/Lv.10:
Increases own critical damage by 15％/25% (Turns: 2)Increases own counter power by 10％ (Turns: 2)
Lv.1/Lv.10 Cost: 25/15</v>
      </c>
    </row>
    <row r="235">
      <c r="A235" s="188" t="s">
        <v>1264</v>
      </c>
      <c r="B235" s="41" t="s">
        <v>1053</v>
      </c>
      <c r="C235" s="36" t="s">
        <v>1074</v>
      </c>
      <c r="D235" s="188" t="s">
        <v>1265</v>
      </c>
      <c r="E235" s="189" t="str">
        <f t="array" ref="E235">concatenate(A235,,":",CHAR(10),D235,CHAR(10),"Lv.1/Lv.10 Cost: ",B235)</f>
        <v>Hunter's Shadow Lv.1/Lv.10:
Changes Soul of Secrets x2 into Soul of Divine ProtectionIncreases all Soul of Divine Protection gauges' increase by 5％/10% (Turns: 1).
Lv.1/Lv.10 Cost: 25/15</v>
      </c>
    </row>
    <row r="236">
      <c r="A236" s="188" t="s">
        <v>1266</v>
      </c>
      <c r="B236" s="41" t="s">
        <v>1049</v>
      </c>
      <c r="C236" s="36" t="s">
        <v>1074</v>
      </c>
      <c r="D236" s="188" t="s">
        <v>1267</v>
      </c>
      <c r="E236" s="189" t="str">
        <f t="array" ref="E236">concatenate(A236,,":",CHAR(10),D236,CHAR(10),"Lv.1/Lv.10 Cost: ",B236)</f>
        <v>Charge Forth Lv.1/Lv.10:
Heals all allies' by 55%/60% of their max HP.
Lv.1/Lv.10 Cost: 65/55</v>
      </c>
    </row>
    <row r="237">
      <c r="A237" s="188" t="s">
        <v>1268</v>
      </c>
      <c r="B237" s="41" t="s">
        <v>1053</v>
      </c>
      <c r="C237" s="36" t="s">
        <v>1074</v>
      </c>
      <c r="D237" s="188" t="s">
        <v>1269</v>
      </c>
      <c r="E237" s="189" t="str">
        <f t="array" ref="E237">concatenate(A237,,":",CHAR(10),D237,CHAR(10),"Lv.1/Lv.10 Cost: ",B237)</f>
        <v>Linked Operations Lv.1/Lv10:
Increases all allies' wind ATK by 5%/15% (Turns: 1).
Lv.1/Lv.10 Cost: 25/15</v>
      </c>
    </row>
    <row r="238">
      <c r="A238" s="188" t="s">
        <v>1270</v>
      </c>
      <c r="B238" s="41" t="s">
        <v>1049</v>
      </c>
      <c r="C238" s="36" t="s">
        <v>1074</v>
      </c>
      <c r="D238" s="188" t="s">
        <v>1271</v>
      </c>
      <c r="E238" s="189" t="str">
        <f t="array" ref="E238">concatenate(A238,,":",CHAR(10),D238,CHAR(10),"Lv.1/Lv.10 Cost: ",B238)</f>
        <v>God of Abyss Lv.1/Lv.10:
Chance to seal DEF UP on all targets: 80％/100% (Turns: 1).
Lv.1/Lv.10 Cost: 65/55</v>
      </c>
    </row>
    <row r="239">
      <c r="A239" s="188" t="s">
        <v>1272</v>
      </c>
      <c r="B239" s="41" t="s">
        <v>1049</v>
      </c>
      <c r="C239" s="36" t="s">
        <v>1074</v>
      </c>
      <c r="D239" s="188" t="s">
        <v>1273</v>
      </c>
      <c r="E239" s="189" t="str">
        <f t="array" ref="E239">concatenate(A239,,":",CHAR(10),D239,CHAR(10),"Lv.1/Lv.10 Cost: ",B239)</f>
        <v>Set Ablaze Lv.1/Lv.10:
Increases Activating Soul of Combos damage by 40％/50% (Turns: 1)Decreases all targets' critical resistance by 20％ (Turns: 1).
Lv.1/Lv.10 Cost: 65/55</v>
      </c>
    </row>
    <row r="240">
      <c r="A240" s="188" t="s">
        <v>1274</v>
      </c>
      <c r="B240" s="41" t="s">
        <v>1053</v>
      </c>
      <c r="C240" s="36" t="s">
        <v>1074</v>
      </c>
      <c r="D240" s="188" t="s">
        <v>1232</v>
      </c>
      <c r="E240" s="189" t="str">
        <f t="array" ref="E240">concatenate(A240,,":",CHAR(10),D240,CHAR(10),"Lv.1/Lv.10 Cost: ",B240)</f>
        <v>Wild Run Lv.1/Lv.10:
Changes Soul of Secrets x1 into Soul of Divine Protection. Increases all Soul of Divine Protection gauges' increase by 5%/10% (Turns: 1).
Lv.1/Lv.10 Cost: 25/15</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5.86"/>
    <col customWidth="1" min="2" max="2" width="36.71"/>
    <col customWidth="1" min="3" max="3" width="9.71"/>
    <col customWidth="1" min="4" max="4" width="7.0"/>
    <col customWidth="1" min="5" max="5" width="11.14"/>
    <col customWidth="1" min="6" max="6" width="24.43"/>
  </cols>
  <sheetData>
    <row r="1">
      <c r="A1" s="193" t="s">
        <v>1275</v>
      </c>
      <c r="B1" s="193" t="s">
        <v>1276</v>
      </c>
      <c r="C1" s="193" t="s">
        <v>1277</v>
      </c>
      <c r="D1" s="194" t="s">
        <v>1278</v>
      </c>
      <c r="E1" s="194" t="s">
        <v>1279</v>
      </c>
      <c r="F1" s="195" t="s">
        <v>1280</v>
      </c>
    </row>
    <row r="2">
      <c r="A2" s="196" t="s">
        <v>1281</v>
      </c>
      <c r="B2" s="196" t="s">
        <v>1282</v>
      </c>
      <c r="C2" s="197">
        <v>0.05</v>
      </c>
      <c r="D2" s="198">
        <v>1.0</v>
      </c>
      <c r="E2" s="198">
        <v>12.0</v>
      </c>
      <c r="F2" s="199">
        <v>240.0</v>
      </c>
    </row>
    <row r="3">
      <c r="A3" s="200" t="s">
        <v>1283</v>
      </c>
      <c r="B3" s="200" t="s">
        <v>1282</v>
      </c>
      <c r="C3" s="201">
        <v>0.05</v>
      </c>
      <c r="D3" s="202">
        <v>1.0</v>
      </c>
      <c r="E3" s="202">
        <v>15.0</v>
      </c>
      <c r="F3" s="203">
        <v>300.0</v>
      </c>
    </row>
    <row r="4">
      <c r="A4" s="200" t="s">
        <v>1284</v>
      </c>
      <c r="B4" s="200" t="s">
        <v>1282</v>
      </c>
      <c r="C4" s="201">
        <v>0.05</v>
      </c>
      <c r="D4" s="202">
        <v>1.0</v>
      </c>
      <c r="E4" s="202">
        <v>18.0</v>
      </c>
      <c r="F4" s="203">
        <v>360.0</v>
      </c>
    </row>
    <row r="5">
      <c r="A5" s="196" t="s">
        <v>1283</v>
      </c>
      <c r="B5" s="196" t="s">
        <v>1285</v>
      </c>
      <c r="C5" s="197">
        <v>0.05</v>
      </c>
      <c r="D5" s="198">
        <v>1.0</v>
      </c>
      <c r="E5" s="198">
        <v>15.0</v>
      </c>
      <c r="F5" s="199">
        <v>300.0</v>
      </c>
    </row>
    <row r="6">
      <c r="A6" s="200" t="s">
        <v>1284</v>
      </c>
      <c r="B6" s="200" t="s">
        <v>1285</v>
      </c>
      <c r="C6" s="201">
        <v>0.05</v>
      </c>
      <c r="D6" s="202">
        <v>1.0</v>
      </c>
      <c r="E6" s="202">
        <v>18.0</v>
      </c>
      <c r="F6" s="203">
        <v>360.0</v>
      </c>
    </row>
    <row r="7">
      <c r="A7" s="200" t="s">
        <v>1281</v>
      </c>
      <c r="B7" s="200" t="s">
        <v>1286</v>
      </c>
      <c r="C7" s="201">
        <v>0.05</v>
      </c>
      <c r="D7" s="202">
        <v>1.0</v>
      </c>
      <c r="E7" s="202">
        <v>12.0</v>
      </c>
      <c r="F7" s="203">
        <v>240.0</v>
      </c>
    </row>
    <row r="8">
      <c r="A8" s="200" t="s">
        <v>1283</v>
      </c>
      <c r="B8" s="200" t="s">
        <v>1286</v>
      </c>
      <c r="C8" s="201">
        <v>0.15</v>
      </c>
      <c r="D8" s="202">
        <v>1.0</v>
      </c>
      <c r="E8" s="202">
        <v>15.0</v>
      </c>
      <c r="F8" s="203">
        <v>100.0</v>
      </c>
    </row>
    <row r="9">
      <c r="A9" s="196" t="s">
        <v>1284</v>
      </c>
      <c r="B9" s="196" t="s">
        <v>1286</v>
      </c>
      <c r="C9" s="197">
        <v>0.22</v>
      </c>
      <c r="D9" s="198">
        <v>1.0</v>
      </c>
      <c r="E9" s="198">
        <v>18.0</v>
      </c>
      <c r="F9" s="199">
        <v>81.82</v>
      </c>
    </row>
    <row r="10">
      <c r="A10" s="200" t="s">
        <v>1287</v>
      </c>
      <c r="B10" s="200" t="s">
        <v>1288</v>
      </c>
      <c r="C10" s="201">
        <v>0.02</v>
      </c>
      <c r="D10" s="202">
        <v>1.0</v>
      </c>
      <c r="E10" s="202">
        <v>10.0</v>
      </c>
      <c r="F10" s="203">
        <v>500.0</v>
      </c>
    </row>
    <row r="11">
      <c r="A11" s="200" t="s">
        <v>1281</v>
      </c>
      <c r="B11" s="200" t="s">
        <v>1288</v>
      </c>
      <c r="C11" s="201">
        <v>0.04</v>
      </c>
      <c r="D11" s="202">
        <v>1.0</v>
      </c>
      <c r="E11" s="202">
        <v>12.0</v>
      </c>
      <c r="F11" s="203">
        <v>300.0</v>
      </c>
    </row>
    <row r="12">
      <c r="A12" s="196" t="s">
        <v>1283</v>
      </c>
      <c r="B12" s="196" t="s">
        <v>1288</v>
      </c>
      <c r="C12" s="197">
        <v>0.06</v>
      </c>
      <c r="D12" s="198">
        <v>1.0</v>
      </c>
      <c r="E12" s="198">
        <v>15.0</v>
      </c>
      <c r="F12" s="199">
        <v>250.0</v>
      </c>
    </row>
    <row r="13">
      <c r="A13" s="200" t="s">
        <v>1284</v>
      </c>
      <c r="B13" s="200" t="s">
        <v>1288</v>
      </c>
      <c r="C13" s="201">
        <v>0.06</v>
      </c>
      <c r="D13" s="202">
        <v>1.0</v>
      </c>
      <c r="E13" s="202">
        <v>18.0</v>
      </c>
      <c r="F13" s="203">
        <v>300.0</v>
      </c>
    </row>
    <row r="14">
      <c r="A14" s="196" t="s">
        <v>1287</v>
      </c>
      <c r="B14" s="196" t="s">
        <v>1289</v>
      </c>
      <c r="C14" s="197">
        <v>0.1066</v>
      </c>
      <c r="D14" s="198">
        <v>1.0</v>
      </c>
      <c r="E14" s="198">
        <v>10.0</v>
      </c>
      <c r="F14" s="199">
        <v>93.81</v>
      </c>
    </row>
    <row r="15">
      <c r="A15" s="200" t="s">
        <v>1281</v>
      </c>
      <c r="B15" s="200" t="s">
        <v>1289</v>
      </c>
      <c r="C15" s="201">
        <v>0.0433</v>
      </c>
      <c r="D15" s="202">
        <v>1.0</v>
      </c>
      <c r="E15" s="202">
        <v>12.0</v>
      </c>
      <c r="F15" s="203">
        <v>277.14</v>
      </c>
    </row>
    <row r="16">
      <c r="A16" s="196" t="s">
        <v>1287</v>
      </c>
      <c r="B16" s="196" t="s">
        <v>1290</v>
      </c>
      <c r="C16" s="197">
        <v>0.1066</v>
      </c>
      <c r="D16" s="198">
        <v>1.0</v>
      </c>
      <c r="E16" s="198">
        <v>10.0</v>
      </c>
      <c r="F16" s="199">
        <v>93.81</v>
      </c>
    </row>
    <row r="17">
      <c r="A17" s="200" t="s">
        <v>1281</v>
      </c>
      <c r="B17" s="200" t="s">
        <v>1290</v>
      </c>
      <c r="C17" s="201">
        <v>0.0433</v>
      </c>
      <c r="D17" s="202">
        <v>1.0</v>
      </c>
      <c r="E17" s="202">
        <v>12.0</v>
      </c>
      <c r="F17" s="203">
        <v>277.14</v>
      </c>
    </row>
    <row r="18">
      <c r="A18" s="200" t="s">
        <v>1287</v>
      </c>
      <c r="B18" s="200" t="s">
        <v>1291</v>
      </c>
      <c r="C18" s="201">
        <v>0.02</v>
      </c>
      <c r="D18" s="202">
        <v>1.0</v>
      </c>
      <c r="E18" s="202">
        <v>10.0</v>
      </c>
      <c r="F18" s="203">
        <v>500.0</v>
      </c>
    </row>
    <row r="19">
      <c r="A19" s="200" t="s">
        <v>1281</v>
      </c>
      <c r="B19" s="200" t="s">
        <v>1291</v>
      </c>
      <c r="C19" s="201">
        <v>0.04</v>
      </c>
      <c r="D19" s="202">
        <v>1.0</v>
      </c>
      <c r="E19" s="202">
        <v>12.0</v>
      </c>
      <c r="F19" s="203">
        <v>300.0</v>
      </c>
    </row>
    <row r="20">
      <c r="A20" s="196" t="s">
        <v>1283</v>
      </c>
      <c r="B20" s="196" t="s">
        <v>1291</v>
      </c>
      <c r="C20" s="197">
        <v>0.06</v>
      </c>
      <c r="D20" s="198">
        <v>1.0</v>
      </c>
      <c r="E20" s="198">
        <v>15.0</v>
      </c>
      <c r="F20" s="199">
        <v>250.0</v>
      </c>
    </row>
    <row r="21">
      <c r="A21" s="200" t="s">
        <v>1284</v>
      </c>
      <c r="B21" s="200" t="s">
        <v>1291</v>
      </c>
      <c r="C21" s="201">
        <v>0.06</v>
      </c>
      <c r="D21" s="202">
        <v>1.0</v>
      </c>
      <c r="E21" s="202">
        <v>18.0</v>
      </c>
      <c r="F21" s="203">
        <v>300.0</v>
      </c>
    </row>
    <row r="22">
      <c r="A22" s="200" t="s">
        <v>1287</v>
      </c>
      <c r="B22" s="200" t="s">
        <v>1292</v>
      </c>
      <c r="C22" s="201">
        <v>0.02</v>
      </c>
      <c r="D22" s="202">
        <v>1.0</v>
      </c>
      <c r="E22" s="202">
        <v>10.0</v>
      </c>
      <c r="F22" s="203">
        <v>500.0</v>
      </c>
    </row>
    <row r="23">
      <c r="A23" s="200" t="s">
        <v>1281</v>
      </c>
      <c r="B23" s="200" t="s">
        <v>1292</v>
      </c>
      <c r="C23" s="201">
        <v>0.04</v>
      </c>
      <c r="D23" s="202">
        <v>1.0</v>
      </c>
      <c r="E23" s="202">
        <v>12.0</v>
      </c>
      <c r="F23" s="203">
        <v>300.0</v>
      </c>
    </row>
    <row r="24">
      <c r="A24" s="196" t="s">
        <v>1283</v>
      </c>
      <c r="B24" s="196" t="s">
        <v>1292</v>
      </c>
      <c r="C24" s="197">
        <v>0.06</v>
      </c>
      <c r="D24" s="198">
        <v>1.0</v>
      </c>
      <c r="E24" s="198">
        <v>15.0</v>
      </c>
      <c r="F24" s="199">
        <v>250.0</v>
      </c>
    </row>
    <row r="25">
      <c r="A25" s="200" t="s">
        <v>1284</v>
      </c>
      <c r="B25" s="200" t="s">
        <v>1292</v>
      </c>
      <c r="C25" s="201">
        <v>0.06</v>
      </c>
      <c r="D25" s="202">
        <v>1.0</v>
      </c>
      <c r="E25" s="202">
        <v>18.0</v>
      </c>
      <c r="F25" s="203">
        <v>300.0</v>
      </c>
    </row>
    <row r="26">
      <c r="A26" s="200" t="s">
        <v>1287</v>
      </c>
      <c r="B26" s="200" t="s">
        <v>1293</v>
      </c>
      <c r="C26" s="201">
        <v>0.09</v>
      </c>
      <c r="D26" s="202">
        <v>2.0</v>
      </c>
      <c r="E26" s="202">
        <v>10.0</v>
      </c>
      <c r="F26" s="203">
        <v>111.11</v>
      </c>
    </row>
    <row r="27">
      <c r="A27" s="196" t="s">
        <v>1281</v>
      </c>
      <c r="B27" s="196" t="s">
        <v>1293</v>
      </c>
      <c r="C27" s="197">
        <v>0.2</v>
      </c>
      <c r="D27" s="198">
        <v>2.0</v>
      </c>
      <c r="E27" s="198">
        <v>12.0</v>
      </c>
      <c r="F27" s="199">
        <v>30.0</v>
      </c>
    </row>
    <row r="28">
      <c r="A28" s="200" t="s">
        <v>1283</v>
      </c>
      <c r="B28" s="200" t="s">
        <v>1293</v>
      </c>
      <c r="C28" s="201">
        <v>0.24</v>
      </c>
      <c r="D28" s="202">
        <v>2.0</v>
      </c>
      <c r="E28" s="202">
        <v>15.0</v>
      </c>
      <c r="F28" s="203">
        <v>31.25</v>
      </c>
    </row>
    <row r="29">
      <c r="A29" s="200" t="s">
        <v>1284</v>
      </c>
      <c r="B29" s="200" t="s">
        <v>1293</v>
      </c>
      <c r="C29" s="201">
        <v>0.2</v>
      </c>
      <c r="D29" s="202">
        <v>2.0</v>
      </c>
      <c r="E29" s="202">
        <v>18.0</v>
      </c>
      <c r="F29" s="203">
        <v>45.0</v>
      </c>
    </row>
    <row r="30">
      <c r="A30" s="196" t="s">
        <v>1287</v>
      </c>
      <c r="B30" s="196" t="s">
        <v>1294</v>
      </c>
      <c r="C30" s="197">
        <v>0.1066</v>
      </c>
      <c r="D30" s="198">
        <v>1.0</v>
      </c>
      <c r="E30" s="198">
        <v>10.0</v>
      </c>
      <c r="F30" s="199">
        <v>93.81</v>
      </c>
    </row>
    <row r="31">
      <c r="A31" s="200" t="s">
        <v>1281</v>
      </c>
      <c r="B31" s="200" t="s">
        <v>1294</v>
      </c>
      <c r="C31" s="201">
        <v>0.0433</v>
      </c>
      <c r="D31" s="202">
        <v>1.0</v>
      </c>
      <c r="E31" s="202">
        <v>12.0</v>
      </c>
      <c r="F31" s="203">
        <v>277.14</v>
      </c>
    </row>
    <row r="32">
      <c r="A32" s="196" t="s">
        <v>1287</v>
      </c>
      <c r="B32" s="196" t="s">
        <v>1295</v>
      </c>
      <c r="C32" s="197">
        <v>0.08</v>
      </c>
      <c r="D32" s="198">
        <v>6.0</v>
      </c>
      <c r="E32" s="198">
        <v>10.0</v>
      </c>
      <c r="F32" s="199">
        <v>20.83</v>
      </c>
    </row>
    <row r="33">
      <c r="A33" s="200" t="s">
        <v>1281</v>
      </c>
      <c r="B33" s="200" t="s">
        <v>1295</v>
      </c>
      <c r="C33" s="201">
        <v>0.08</v>
      </c>
      <c r="D33" s="202">
        <v>6.0</v>
      </c>
      <c r="E33" s="202">
        <v>12.0</v>
      </c>
      <c r="F33" s="203">
        <v>25.0</v>
      </c>
    </row>
    <row r="34">
      <c r="A34" s="200" t="s">
        <v>1283</v>
      </c>
      <c r="B34" s="200" t="s">
        <v>1295</v>
      </c>
      <c r="C34" s="201">
        <v>0.08</v>
      </c>
      <c r="D34" s="202">
        <v>6.0</v>
      </c>
      <c r="E34" s="202">
        <v>15.0</v>
      </c>
      <c r="F34" s="203">
        <v>31.25</v>
      </c>
    </row>
    <row r="35">
      <c r="A35" s="200" t="s">
        <v>1284</v>
      </c>
      <c r="B35" s="200" t="s">
        <v>1295</v>
      </c>
      <c r="C35" s="201">
        <v>0.08</v>
      </c>
      <c r="D35" s="202">
        <v>6.0</v>
      </c>
      <c r="E35" s="202">
        <v>18.0</v>
      </c>
      <c r="F35" s="203">
        <v>37.5</v>
      </c>
    </row>
    <row r="36">
      <c r="A36" s="196" t="s">
        <v>1284</v>
      </c>
      <c r="B36" s="196" t="s">
        <v>1296</v>
      </c>
      <c r="C36" s="197">
        <v>0.02</v>
      </c>
      <c r="D36" s="198">
        <v>1.0</v>
      </c>
      <c r="E36" s="198">
        <v>18.0</v>
      </c>
      <c r="F36" s="199">
        <v>900.0</v>
      </c>
    </row>
    <row r="37">
      <c r="A37" s="196" t="s">
        <v>1287</v>
      </c>
      <c r="B37" s="196" t="s">
        <v>1297</v>
      </c>
      <c r="C37" s="197">
        <v>0.2</v>
      </c>
      <c r="D37" s="198">
        <v>4.0</v>
      </c>
      <c r="E37" s="198">
        <v>10.0</v>
      </c>
      <c r="F37" s="199">
        <v>12.5</v>
      </c>
    </row>
    <row r="38">
      <c r="A38" s="200" t="s">
        <v>1281</v>
      </c>
      <c r="B38" s="200" t="s">
        <v>1297</v>
      </c>
      <c r="C38" s="201">
        <v>0.12</v>
      </c>
      <c r="D38" s="202">
        <v>6.0</v>
      </c>
      <c r="E38" s="202">
        <v>12.0</v>
      </c>
      <c r="F38" s="203">
        <v>100.0</v>
      </c>
    </row>
    <row r="39">
      <c r="A39" s="156"/>
      <c r="B39" s="156"/>
      <c r="C39" s="156"/>
      <c r="D39" s="156"/>
      <c r="E39" s="156"/>
      <c r="F39" s="15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57"/>
    <col customWidth="1" min="2" max="2" width="90.0"/>
    <col customWidth="1" min="3" max="3" width="13.14"/>
    <col customWidth="1" min="4" max="4" width="7.57"/>
    <col customWidth="1" min="5" max="5" width="11.14"/>
    <col customWidth="1" min="6" max="6" width="24.43"/>
  </cols>
  <sheetData>
    <row r="1">
      <c r="A1" s="204" t="s">
        <v>1298</v>
      </c>
      <c r="B1" s="193" t="s">
        <v>1276</v>
      </c>
      <c r="C1" s="193" t="s">
        <v>1277</v>
      </c>
      <c r="D1" s="194" t="s">
        <v>1278</v>
      </c>
      <c r="E1" s="194" t="s">
        <v>1279</v>
      </c>
      <c r="F1" s="195" t="s">
        <v>1280</v>
      </c>
    </row>
    <row r="2">
      <c r="A2" s="205" t="s">
        <v>1299</v>
      </c>
      <c r="B2" s="205" t="s">
        <v>1300</v>
      </c>
      <c r="C2" s="206">
        <v>0.08</v>
      </c>
      <c r="D2" s="207">
        <v>1.0</v>
      </c>
      <c r="E2" s="207">
        <v>8.0</v>
      </c>
      <c r="F2" s="208">
        <f t="shared" ref="F2:F36" si="1">E2/C2/D2</f>
        <v>100</v>
      </c>
    </row>
    <row r="3">
      <c r="A3" s="209" t="s">
        <v>1301</v>
      </c>
      <c r="B3" s="209" t="s">
        <v>1300</v>
      </c>
      <c r="C3" s="210">
        <v>0.06</v>
      </c>
      <c r="D3" s="211">
        <v>1.0</v>
      </c>
      <c r="E3" s="211">
        <v>8.0</v>
      </c>
      <c r="F3" s="212">
        <f t="shared" si="1"/>
        <v>133.3333333</v>
      </c>
    </row>
    <row r="4">
      <c r="A4" s="209" t="s">
        <v>1302</v>
      </c>
      <c r="B4" s="209" t="s">
        <v>1300</v>
      </c>
      <c r="C4" s="210">
        <v>0.06</v>
      </c>
      <c r="D4" s="211">
        <v>1.0</v>
      </c>
      <c r="E4" s="211">
        <v>8.0</v>
      </c>
      <c r="F4" s="212">
        <f t="shared" si="1"/>
        <v>133.3333333</v>
      </c>
    </row>
    <row r="5">
      <c r="A5" s="209" t="s">
        <v>1303</v>
      </c>
      <c r="B5" s="209" t="s">
        <v>1300</v>
      </c>
      <c r="C5" s="210">
        <v>0.04</v>
      </c>
      <c r="D5" s="211">
        <v>1.0</v>
      </c>
      <c r="E5" s="211">
        <v>8.0</v>
      </c>
      <c r="F5" s="212">
        <f t="shared" si="1"/>
        <v>200</v>
      </c>
    </row>
    <row r="6">
      <c r="A6" s="209" t="s">
        <v>1304</v>
      </c>
      <c r="B6" s="209" t="s">
        <v>1300</v>
      </c>
      <c r="C6" s="210">
        <v>0.04</v>
      </c>
      <c r="D6" s="211">
        <v>1.0</v>
      </c>
      <c r="E6" s="211">
        <v>8.0</v>
      </c>
      <c r="F6" s="212">
        <f t="shared" si="1"/>
        <v>200</v>
      </c>
    </row>
    <row r="7">
      <c r="A7" s="209" t="s">
        <v>1303</v>
      </c>
      <c r="B7" s="209" t="s">
        <v>1305</v>
      </c>
      <c r="C7" s="210">
        <v>0.05</v>
      </c>
      <c r="D7" s="211">
        <v>1.0</v>
      </c>
      <c r="E7" s="211">
        <v>8.0</v>
      </c>
      <c r="F7" s="212">
        <f t="shared" si="1"/>
        <v>160</v>
      </c>
    </row>
    <row r="8">
      <c r="A8" s="209" t="s">
        <v>1301</v>
      </c>
      <c r="B8" s="209" t="s">
        <v>1305</v>
      </c>
      <c r="C8" s="210">
        <v>0.03</v>
      </c>
      <c r="D8" s="211">
        <v>1.0</v>
      </c>
      <c r="E8" s="211">
        <v>8.0</v>
      </c>
      <c r="F8" s="212">
        <f t="shared" si="1"/>
        <v>266.6666667</v>
      </c>
    </row>
    <row r="9">
      <c r="A9" s="205" t="s">
        <v>1304</v>
      </c>
      <c r="B9" s="205" t="s">
        <v>1306</v>
      </c>
      <c r="C9" s="206">
        <v>0.05</v>
      </c>
      <c r="D9" s="207">
        <v>1.0</v>
      </c>
      <c r="E9" s="207">
        <v>8.0</v>
      </c>
      <c r="F9" s="208">
        <f t="shared" si="1"/>
        <v>160</v>
      </c>
    </row>
    <row r="10">
      <c r="A10" s="209" t="s">
        <v>1302</v>
      </c>
      <c r="B10" s="209" t="s">
        <v>1306</v>
      </c>
      <c r="C10" s="210">
        <v>0.03</v>
      </c>
      <c r="D10" s="211">
        <v>1.0</v>
      </c>
      <c r="E10" s="211">
        <v>8.0</v>
      </c>
      <c r="F10" s="212">
        <f t="shared" si="1"/>
        <v>266.6666667</v>
      </c>
    </row>
    <row r="11">
      <c r="A11" s="209" t="s">
        <v>1299</v>
      </c>
      <c r="B11" s="209" t="s">
        <v>1306</v>
      </c>
      <c r="C11" s="210">
        <v>0.01</v>
      </c>
      <c r="D11" s="211">
        <v>1.0</v>
      </c>
      <c r="E11" s="211">
        <v>8.0</v>
      </c>
      <c r="F11" s="212">
        <f t="shared" si="1"/>
        <v>800</v>
      </c>
    </row>
    <row r="12">
      <c r="A12" s="205" t="s">
        <v>1299</v>
      </c>
      <c r="B12" s="205" t="s">
        <v>1307</v>
      </c>
      <c r="C12" s="206">
        <v>0.08</v>
      </c>
      <c r="D12" s="207">
        <v>1.0</v>
      </c>
      <c r="E12" s="207">
        <v>8.0</v>
      </c>
      <c r="F12" s="208">
        <f t="shared" si="1"/>
        <v>100</v>
      </c>
    </row>
    <row r="13">
      <c r="A13" s="209" t="s">
        <v>1301</v>
      </c>
      <c r="B13" s="209" t="s">
        <v>1307</v>
      </c>
      <c r="C13" s="210">
        <v>0.06</v>
      </c>
      <c r="D13" s="211">
        <v>1.0</v>
      </c>
      <c r="E13" s="211">
        <v>8.0</v>
      </c>
      <c r="F13" s="212">
        <f t="shared" si="1"/>
        <v>133.3333333</v>
      </c>
    </row>
    <row r="14">
      <c r="A14" s="209" t="s">
        <v>1302</v>
      </c>
      <c r="B14" s="209" t="s">
        <v>1307</v>
      </c>
      <c r="C14" s="210">
        <v>0.06</v>
      </c>
      <c r="D14" s="211">
        <v>1.0</v>
      </c>
      <c r="E14" s="211">
        <v>8.0</v>
      </c>
      <c r="F14" s="212">
        <f t="shared" si="1"/>
        <v>133.3333333</v>
      </c>
    </row>
    <row r="15">
      <c r="A15" s="209" t="s">
        <v>1303</v>
      </c>
      <c r="B15" s="209" t="s">
        <v>1307</v>
      </c>
      <c r="C15" s="210">
        <v>0.04</v>
      </c>
      <c r="D15" s="211">
        <v>1.0</v>
      </c>
      <c r="E15" s="211">
        <v>8.0</v>
      </c>
      <c r="F15" s="212">
        <f t="shared" si="1"/>
        <v>200</v>
      </c>
    </row>
    <row r="16">
      <c r="A16" s="209" t="s">
        <v>1304</v>
      </c>
      <c r="B16" s="209" t="s">
        <v>1307</v>
      </c>
      <c r="C16" s="210">
        <v>0.04</v>
      </c>
      <c r="D16" s="211">
        <v>1.0</v>
      </c>
      <c r="E16" s="211">
        <v>8.0</v>
      </c>
      <c r="F16" s="212">
        <f t="shared" si="1"/>
        <v>200</v>
      </c>
    </row>
    <row r="17">
      <c r="A17" s="209" t="s">
        <v>1303</v>
      </c>
      <c r="B17" s="209" t="s">
        <v>1308</v>
      </c>
      <c r="C17" s="210">
        <v>0.05</v>
      </c>
      <c r="D17" s="211">
        <v>1.0</v>
      </c>
      <c r="E17" s="211">
        <v>8.0</v>
      </c>
      <c r="F17" s="212">
        <f t="shared" si="1"/>
        <v>160</v>
      </c>
    </row>
    <row r="18">
      <c r="A18" s="209" t="s">
        <v>1301</v>
      </c>
      <c r="B18" s="209" t="s">
        <v>1308</v>
      </c>
      <c r="C18" s="210">
        <v>0.03</v>
      </c>
      <c r="D18" s="211">
        <v>1.0</v>
      </c>
      <c r="E18" s="211">
        <v>8.0</v>
      </c>
      <c r="F18" s="212">
        <f t="shared" si="1"/>
        <v>266.6666667</v>
      </c>
    </row>
    <row r="19">
      <c r="A19" s="205" t="s">
        <v>1304</v>
      </c>
      <c r="B19" s="205" t="s">
        <v>1309</v>
      </c>
      <c r="C19" s="206">
        <v>0.05</v>
      </c>
      <c r="D19" s="207">
        <v>1.0</v>
      </c>
      <c r="E19" s="207">
        <v>8.0</v>
      </c>
      <c r="F19" s="208">
        <f t="shared" si="1"/>
        <v>160</v>
      </c>
    </row>
    <row r="20">
      <c r="A20" s="209" t="s">
        <v>1302</v>
      </c>
      <c r="B20" s="209" t="s">
        <v>1309</v>
      </c>
      <c r="C20" s="210">
        <v>0.03</v>
      </c>
      <c r="D20" s="211">
        <v>1.0</v>
      </c>
      <c r="E20" s="211">
        <v>8.0</v>
      </c>
      <c r="F20" s="212">
        <f t="shared" si="1"/>
        <v>266.6666667</v>
      </c>
    </row>
    <row r="21">
      <c r="A21" s="209" t="s">
        <v>1299</v>
      </c>
      <c r="B21" s="209" t="s">
        <v>1309</v>
      </c>
      <c r="C21" s="210">
        <v>0.01</v>
      </c>
      <c r="D21" s="211">
        <v>1.0</v>
      </c>
      <c r="E21" s="211">
        <v>8.0</v>
      </c>
      <c r="F21" s="212">
        <f t="shared" si="1"/>
        <v>800</v>
      </c>
    </row>
    <row r="22">
      <c r="A22" s="205" t="s">
        <v>1304</v>
      </c>
      <c r="B22" s="205" t="s">
        <v>1310</v>
      </c>
      <c r="C22" s="206">
        <v>1.0</v>
      </c>
      <c r="D22" s="207">
        <v>625.0</v>
      </c>
      <c r="E22" s="207">
        <v>8.0</v>
      </c>
      <c r="F22" s="213">
        <f t="shared" si="1"/>
        <v>0.0128</v>
      </c>
    </row>
    <row r="23">
      <c r="A23" s="209" t="s">
        <v>1302</v>
      </c>
      <c r="B23" s="209" t="s">
        <v>1310</v>
      </c>
      <c r="C23" s="210">
        <v>1.0</v>
      </c>
      <c r="D23" s="211">
        <v>575.0</v>
      </c>
      <c r="E23" s="211">
        <v>8.0</v>
      </c>
      <c r="F23" s="214">
        <f t="shared" si="1"/>
        <v>0.01391304348</v>
      </c>
    </row>
    <row r="24">
      <c r="A24" s="209" t="s">
        <v>1299</v>
      </c>
      <c r="B24" s="209" t="s">
        <v>1310</v>
      </c>
      <c r="C24" s="210">
        <v>1.0</v>
      </c>
      <c r="D24" s="211">
        <v>525.0</v>
      </c>
      <c r="E24" s="211">
        <v>8.0</v>
      </c>
      <c r="F24" s="214">
        <f t="shared" si="1"/>
        <v>0.01523809524</v>
      </c>
    </row>
    <row r="25">
      <c r="A25" s="209" t="s">
        <v>1301</v>
      </c>
      <c r="B25" s="209" t="s">
        <v>1310</v>
      </c>
      <c r="C25" s="210">
        <v>1.0</v>
      </c>
      <c r="D25" s="211">
        <v>475.0</v>
      </c>
      <c r="E25" s="211">
        <v>8.0</v>
      </c>
      <c r="F25" s="214">
        <f t="shared" si="1"/>
        <v>0.01684210526</v>
      </c>
    </row>
    <row r="26">
      <c r="A26" s="209" t="s">
        <v>1303</v>
      </c>
      <c r="B26" s="209" t="s">
        <v>1310</v>
      </c>
      <c r="C26" s="210">
        <v>1.0</v>
      </c>
      <c r="D26" s="211">
        <v>425.0</v>
      </c>
      <c r="E26" s="211">
        <v>8.0</v>
      </c>
      <c r="F26" s="214">
        <f t="shared" si="1"/>
        <v>0.01882352941</v>
      </c>
    </row>
    <row r="27">
      <c r="A27" s="205" t="s">
        <v>1304</v>
      </c>
      <c r="B27" s="205" t="s">
        <v>1311</v>
      </c>
      <c r="C27" s="206">
        <v>0.45</v>
      </c>
      <c r="D27" s="207">
        <v>1.0</v>
      </c>
      <c r="E27" s="207">
        <v>8.0</v>
      </c>
      <c r="F27" s="208">
        <f t="shared" si="1"/>
        <v>17.77777778</v>
      </c>
    </row>
    <row r="28">
      <c r="A28" s="209" t="s">
        <v>1302</v>
      </c>
      <c r="B28" s="209" t="s">
        <v>1312</v>
      </c>
      <c r="C28" s="210">
        <v>0.27</v>
      </c>
      <c r="D28" s="211">
        <v>1.0</v>
      </c>
      <c r="E28" s="211">
        <v>8.0</v>
      </c>
      <c r="F28" s="212">
        <f t="shared" si="1"/>
        <v>29.62962963</v>
      </c>
    </row>
    <row r="29">
      <c r="A29" s="209" t="s">
        <v>1299</v>
      </c>
      <c r="B29" s="209" t="s">
        <v>1312</v>
      </c>
      <c r="C29" s="210">
        <v>0.1</v>
      </c>
      <c r="D29" s="211">
        <v>1.0</v>
      </c>
      <c r="E29" s="211">
        <v>8.0</v>
      </c>
      <c r="F29" s="212">
        <f t="shared" si="1"/>
        <v>80</v>
      </c>
    </row>
    <row r="30">
      <c r="A30" s="205" t="s">
        <v>1304</v>
      </c>
      <c r="B30" s="205" t="s">
        <v>1313</v>
      </c>
      <c r="C30" s="206">
        <v>0.37</v>
      </c>
      <c r="D30" s="207">
        <v>2.0</v>
      </c>
      <c r="E30" s="207">
        <v>8.0</v>
      </c>
      <c r="F30" s="208">
        <f t="shared" si="1"/>
        <v>10.81081081</v>
      </c>
    </row>
    <row r="31">
      <c r="A31" s="209" t="s">
        <v>1299</v>
      </c>
      <c r="B31" s="209" t="s">
        <v>1314</v>
      </c>
      <c r="C31" s="210">
        <v>0.72</v>
      </c>
      <c r="D31" s="211">
        <v>1.0</v>
      </c>
      <c r="E31" s="211">
        <v>8.0</v>
      </c>
      <c r="F31" s="212">
        <f t="shared" si="1"/>
        <v>11.11111111</v>
      </c>
    </row>
    <row r="32">
      <c r="A32" s="209" t="s">
        <v>1301</v>
      </c>
      <c r="B32" s="209" t="s">
        <v>1314</v>
      </c>
      <c r="C32" s="210">
        <v>0.55</v>
      </c>
      <c r="D32" s="211">
        <v>1.0</v>
      </c>
      <c r="E32" s="211">
        <v>8.0</v>
      </c>
      <c r="F32" s="212">
        <f t="shared" si="1"/>
        <v>14.54545455</v>
      </c>
    </row>
    <row r="33">
      <c r="A33" s="209" t="s">
        <v>1302</v>
      </c>
      <c r="B33" s="209" t="s">
        <v>1314</v>
      </c>
      <c r="C33" s="210">
        <v>0.55</v>
      </c>
      <c r="D33" s="211">
        <v>1.0</v>
      </c>
      <c r="E33" s="211">
        <v>8.0</v>
      </c>
      <c r="F33" s="212">
        <f t="shared" si="1"/>
        <v>14.54545455</v>
      </c>
    </row>
    <row r="34">
      <c r="A34" s="209" t="s">
        <v>1303</v>
      </c>
      <c r="B34" s="209" t="s">
        <v>1314</v>
      </c>
      <c r="C34" s="210">
        <v>0.36</v>
      </c>
      <c r="D34" s="211">
        <v>1.0</v>
      </c>
      <c r="E34" s="211">
        <v>8.0</v>
      </c>
      <c r="F34" s="212">
        <f t="shared" si="1"/>
        <v>22.22222222</v>
      </c>
    </row>
    <row r="35">
      <c r="A35" s="205" t="s">
        <v>1303</v>
      </c>
      <c r="B35" s="205" t="s">
        <v>1315</v>
      </c>
      <c r="C35" s="206">
        <v>0.46</v>
      </c>
      <c r="D35" s="207">
        <v>2.0</v>
      </c>
      <c r="E35" s="207">
        <v>8.0</v>
      </c>
      <c r="F35" s="208">
        <f t="shared" si="1"/>
        <v>8.695652174</v>
      </c>
    </row>
    <row r="36">
      <c r="A36" s="209" t="s">
        <v>1301</v>
      </c>
      <c r="B36" s="209" t="s">
        <v>1316</v>
      </c>
      <c r="C36" s="210">
        <v>0.27</v>
      </c>
      <c r="D36" s="211">
        <v>2.0</v>
      </c>
      <c r="E36" s="211">
        <v>8.0</v>
      </c>
      <c r="F36" s="212">
        <f t="shared" si="1"/>
        <v>14.81481481</v>
      </c>
    </row>
    <row r="37">
      <c r="A37" s="215"/>
      <c r="B37" s="215"/>
      <c r="C37" s="216"/>
      <c r="D37" s="216"/>
      <c r="E37" s="216"/>
      <c r="F37" s="21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4"/>
    <col customWidth="1" min="2" max="5" width="7.43"/>
    <col customWidth="1" min="6" max="6" width="2.14"/>
    <col customWidth="1" min="7" max="12" width="7.43"/>
    <col customWidth="1" min="13" max="13" width="2.14"/>
    <col customWidth="1" min="14" max="29" width="7.43"/>
    <col customWidth="1" min="30" max="30" width="2.14"/>
  </cols>
  <sheetData>
    <row r="1">
      <c r="A1" s="189"/>
      <c r="B1" s="189"/>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c r="AC1" s="189"/>
      <c r="AD1" s="189"/>
    </row>
    <row r="2">
      <c r="A2" s="189"/>
      <c r="B2" s="217" t="s">
        <v>1317</v>
      </c>
      <c r="AB2" s="217"/>
      <c r="AC2" s="217"/>
      <c r="AD2" s="217"/>
    </row>
    <row r="3">
      <c r="A3" s="189"/>
      <c r="B3" s="190" t="s">
        <v>1318</v>
      </c>
    </row>
    <row r="4" ht="3.0" customHeight="1">
      <c r="A4" s="189"/>
      <c r="B4" s="189"/>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row>
    <row r="5">
      <c r="A5" s="218"/>
      <c r="B5" s="219" t="s">
        <v>1319</v>
      </c>
      <c r="C5" s="122"/>
      <c r="D5" s="122"/>
      <c r="E5" s="123"/>
      <c r="F5" s="186"/>
      <c r="G5" s="220" t="s">
        <v>1320</v>
      </c>
      <c r="H5" s="122"/>
      <c r="I5" s="122"/>
      <c r="J5" s="122"/>
      <c r="K5" s="122"/>
      <c r="L5" s="123"/>
      <c r="M5" s="186"/>
      <c r="N5" s="221" t="s">
        <v>1321</v>
      </c>
      <c r="O5" s="222"/>
      <c r="P5" s="222"/>
      <c r="Q5" s="222"/>
      <c r="R5" s="222"/>
      <c r="S5" s="223"/>
      <c r="T5" s="186"/>
      <c r="Z5" s="189"/>
      <c r="AA5" s="189"/>
      <c r="AB5" s="189"/>
      <c r="AC5" s="189"/>
      <c r="AD5" s="224"/>
    </row>
    <row r="6">
      <c r="A6" s="186"/>
      <c r="B6" s="225" t="s">
        <v>794</v>
      </c>
      <c r="C6" s="226"/>
      <c r="D6" s="186" t="s">
        <v>1050</v>
      </c>
      <c r="E6" s="226"/>
      <c r="F6" s="186"/>
      <c r="G6" s="225" t="s">
        <v>794</v>
      </c>
      <c r="H6" s="226"/>
      <c r="I6" s="186" t="s">
        <v>1322</v>
      </c>
      <c r="L6" s="226"/>
      <c r="M6" s="186"/>
      <c r="N6" s="227" t="s">
        <v>794</v>
      </c>
      <c r="O6" s="223"/>
      <c r="P6" s="228" t="s">
        <v>1323</v>
      </c>
      <c r="Q6" s="229"/>
      <c r="R6" s="229"/>
      <c r="S6" s="230"/>
      <c r="T6" s="41"/>
      <c r="Z6" s="189"/>
      <c r="AA6" s="189"/>
      <c r="AB6" s="189"/>
      <c r="AC6" s="189"/>
      <c r="AD6" s="224"/>
    </row>
    <row r="7" ht="70.5" customHeight="1">
      <c r="A7" s="62"/>
      <c r="B7" s="231" t="str">
        <f>image("https://i.imgur.com/qm1V181.png")</f>
        <v/>
      </c>
      <c r="C7" s="226"/>
      <c r="D7" s="37" t="str">
        <f>image("https://i.imgur.com/6SPcIdp.png")</f>
        <v/>
      </c>
      <c r="E7" s="226"/>
      <c r="F7" s="37"/>
      <c r="G7" s="232" t="str">
        <f>image("https://i.imgur.com/1ZDYfr8.png")</f>
        <v/>
      </c>
      <c r="H7" s="233"/>
      <c r="I7" s="37" t="str">
        <f>image("https://i.imgur.com/qBlORbh.png")</f>
        <v/>
      </c>
      <c r="K7" s="234" t="str">
        <f>image("https://i.imgur.com/5EddaaK.png")</f>
        <v/>
      </c>
      <c r="L7" s="233"/>
      <c r="M7" s="37"/>
      <c r="N7" s="235" t="str">
        <f>image("https://i.imgur.com/PdGC848.png")</f>
        <v/>
      </c>
      <c r="O7" s="233"/>
      <c r="P7" s="236" t="str">
        <f>image("https://i.imgur.com/40LXmBk.png")</f>
        <v/>
      </c>
      <c r="R7" s="237" t="str">
        <f>image("https://i.imgur.com/KpuPfqM.png")</f>
        <v/>
      </c>
      <c r="S7" s="233"/>
      <c r="Z7" s="189"/>
      <c r="AA7" s="189"/>
      <c r="AB7" s="189"/>
      <c r="AC7" s="189"/>
      <c r="AD7" s="224"/>
    </row>
    <row r="8" ht="21.75" customHeight="1">
      <c r="A8" s="107"/>
      <c r="B8" s="238" t="s">
        <v>216</v>
      </c>
      <c r="C8" s="239" t="str">
        <f>image("https://i.imgur.com/z8bnSYg.png")</f>
        <v/>
      </c>
      <c r="D8" s="240" t="s">
        <v>216</v>
      </c>
      <c r="E8" s="241" t="str">
        <f>image("https://i.imgur.com/z8bnSYg.png")</f>
        <v/>
      </c>
      <c r="F8" s="107"/>
      <c r="G8" s="238" t="s">
        <v>216</v>
      </c>
      <c r="H8" s="239" t="str">
        <f>image("https://i.imgur.com/AHPti72.png")</f>
        <v/>
      </c>
      <c r="I8" s="240" t="s">
        <v>1324</v>
      </c>
      <c r="J8" s="46" t="str">
        <f>image("https://i.imgur.com/AHPti72.png")</f>
        <v/>
      </c>
      <c r="K8" s="240" t="s">
        <v>1324</v>
      </c>
      <c r="L8" s="241" t="str">
        <f>image("https://i.imgur.com/AHPti72.png")</f>
        <v/>
      </c>
      <c r="M8" s="240"/>
      <c r="N8" s="242" t="s">
        <v>216</v>
      </c>
      <c r="O8" s="243" t="str">
        <f>image("https://i.imgur.com/pQYVkI3.png")</f>
        <v/>
      </c>
      <c r="P8" s="244" t="s">
        <v>216</v>
      </c>
      <c r="Q8" s="236" t="str">
        <f>image("https://i.imgur.com/pQYVkI3.png")</f>
        <v/>
      </c>
      <c r="R8" s="244" t="s">
        <v>216</v>
      </c>
      <c r="S8" s="243" t="str">
        <f>image("https://i.imgur.com/pQYVkI3.png")</f>
        <v/>
      </c>
      <c r="Z8" s="189"/>
      <c r="AA8" s="189"/>
      <c r="AB8" s="189"/>
      <c r="AC8" s="189"/>
      <c r="AD8" s="224"/>
    </row>
    <row r="9" ht="52.5" customHeight="1">
      <c r="A9" s="245"/>
      <c r="B9" s="246" t="s">
        <v>694</v>
      </c>
      <c r="C9" s="247"/>
      <c r="D9" s="248" t="s">
        <v>291</v>
      </c>
      <c r="E9" s="247"/>
      <c r="F9" s="245"/>
      <c r="G9" s="249" t="s">
        <v>656</v>
      </c>
      <c r="H9" s="247"/>
      <c r="I9" s="248" t="s">
        <v>238</v>
      </c>
      <c r="J9" s="250"/>
      <c r="K9" s="248" t="s">
        <v>413</v>
      </c>
      <c r="L9" s="251"/>
      <c r="M9" s="252"/>
      <c r="N9" s="253" t="s">
        <v>669</v>
      </c>
      <c r="O9" s="251"/>
      <c r="P9" s="254" t="s">
        <v>390</v>
      </c>
      <c r="Q9" s="255"/>
      <c r="R9" s="254" t="s">
        <v>430</v>
      </c>
      <c r="S9" s="251"/>
      <c r="Z9" s="189"/>
      <c r="AA9" s="189"/>
      <c r="AB9" s="189"/>
      <c r="AC9" s="189"/>
      <c r="AD9" s="224"/>
    </row>
    <row r="10">
      <c r="A10" s="189"/>
      <c r="B10" s="189"/>
      <c r="C10" s="240"/>
      <c r="D10" s="120"/>
      <c r="E10" s="256"/>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row>
    <row r="11">
      <c r="A11" s="218"/>
      <c r="B11" s="220" t="s">
        <v>1325</v>
      </c>
      <c r="C11" s="257"/>
      <c r="D11" s="257"/>
      <c r="E11" s="258"/>
      <c r="F11" s="186"/>
      <c r="G11" s="220" t="s">
        <v>1326</v>
      </c>
      <c r="H11" s="257"/>
      <c r="I11" s="257"/>
      <c r="J11" s="257"/>
      <c r="K11" s="122"/>
      <c r="L11" s="123"/>
      <c r="M11" s="186"/>
      <c r="N11" s="220" t="s">
        <v>1327</v>
      </c>
      <c r="O11" s="122"/>
      <c r="P11" s="122"/>
      <c r="Q11" s="122"/>
      <c r="R11" s="122"/>
      <c r="S11" s="123"/>
      <c r="T11" s="186"/>
      <c r="U11" s="186"/>
      <c r="V11" s="186"/>
      <c r="W11" s="186"/>
      <c r="X11" s="186"/>
      <c r="Y11" s="186"/>
      <c r="Z11" s="186"/>
      <c r="AA11" s="186"/>
      <c r="AB11" s="189"/>
      <c r="AC11" s="189"/>
      <c r="AD11" s="186"/>
    </row>
    <row r="12">
      <c r="A12" s="186"/>
      <c r="B12" s="225" t="s">
        <v>794</v>
      </c>
      <c r="C12" s="233"/>
      <c r="D12" s="186" t="s">
        <v>1050</v>
      </c>
      <c r="E12" s="233"/>
      <c r="F12" s="186"/>
      <c r="G12" s="225" t="s">
        <v>794</v>
      </c>
      <c r="H12" s="226"/>
      <c r="I12" s="259" t="s">
        <v>1322</v>
      </c>
      <c r="J12" s="222"/>
      <c r="K12" s="222"/>
      <c r="L12" s="223"/>
      <c r="M12" s="186"/>
      <c r="N12" s="225" t="s">
        <v>794</v>
      </c>
      <c r="O12" s="226"/>
      <c r="P12" s="225" t="s">
        <v>1323</v>
      </c>
      <c r="S12" s="226"/>
      <c r="T12" s="186"/>
      <c r="U12" s="186"/>
      <c r="V12" s="186"/>
      <c r="W12" s="186"/>
      <c r="X12" s="186"/>
      <c r="Y12" s="186"/>
      <c r="Z12" s="186"/>
      <c r="AA12" s="186"/>
      <c r="AB12" s="189"/>
      <c r="AC12" s="189"/>
      <c r="AD12" s="186"/>
    </row>
    <row r="13" ht="70.5" customHeight="1">
      <c r="A13" s="62"/>
      <c r="B13" s="231" t="str">
        <f>image("https://i.imgur.com/rsT9HWg.png")</f>
        <v/>
      </c>
      <c r="C13" s="260"/>
      <c r="D13" s="261" t="str">
        <f>image("https://i.imgur.com/fH8gCvW.png")</f>
        <v/>
      </c>
      <c r="E13" s="260"/>
      <c r="F13" s="37"/>
      <c r="G13" s="232" t="str">
        <f>image("https://i.imgur.com/xyONEpn.png")</f>
        <v/>
      </c>
      <c r="H13" s="233"/>
      <c r="I13" s="232" t="str">
        <f>image("https://i.imgur.com/CETbPu5.png")</f>
        <v/>
      </c>
      <c r="K13" s="37" t="str">
        <f>image("https://i.imgur.com/ao6dhXV.png")</f>
        <v/>
      </c>
      <c r="L13" s="233"/>
      <c r="M13" s="37"/>
      <c r="N13" s="232" t="str">
        <f>image("https://i.imgur.com/qbkoP0V.png")</f>
        <v/>
      </c>
      <c r="O13" s="233"/>
      <c r="P13" s="232" t="str">
        <f>image("https://i.imgur.com/AUuLYqF.png")</f>
        <v/>
      </c>
      <c r="R13" s="37" t="str">
        <f>image("https://i.imgur.com/CdChzro.png")</f>
        <v/>
      </c>
      <c r="S13" s="233"/>
      <c r="T13" s="37"/>
      <c r="V13" s="37"/>
      <c r="X13" s="186"/>
      <c r="Y13" s="186"/>
      <c r="Z13" s="186"/>
      <c r="AA13" s="186"/>
      <c r="AD13" s="37"/>
    </row>
    <row r="14" ht="21.75" customHeight="1">
      <c r="A14" s="107"/>
      <c r="B14" s="238" t="s">
        <v>216</v>
      </c>
      <c r="C14" s="241" t="str">
        <f>image("https://i.imgur.com/hX15sR0.png")</f>
        <v/>
      </c>
      <c r="D14" s="240" t="s">
        <v>216</v>
      </c>
      <c r="E14" s="241" t="str">
        <f>image("https://i.imgur.com/hX15sR0.png")</f>
        <v/>
      </c>
      <c r="F14" s="107"/>
      <c r="G14" s="238" t="s">
        <v>216</v>
      </c>
      <c r="H14" s="46" t="str">
        <f>image("https://i.imgur.com/QndVudD.png")</f>
        <v/>
      </c>
      <c r="I14" s="262" t="s">
        <v>216</v>
      </c>
      <c r="J14" s="46" t="str">
        <f>image("https://i.imgur.com/QndVudD.png")</f>
        <v/>
      </c>
      <c r="K14" s="240" t="s">
        <v>216</v>
      </c>
      <c r="L14" s="241" t="str">
        <f>image("https://i.imgur.com/QndVudD.png")</f>
        <v/>
      </c>
      <c r="M14" s="240"/>
      <c r="N14" s="262" t="s">
        <v>216</v>
      </c>
      <c r="O14" s="241" t="str">
        <f>image("https://i.imgur.com/pzX6NRL.png")</f>
        <v/>
      </c>
      <c r="P14" s="262" t="s">
        <v>1324</v>
      </c>
      <c r="Q14" s="120" t="str">
        <f>image("https://i.imgur.com/pzX6NRL.png")</f>
        <v/>
      </c>
      <c r="R14" s="240" t="s">
        <v>1324</v>
      </c>
      <c r="S14" s="241" t="str">
        <f>image("https://i.imgur.com/pzX6NRL.png")</f>
        <v/>
      </c>
      <c r="T14" s="240"/>
      <c r="U14" s="120"/>
      <c r="V14" s="240"/>
      <c r="W14" s="120"/>
      <c r="X14" s="186"/>
      <c r="Y14" s="186"/>
      <c r="Z14" s="186"/>
      <c r="AA14" s="186"/>
      <c r="AB14" s="189"/>
      <c r="AD14" s="189"/>
    </row>
    <row r="15" ht="52.5" customHeight="1">
      <c r="A15" s="245"/>
      <c r="B15" s="246" t="s">
        <v>706</v>
      </c>
      <c r="C15" s="251"/>
      <c r="D15" s="248" t="s">
        <v>425</v>
      </c>
      <c r="E15" s="251"/>
      <c r="F15" s="245"/>
      <c r="G15" s="246" t="s">
        <v>700</v>
      </c>
      <c r="H15" s="251"/>
      <c r="I15" s="249" t="s">
        <v>282</v>
      </c>
      <c r="J15" s="250"/>
      <c r="K15" s="263" t="s">
        <v>418</v>
      </c>
      <c r="L15" s="251"/>
      <c r="M15" s="252"/>
      <c r="N15" s="249" t="s">
        <v>687</v>
      </c>
      <c r="O15" s="251"/>
      <c r="P15" s="249" t="s">
        <v>373</v>
      </c>
      <c r="Q15" s="255"/>
      <c r="R15" s="248" t="s">
        <v>330</v>
      </c>
      <c r="S15" s="251"/>
      <c r="T15" s="252"/>
      <c r="V15" s="252"/>
      <c r="X15" s="186"/>
      <c r="Y15" s="186"/>
      <c r="Z15" s="186"/>
      <c r="AA15" s="186"/>
      <c r="AB15" s="189"/>
      <c r="AD15" s="189"/>
    </row>
    <row r="16">
      <c r="A16" s="189"/>
      <c r="B16" s="189"/>
      <c r="C16" s="189"/>
      <c r="D16" s="189"/>
      <c r="E16" s="189"/>
      <c r="F16" s="189"/>
      <c r="G16" s="189"/>
      <c r="H16" s="189"/>
      <c r="I16" s="189"/>
      <c r="J16" s="189"/>
      <c r="K16" s="189"/>
      <c r="L16" s="189"/>
      <c r="M16" s="189"/>
      <c r="N16" s="189"/>
      <c r="O16" s="189"/>
      <c r="P16" s="189"/>
      <c r="Q16" s="189"/>
      <c r="R16" s="189"/>
      <c r="S16" s="189"/>
      <c r="T16" s="189"/>
      <c r="U16" s="189"/>
      <c r="V16" s="189"/>
      <c r="W16" s="189"/>
      <c r="X16" s="189"/>
      <c r="Y16" s="189"/>
      <c r="Z16" s="189"/>
      <c r="AA16" s="189"/>
      <c r="AB16" s="189"/>
      <c r="AC16" s="189"/>
      <c r="AD16" s="189"/>
    </row>
    <row r="17">
      <c r="A17" s="189"/>
      <c r="B17" s="189"/>
      <c r="C17" s="189"/>
      <c r="D17" s="189"/>
      <c r="E17" s="189"/>
      <c r="F17" s="189"/>
      <c r="G17" s="220" t="s">
        <v>1328</v>
      </c>
      <c r="H17" s="122"/>
      <c r="I17" s="122"/>
      <c r="J17" s="122"/>
      <c r="K17" s="122"/>
      <c r="L17" s="123"/>
      <c r="M17" s="189"/>
      <c r="N17" s="220" t="s">
        <v>1329</v>
      </c>
      <c r="O17" s="122"/>
      <c r="P17" s="122"/>
      <c r="Q17" s="122"/>
      <c r="R17" s="122"/>
      <c r="S17" s="122"/>
      <c r="T17" s="122"/>
      <c r="U17" s="123"/>
      <c r="V17" s="186"/>
      <c r="W17" s="186"/>
      <c r="X17" s="189"/>
      <c r="Y17" s="189"/>
      <c r="Z17" s="189"/>
      <c r="AA17" s="189"/>
      <c r="AB17" s="189"/>
      <c r="AC17" s="189"/>
      <c r="AD17" s="189"/>
    </row>
    <row r="18">
      <c r="A18" s="189"/>
      <c r="B18" s="189"/>
      <c r="C18" s="189"/>
      <c r="D18" s="189"/>
      <c r="E18" s="189"/>
      <c r="F18" s="189"/>
      <c r="G18" s="225" t="s">
        <v>794</v>
      </c>
      <c r="H18" s="226"/>
      <c r="I18" s="186" t="s">
        <v>1322</v>
      </c>
      <c r="L18" s="233"/>
      <c r="M18" s="189"/>
      <c r="N18" s="225" t="s">
        <v>1330</v>
      </c>
      <c r="P18" s="264" t="s">
        <v>1331</v>
      </c>
      <c r="R18" s="264" t="s">
        <v>1332</v>
      </c>
      <c r="T18" s="186" t="s">
        <v>1333</v>
      </c>
      <c r="U18" s="226"/>
      <c r="V18" s="186"/>
      <c r="X18" s="189"/>
      <c r="Y18" s="189"/>
      <c r="Z18" s="189"/>
      <c r="AA18" s="189"/>
      <c r="AB18" s="189"/>
      <c r="AC18" s="189"/>
      <c r="AD18" s="189"/>
    </row>
    <row r="19" ht="70.5" customHeight="1">
      <c r="A19" s="189"/>
      <c r="B19" s="189"/>
      <c r="C19" s="189"/>
      <c r="D19" s="189"/>
      <c r="E19" s="189"/>
      <c r="F19" s="189"/>
      <c r="G19" s="232" t="str">
        <f>image("https://i.imgur.com/ASrLo8l.png")</f>
        <v/>
      </c>
      <c r="H19" s="233"/>
      <c r="I19" s="37" t="str">
        <f>image("https://i.imgur.com/ktQy3lo.png
")</f>
        <v/>
      </c>
      <c r="K19" s="37" t="str">
        <f>image("https://i.imgur.com/lc781HC.png")</f>
        <v/>
      </c>
      <c r="L19" s="233"/>
      <c r="M19" s="189"/>
      <c r="N19" s="232" t="str">
        <f>image("https://i.imgur.com/qBlORbh.png")</f>
        <v/>
      </c>
      <c r="P19" s="37" t="str">
        <f>image("https://i.imgur.com/6SPcIdp.png")</f>
        <v/>
      </c>
      <c r="R19" s="37" t="str">
        <f>image("https://i.imgur.com/ktQy3lo.png
")</f>
        <v/>
      </c>
      <c r="T19" s="37" t="str">
        <f>image("https://i.imgur.com/KpuPfqM.png")</f>
        <v/>
      </c>
      <c r="U19" s="233"/>
      <c r="V19" s="37"/>
      <c r="X19" s="189"/>
      <c r="Y19" s="189"/>
      <c r="Z19" s="189"/>
      <c r="AA19" s="189"/>
      <c r="AB19" s="189"/>
      <c r="AC19" s="189"/>
      <c r="AD19" s="189"/>
    </row>
    <row r="20">
      <c r="A20" s="189"/>
      <c r="B20" s="189"/>
      <c r="C20" s="189"/>
      <c r="D20" s="189"/>
      <c r="E20" s="189"/>
      <c r="F20" s="189"/>
      <c r="G20" s="262" t="s">
        <v>216</v>
      </c>
      <c r="H20" s="241" t="str">
        <f>image("https://i.imgur.com/NchScWh.png")</f>
        <v/>
      </c>
      <c r="I20" s="240" t="s">
        <v>216</v>
      </c>
      <c r="J20" s="120" t="str">
        <f>image("https://i.imgur.com/NchScWh.png")</f>
        <v/>
      </c>
      <c r="K20" s="240" t="s">
        <v>216</v>
      </c>
      <c r="L20" s="241" t="str">
        <f>image("https://i.imgur.com/NchScWh.png")</f>
        <v/>
      </c>
      <c r="M20" s="189"/>
      <c r="N20" s="262" t="s">
        <v>216</v>
      </c>
      <c r="O20" s="120" t="str">
        <f>image("https://i.imgur.com/AHPti72.png")</f>
        <v/>
      </c>
      <c r="P20" s="240" t="s">
        <v>216</v>
      </c>
      <c r="Q20" s="120" t="str">
        <f>image("https://i.imgur.com/z8bnSYg.png")</f>
        <v/>
      </c>
      <c r="R20" s="240" t="s">
        <v>216</v>
      </c>
      <c r="S20" s="120" t="str">
        <f>image("https://i.imgur.com/NchScWh.png")</f>
        <v/>
      </c>
      <c r="T20" s="240" t="s">
        <v>216</v>
      </c>
      <c r="U20" s="241" t="str">
        <f>image("https://i.imgur.com/pQYVkI3.png")</f>
        <v/>
      </c>
      <c r="V20" s="240"/>
      <c r="W20" s="120"/>
      <c r="X20" s="189"/>
      <c r="Y20" s="189"/>
      <c r="Z20" s="189"/>
      <c r="AA20" s="189"/>
      <c r="AB20" s="189"/>
      <c r="AC20" s="189"/>
      <c r="AD20" s="189"/>
    </row>
    <row r="21">
      <c r="A21" s="189"/>
      <c r="B21" s="189"/>
      <c r="C21" s="189"/>
      <c r="D21" s="189"/>
      <c r="E21" s="189"/>
      <c r="F21" s="189"/>
      <c r="G21" s="249" t="s">
        <v>649</v>
      </c>
      <c r="H21" s="251"/>
      <c r="I21" s="265" t="s">
        <v>256</v>
      </c>
      <c r="J21" s="255"/>
      <c r="K21" s="248" t="s">
        <v>308</v>
      </c>
      <c r="L21" s="251"/>
      <c r="M21" s="189"/>
      <c r="N21" s="249" t="s">
        <v>238</v>
      </c>
      <c r="O21" s="255"/>
      <c r="P21" s="248" t="s">
        <v>291</v>
      </c>
      <c r="Q21" s="255"/>
      <c r="R21" s="265" t="s">
        <v>256</v>
      </c>
      <c r="S21" s="255"/>
      <c r="T21" s="248" t="s">
        <v>430</v>
      </c>
      <c r="U21" s="251"/>
      <c r="V21" s="252"/>
      <c r="X21" s="189"/>
      <c r="Y21" s="189"/>
      <c r="Z21" s="189"/>
      <c r="AA21" s="189"/>
      <c r="AB21" s="189"/>
      <c r="AC21" s="189"/>
      <c r="AD21" s="189"/>
    </row>
    <row r="22">
      <c r="A22" s="189"/>
      <c r="B22" s="189"/>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c r="AD22" s="189"/>
    </row>
    <row r="23">
      <c r="A23" s="189"/>
      <c r="B23" s="189"/>
      <c r="C23" s="189"/>
      <c r="D23" s="189"/>
      <c r="E23" s="189"/>
      <c r="F23" s="189"/>
      <c r="G23" s="189"/>
      <c r="H23" s="189"/>
      <c r="I23" s="189"/>
      <c r="J23" s="189"/>
      <c r="K23" s="189"/>
      <c r="L23" s="189"/>
      <c r="M23" s="189"/>
      <c r="N23" s="189"/>
      <c r="O23" s="189"/>
      <c r="P23" s="189"/>
      <c r="Q23" s="189"/>
      <c r="R23" s="189"/>
      <c r="S23" s="189"/>
      <c r="T23" s="189"/>
      <c r="U23" s="189"/>
      <c r="V23" s="189"/>
      <c r="W23" s="189"/>
      <c r="X23" s="189"/>
      <c r="Y23" s="189"/>
      <c r="Z23" s="189"/>
      <c r="AA23" s="189"/>
      <c r="AB23" s="189"/>
      <c r="AC23" s="189"/>
      <c r="AD23" s="189"/>
    </row>
    <row r="24">
      <c r="A24" s="189"/>
      <c r="B24" s="189"/>
      <c r="C24" s="189"/>
      <c r="D24" s="189"/>
      <c r="E24" s="189"/>
      <c r="F24" s="189"/>
      <c r="G24" s="189"/>
      <c r="H24" s="189"/>
      <c r="I24" s="189"/>
      <c r="J24" s="189"/>
      <c r="K24" s="189"/>
      <c r="L24" s="189"/>
      <c r="M24" s="189"/>
      <c r="N24" s="189"/>
      <c r="O24" s="189"/>
      <c r="P24" s="189"/>
      <c r="Q24" s="189"/>
      <c r="R24" s="189"/>
      <c r="S24" s="189"/>
      <c r="T24" s="189"/>
      <c r="U24" s="189"/>
      <c r="V24" s="189"/>
      <c r="W24" s="189"/>
      <c r="X24" s="189"/>
      <c r="Y24" s="189"/>
      <c r="Z24" s="189"/>
      <c r="AA24" s="189"/>
      <c r="AB24" s="189"/>
      <c r="AC24" s="189"/>
      <c r="AD24" s="189"/>
    </row>
  </sheetData>
  <mergeCells count="85">
    <mergeCell ref="B2:AA2"/>
    <mergeCell ref="B3:AD3"/>
    <mergeCell ref="B5:E5"/>
    <mergeCell ref="G5:L5"/>
    <mergeCell ref="N5:S5"/>
    <mergeCell ref="T5:Y5"/>
    <mergeCell ref="B6:C6"/>
    <mergeCell ref="P6:S6"/>
    <mergeCell ref="I7:J7"/>
    <mergeCell ref="I9:J9"/>
    <mergeCell ref="K9:L9"/>
    <mergeCell ref="N9:O9"/>
    <mergeCell ref="P9:Q9"/>
    <mergeCell ref="R9:S9"/>
    <mergeCell ref="N11:S11"/>
    <mergeCell ref="N12:O12"/>
    <mergeCell ref="P12:S12"/>
    <mergeCell ref="I6:L6"/>
    <mergeCell ref="N6:O6"/>
    <mergeCell ref="T6:Y9"/>
    <mergeCell ref="K7:L7"/>
    <mergeCell ref="N7:O7"/>
    <mergeCell ref="P7:Q7"/>
    <mergeCell ref="R7:S7"/>
    <mergeCell ref="D6:E6"/>
    <mergeCell ref="G6:H6"/>
    <mergeCell ref="B7:C7"/>
    <mergeCell ref="D7:E7"/>
    <mergeCell ref="G7:H7"/>
    <mergeCell ref="B9:C9"/>
    <mergeCell ref="G9:H9"/>
    <mergeCell ref="D9:E9"/>
    <mergeCell ref="B11:E11"/>
    <mergeCell ref="G11:L11"/>
    <mergeCell ref="B12:C12"/>
    <mergeCell ref="D12:E12"/>
    <mergeCell ref="G12:H12"/>
    <mergeCell ref="I12:L12"/>
    <mergeCell ref="I19:J19"/>
    <mergeCell ref="K19:L19"/>
    <mergeCell ref="N19:O19"/>
    <mergeCell ref="P19:Q19"/>
    <mergeCell ref="R19:S19"/>
    <mergeCell ref="T19:U19"/>
    <mergeCell ref="V19:W19"/>
    <mergeCell ref="G19:H19"/>
    <mergeCell ref="G21:H21"/>
    <mergeCell ref="I21:J21"/>
    <mergeCell ref="K21:L21"/>
    <mergeCell ref="N21:O21"/>
    <mergeCell ref="P21:Q21"/>
    <mergeCell ref="R21:S21"/>
    <mergeCell ref="R13:S13"/>
    <mergeCell ref="T13:U13"/>
    <mergeCell ref="V13:W13"/>
    <mergeCell ref="AB14:AC14"/>
    <mergeCell ref="B13:C13"/>
    <mergeCell ref="D13:E13"/>
    <mergeCell ref="G13:H13"/>
    <mergeCell ref="I13:J13"/>
    <mergeCell ref="K13:L13"/>
    <mergeCell ref="N13:O13"/>
    <mergeCell ref="P13:Q13"/>
    <mergeCell ref="R15:S15"/>
    <mergeCell ref="T15:U15"/>
    <mergeCell ref="V15:W15"/>
    <mergeCell ref="AB15:AC15"/>
    <mergeCell ref="B15:C15"/>
    <mergeCell ref="D15:E15"/>
    <mergeCell ref="G15:H15"/>
    <mergeCell ref="I15:J15"/>
    <mergeCell ref="K15:L15"/>
    <mergeCell ref="N15:O15"/>
    <mergeCell ref="P15:Q15"/>
    <mergeCell ref="T18:U18"/>
    <mergeCell ref="V18:W18"/>
    <mergeCell ref="G17:L17"/>
    <mergeCell ref="N17:U17"/>
    <mergeCell ref="G18:H18"/>
    <mergeCell ref="I18:L18"/>
    <mergeCell ref="N18:O18"/>
    <mergeCell ref="P18:Q18"/>
    <mergeCell ref="R18:S18"/>
    <mergeCell ref="T21:U21"/>
    <mergeCell ref="V21:W21"/>
  </mergeCells>
  <conditionalFormatting sqref="C8 E8 H8 J8 L8:M9 N8:O8 P8:P9 R8:S8 AD8 A9:B9 F9:G9 K9 Q9 D10 C14 E14 H14 J14 L14:M15 O14 P14:Q15 R14:W14 A15:B15 F15:G15 K15 N15 H20:H21 I20:L20 N20:P21 Q20:W20 G21">
    <cfRule type="cellIs" dxfId="4" priority="1" operator="equal">
      <formula>"Dark"</formula>
    </cfRule>
  </conditionalFormatting>
  <conditionalFormatting sqref="C8 E8 H8 J8 L8:M9 N8:O8 P8:P9 R8:S8 AD8 A9:B9 F9:G9 K9 Q9 D10 C14 E14 H14 J14 L14:M15 O14 P14:Q15 R14:W14 A15:B15 F15:G15 K15 N15 H20:H21 I20:L20 N20:P21 Q20:W20 G21">
    <cfRule type="cellIs" dxfId="5" priority="2" operator="equal">
      <formula>"Wind"</formula>
    </cfRule>
  </conditionalFormatting>
  <conditionalFormatting sqref="C8 E8 H8 J8 L8:M9 N8:O8 P8:P9 R8:S8 AD8 A9:B9 F9:G9 K9 Q9 D10 C14 E14 H14 J14 L14:M15 O14 P14:Q15 R14:W14 A15:B15 F15:G15 K15 N15 H20:H21 I20:L20 N20:P21 Q20:W20 G21">
    <cfRule type="cellIs" dxfId="6" priority="3" operator="equal">
      <formula>"Earth"</formula>
    </cfRule>
  </conditionalFormatting>
  <drawing r:id="rId1"/>
  <tableParts count="4">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7"/>
    <col customWidth="1" min="2" max="2" width="22.57"/>
    <col customWidth="1" min="9" max="9" width="2.43"/>
  </cols>
  <sheetData>
    <row r="1">
      <c r="A1" s="266"/>
      <c r="B1" s="266"/>
      <c r="C1" s="266"/>
      <c r="D1" s="267"/>
      <c r="E1" s="267"/>
      <c r="F1" s="267"/>
      <c r="G1" s="267"/>
      <c r="H1" s="267"/>
      <c r="I1" s="267"/>
    </row>
    <row r="2">
      <c r="A2" s="268"/>
      <c r="B2" s="269" t="s">
        <v>1334</v>
      </c>
      <c r="C2" s="270" t="s">
        <v>1335</v>
      </c>
      <c r="D2" s="271"/>
      <c r="E2" s="271"/>
      <c r="F2" s="271"/>
      <c r="G2" s="271"/>
      <c r="H2" s="272"/>
      <c r="I2" s="273"/>
    </row>
    <row r="3">
      <c r="A3" s="274"/>
      <c r="B3" s="275" t="s">
        <v>1281</v>
      </c>
      <c r="C3" s="276" t="s">
        <v>1336</v>
      </c>
      <c r="H3" s="233"/>
      <c r="I3" s="277"/>
    </row>
    <row r="4">
      <c r="A4" s="278"/>
      <c r="B4" s="279" t="s">
        <v>1337</v>
      </c>
      <c r="C4" s="280" t="s">
        <v>1338</v>
      </c>
      <c r="H4" s="260"/>
      <c r="I4" s="281"/>
    </row>
    <row r="5">
      <c r="A5" s="274"/>
      <c r="B5" s="275" t="s">
        <v>1339</v>
      </c>
      <c r="C5" s="282" t="s">
        <v>1340</v>
      </c>
      <c r="D5" s="283"/>
      <c r="E5" s="283"/>
      <c r="F5" s="283"/>
      <c r="G5" s="283"/>
      <c r="H5" s="284"/>
      <c r="I5" s="285"/>
    </row>
    <row r="6">
      <c r="A6" s="278"/>
      <c r="B6" s="279" t="s">
        <v>1341</v>
      </c>
      <c r="C6" s="286" t="s">
        <v>1342</v>
      </c>
      <c r="D6" s="287"/>
      <c r="E6" s="287"/>
      <c r="F6" s="287"/>
      <c r="G6" s="287"/>
      <c r="H6" s="288"/>
      <c r="I6" s="289"/>
    </row>
    <row r="7">
      <c r="A7" s="274"/>
      <c r="B7" s="275" t="s">
        <v>1343</v>
      </c>
      <c r="C7" s="282" t="s">
        <v>1344</v>
      </c>
      <c r="D7" s="283"/>
      <c r="E7" s="283"/>
      <c r="F7" s="283"/>
      <c r="G7" s="283"/>
      <c r="H7" s="284"/>
      <c r="I7" s="285"/>
    </row>
    <row r="8">
      <c r="A8" s="278"/>
      <c r="B8" s="279" t="s">
        <v>1345</v>
      </c>
      <c r="C8" s="290" t="s">
        <v>1346</v>
      </c>
      <c r="D8" s="287"/>
      <c r="E8" s="287"/>
      <c r="F8" s="287"/>
      <c r="G8" s="287"/>
      <c r="H8" s="288"/>
      <c r="I8" s="289"/>
    </row>
    <row r="9">
      <c r="A9" s="274"/>
      <c r="B9" s="275" t="s">
        <v>1347</v>
      </c>
      <c r="C9" s="282" t="s">
        <v>1348</v>
      </c>
      <c r="D9" s="283"/>
      <c r="E9" s="283"/>
      <c r="F9" s="283"/>
      <c r="G9" s="283"/>
      <c r="H9" s="284"/>
      <c r="I9" s="285"/>
    </row>
    <row r="10">
      <c r="A10" s="278"/>
      <c r="B10" s="279" t="s">
        <v>1349</v>
      </c>
      <c r="C10" s="290" t="s">
        <v>1350</v>
      </c>
      <c r="D10" s="287"/>
      <c r="E10" s="287"/>
      <c r="F10" s="287"/>
      <c r="G10" s="287"/>
      <c r="H10" s="288"/>
      <c r="I10" s="289"/>
    </row>
    <row r="11">
      <c r="A11" s="274"/>
      <c r="B11" s="291" t="s">
        <v>1351</v>
      </c>
      <c r="C11" s="292" t="s">
        <v>1352</v>
      </c>
      <c r="D11" s="293"/>
      <c r="E11" s="293"/>
      <c r="F11" s="293"/>
      <c r="G11" s="293"/>
      <c r="H11" s="294"/>
      <c r="I11" s="285"/>
    </row>
    <row r="12">
      <c r="A12" s="289"/>
      <c r="B12" s="289"/>
      <c r="C12" s="289"/>
      <c r="D12" s="289"/>
      <c r="E12" s="289"/>
      <c r="F12" s="289"/>
      <c r="G12" s="289"/>
      <c r="H12" s="289"/>
      <c r="I12" s="289"/>
    </row>
    <row r="13">
      <c r="A13" s="295"/>
      <c r="B13" s="295" t="s">
        <v>1353</v>
      </c>
      <c r="C13" s="285"/>
      <c r="D13" s="285"/>
      <c r="E13" s="285"/>
      <c r="F13" s="285"/>
      <c r="G13" s="285"/>
      <c r="H13" s="285"/>
      <c r="I13" s="285"/>
    </row>
    <row r="14">
      <c r="A14" s="296"/>
      <c r="B14" s="297" t="s">
        <v>1354</v>
      </c>
      <c r="C14" s="289"/>
      <c r="D14" s="289"/>
      <c r="E14" s="289"/>
      <c r="F14" s="289"/>
      <c r="G14" s="289"/>
      <c r="H14" s="289"/>
      <c r="I14" s="289"/>
    </row>
    <row r="15">
      <c r="A15" s="285"/>
      <c r="B15" s="285"/>
      <c r="C15" s="285"/>
      <c r="D15" s="285"/>
      <c r="E15" s="285"/>
      <c r="F15" s="285"/>
      <c r="G15" s="285"/>
      <c r="H15" s="285"/>
      <c r="I15" s="285"/>
    </row>
    <row r="16">
      <c r="A16" s="298"/>
      <c r="B16" s="298" t="s">
        <v>1355</v>
      </c>
      <c r="C16" s="289"/>
      <c r="D16" s="289"/>
      <c r="E16" s="289"/>
      <c r="F16" s="289"/>
      <c r="G16" s="289"/>
      <c r="H16" s="289"/>
      <c r="I16" s="289"/>
    </row>
    <row r="17">
      <c r="A17" s="299"/>
      <c r="B17" s="300" t="s">
        <v>1356</v>
      </c>
      <c r="C17" s="285"/>
      <c r="D17" s="285"/>
      <c r="E17" s="285"/>
      <c r="F17" s="285"/>
      <c r="G17" s="285"/>
      <c r="H17" s="285"/>
      <c r="I17" s="285"/>
    </row>
    <row r="18">
      <c r="A18" s="301"/>
      <c r="B18" s="302" t="s">
        <v>1357</v>
      </c>
      <c r="C18" s="289"/>
      <c r="D18" s="289"/>
      <c r="E18" s="289"/>
      <c r="F18" s="289"/>
      <c r="G18" s="289"/>
      <c r="H18" s="289"/>
      <c r="I18" s="289"/>
    </row>
    <row r="19">
      <c r="A19" s="303"/>
      <c r="B19" s="303" t="s">
        <v>1358</v>
      </c>
      <c r="C19" s="285"/>
      <c r="D19" s="285"/>
      <c r="E19" s="285"/>
      <c r="F19" s="285"/>
      <c r="G19" s="285"/>
      <c r="H19" s="285"/>
      <c r="I19" s="285"/>
    </row>
  </sheetData>
  <mergeCells count="2">
    <mergeCell ref="C3:H3"/>
    <mergeCell ref="C4:H4"/>
  </mergeCells>
  <hyperlinks>
    <hyperlink r:id="rId1" location="gid=998747486" ref="B14"/>
    <hyperlink r:id="rId2" location="down" ref="B17"/>
    <hyperlink r:id="rId3" ref="B18"/>
  </hyperlinks>
  <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4.71"/>
    <col customWidth="1" min="2" max="2" width="10.86"/>
    <col customWidth="1" min="3" max="3" width="41.71"/>
    <col customWidth="1" min="6" max="6" width="45.57"/>
    <col customWidth="1" min="7" max="12" width="10.0"/>
    <col customWidth="1" min="13" max="13" width="0.43"/>
    <col customWidth="1" min="14" max="16" width="10.0"/>
    <col customWidth="1" min="17" max="19" width="10.43"/>
    <col customWidth="1" min="20" max="20" width="0.43"/>
    <col customWidth="1" min="21" max="25" width="10.0"/>
  </cols>
  <sheetData>
    <row r="1">
      <c r="A1" s="304" t="s">
        <v>1359</v>
      </c>
      <c r="B1" s="34" t="s">
        <v>43</v>
      </c>
      <c r="C1" s="304" t="s">
        <v>166</v>
      </c>
      <c r="D1" s="34" t="s">
        <v>168</v>
      </c>
      <c r="E1" s="34" t="s">
        <v>1360</v>
      </c>
      <c r="F1" s="34" t="s">
        <v>1361</v>
      </c>
      <c r="G1" s="124" t="s">
        <v>1362</v>
      </c>
      <c r="H1" s="124" t="s">
        <v>1363</v>
      </c>
      <c r="I1" s="124" t="s">
        <v>1364</v>
      </c>
      <c r="J1" s="124" t="s">
        <v>1365</v>
      </c>
      <c r="K1" s="124" t="s">
        <v>1366</v>
      </c>
      <c r="L1" s="124" t="s">
        <v>1367</v>
      </c>
      <c r="M1" s="305"/>
      <c r="N1" s="124" t="s">
        <v>1368</v>
      </c>
      <c r="O1" s="124" t="s">
        <v>1369</v>
      </c>
      <c r="P1" s="124" t="s">
        <v>1370</v>
      </c>
      <c r="Q1" s="124" t="s">
        <v>1371</v>
      </c>
      <c r="R1" s="124" t="s">
        <v>1372</v>
      </c>
      <c r="S1" s="124" t="s">
        <v>1373</v>
      </c>
      <c r="T1" s="305"/>
      <c r="U1" s="124" t="s">
        <v>1374</v>
      </c>
      <c r="V1" s="124" t="s">
        <v>1375</v>
      </c>
      <c r="W1" s="124" t="s">
        <v>1376</v>
      </c>
      <c r="X1" s="124" t="s">
        <v>1377</v>
      </c>
      <c r="Y1" s="124" t="s">
        <v>1378</v>
      </c>
    </row>
    <row r="2" ht="54.0" customHeight="1">
      <c r="A2" s="306">
        <v>1.110110001E9</v>
      </c>
      <c r="B2" s="307" t="str">
        <f>image("https://i.imgur.com/EHTK7MN.png")</f>
        <v/>
      </c>
      <c r="C2" s="307" t="s">
        <v>1379</v>
      </c>
      <c r="D2" s="36" t="s">
        <v>1380</v>
      </c>
      <c r="E2" s="36" t="s">
        <v>267</v>
      </c>
      <c r="F2" s="36" t="s">
        <v>1381</v>
      </c>
      <c r="G2" s="37"/>
      <c r="H2" s="37"/>
      <c r="I2" s="41">
        <v>229.0</v>
      </c>
      <c r="J2" s="41">
        <v>279.0</v>
      </c>
      <c r="K2" s="41">
        <v>349.0</v>
      </c>
      <c r="L2" s="41">
        <v>419.0</v>
      </c>
      <c r="M2" s="308"/>
      <c r="N2" s="37"/>
      <c r="O2" s="37"/>
      <c r="P2" s="37"/>
      <c r="Q2" s="37"/>
      <c r="R2" s="37"/>
      <c r="S2" s="37"/>
      <c r="T2" s="308"/>
      <c r="U2" s="37"/>
      <c r="V2" s="37"/>
      <c r="W2" s="37"/>
      <c r="X2" s="37"/>
      <c r="Y2" s="37"/>
    </row>
    <row r="3" ht="54.0" customHeight="1">
      <c r="A3" s="306">
        <v>1.110110002E9</v>
      </c>
      <c r="B3" s="307" t="str">
        <f>image("https://i.imgur.com/4U3rsGl.png")</f>
        <v/>
      </c>
      <c r="C3" s="307" t="s">
        <v>1382</v>
      </c>
      <c r="D3" s="36" t="s">
        <v>1380</v>
      </c>
      <c r="E3" s="36" t="s">
        <v>267</v>
      </c>
      <c r="F3" s="40" t="s">
        <v>1383</v>
      </c>
      <c r="G3" s="37"/>
      <c r="H3" s="37"/>
      <c r="I3" s="41">
        <v>229.0</v>
      </c>
      <c r="J3" s="41">
        <v>279.0</v>
      </c>
      <c r="K3" s="41">
        <v>349.0</v>
      </c>
      <c r="L3" s="41">
        <v>419.0</v>
      </c>
      <c r="M3" s="308"/>
      <c r="N3" s="37"/>
      <c r="O3" s="37"/>
      <c r="P3" s="37"/>
      <c r="Q3" s="37"/>
      <c r="R3" s="37"/>
      <c r="S3" s="37"/>
      <c r="T3" s="308"/>
      <c r="U3" s="37"/>
      <c r="V3" s="37"/>
      <c r="W3" s="37"/>
      <c r="X3" s="37"/>
      <c r="Y3" s="37"/>
    </row>
    <row r="4" ht="54.0" customHeight="1">
      <c r="A4" s="306">
        <v>1.110110003E9</v>
      </c>
      <c r="B4" s="307" t="str">
        <f>image("https://i.imgur.com/vhbzxj5.png")</f>
        <v/>
      </c>
      <c r="C4" s="307" t="s">
        <v>1384</v>
      </c>
      <c r="D4" s="36" t="s">
        <v>1380</v>
      </c>
      <c r="E4" s="36" t="s">
        <v>267</v>
      </c>
      <c r="F4" s="40" t="s">
        <v>1385</v>
      </c>
      <c r="G4" s="37"/>
      <c r="H4" s="37"/>
      <c r="I4" s="41">
        <v>229.0</v>
      </c>
      <c r="J4" s="41">
        <v>279.0</v>
      </c>
      <c r="K4" s="41">
        <v>349.0</v>
      </c>
      <c r="L4" s="41">
        <v>419.0</v>
      </c>
      <c r="M4" s="308"/>
      <c r="N4" s="37"/>
      <c r="O4" s="37"/>
      <c r="P4" s="37"/>
      <c r="Q4" s="37"/>
      <c r="R4" s="37"/>
      <c r="S4" s="37"/>
      <c r="T4" s="308"/>
      <c r="U4" s="37"/>
      <c r="V4" s="37"/>
      <c r="W4" s="37"/>
      <c r="X4" s="37"/>
      <c r="Y4" s="37"/>
    </row>
    <row r="5" ht="54.0" customHeight="1">
      <c r="A5" s="306">
        <v>1.110110004E9</v>
      </c>
      <c r="B5" s="307" t="str">
        <f>image("https://i.imgur.com/QwCzfUt.png")</f>
        <v/>
      </c>
      <c r="C5" s="307" t="s">
        <v>1386</v>
      </c>
      <c r="D5" s="36" t="s">
        <v>1380</v>
      </c>
      <c r="E5" s="36" t="s">
        <v>267</v>
      </c>
      <c r="F5" s="40" t="s">
        <v>1387</v>
      </c>
      <c r="G5" s="37"/>
      <c r="H5" s="37"/>
      <c r="I5" s="41">
        <v>229.0</v>
      </c>
      <c r="J5" s="41">
        <v>279.0</v>
      </c>
      <c r="K5" s="41">
        <v>349.0</v>
      </c>
      <c r="L5" s="41">
        <v>419.0</v>
      </c>
      <c r="M5" s="308"/>
      <c r="N5" s="37"/>
      <c r="O5" s="37"/>
      <c r="P5" s="37"/>
      <c r="Q5" s="37"/>
      <c r="R5" s="37"/>
      <c r="S5" s="37"/>
      <c r="T5" s="308"/>
      <c r="U5" s="37"/>
      <c r="V5" s="37"/>
      <c r="W5" s="37"/>
      <c r="X5" s="37"/>
      <c r="Y5" s="37"/>
    </row>
    <row r="6" ht="54.0" customHeight="1">
      <c r="A6" s="306">
        <v>1.110110005E9</v>
      </c>
      <c r="B6" s="307" t="str">
        <f>image("https://i.imgur.com/j1ys3O5.png")</f>
        <v/>
      </c>
      <c r="C6" s="307" t="s">
        <v>1388</v>
      </c>
      <c r="D6" s="36" t="s">
        <v>1380</v>
      </c>
      <c r="E6" s="36" t="s">
        <v>267</v>
      </c>
      <c r="F6" s="40" t="s">
        <v>1389</v>
      </c>
      <c r="G6" s="37"/>
      <c r="H6" s="37"/>
      <c r="I6" s="41">
        <v>229.0</v>
      </c>
      <c r="J6" s="41">
        <v>279.0</v>
      </c>
      <c r="K6" s="41">
        <v>349.0</v>
      </c>
      <c r="L6" s="41">
        <v>419.0</v>
      </c>
      <c r="M6" s="308"/>
      <c r="N6" s="37"/>
      <c r="O6" s="37"/>
      <c r="P6" s="37"/>
      <c r="Q6" s="37"/>
      <c r="R6" s="37"/>
      <c r="S6" s="37"/>
      <c r="T6" s="308"/>
      <c r="U6" s="37"/>
      <c r="V6" s="37"/>
      <c r="W6" s="37"/>
      <c r="X6" s="37"/>
      <c r="Y6" s="37"/>
    </row>
    <row r="7" ht="54.0" customHeight="1">
      <c r="A7" s="306">
        <v>1.110110006E9</v>
      </c>
      <c r="B7" s="307" t="str">
        <f>image("https://i.imgur.com/mFLqJUd.png")</f>
        <v/>
      </c>
      <c r="C7" s="307" t="s">
        <v>1390</v>
      </c>
      <c r="D7" s="36" t="s">
        <v>1380</v>
      </c>
      <c r="E7" s="36" t="s">
        <v>267</v>
      </c>
      <c r="F7" s="40" t="s">
        <v>1391</v>
      </c>
      <c r="G7" s="37"/>
      <c r="H7" s="37"/>
      <c r="I7" s="41">
        <v>229.0</v>
      </c>
      <c r="J7" s="41">
        <v>279.0</v>
      </c>
      <c r="K7" s="41">
        <v>349.0</v>
      </c>
      <c r="L7" s="41">
        <v>419.0</v>
      </c>
      <c r="M7" s="308"/>
      <c r="N7" s="37"/>
      <c r="O7" s="37"/>
      <c r="P7" s="37"/>
      <c r="Q7" s="37"/>
      <c r="R7" s="37"/>
      <c r="S7" s="37"/>
      <c r="T7" s="308"/>
      <c r="U7" s="37"/>
      <c r="V7" s="37"/>
      <c r="W7" s="37"/>
      <c r="X7" s="37"/>
      <c r="Y7" s="37"/>
    </row>
    <row r="8" ht="54.0" customHeight="1">
      <c r="A8" s="306">
        <v>1.110110007E9</v>
      </c>
      <c r="B8" s="307" t="str">
        <f>image("https://i.imgur.com/nNSAasX.png")</f>
        <v/>
      </c>
      <c r="C8" s="307" t="s">
        <v>1392</v>
      </c>
      <c r="D8" s="36" t="s">
        <v>1380</v>
      </c>
      <c r="E8" s="36" t="s">
        <v>267</v>
      </c>
      <c r="F8" s="40" t="s">
        <v>1393</v>
      </c>
      <c r="G8" s="37"/>
      <c r="H8" s="37"/>
      <c r="I8" s="41">
        <v>229.0</v>
      </c>
      <c r="J8" s="41">
        <v>279.0</v>
      </c>
      <c r="K8" s="41">
        <v>349.0</v>
      </c>
      <c r="L8" s="41">
        <v>419.0</v>
      </c>
      <c r="M8" s="308"/>
      <c r="N8" s="37"/>
      <c r="O8" s="37"/>
      <c r="P8" s="37"/>
      <c r="Q8" s="37"/>
      <c r="R8" s="37"/>
      <c r="S8" s="37"/>
      <c r="T8" s="308"/>
      <c r="U8" s="37"/>
      <c r="V8" s="37"/>
      <c r="W8" s="37"/>
      <c r="X8" s="37"/>
      <c r="Y8" s="37"/>
    </row>
    <row r="9" ht="54.0" customHeight="1">
      <c r="A9" s="306">
        <v>1.110110008E9</v>
      </c>
      <c r="B9" s="307" t="str">
        <f>image("https://i.imgur.com/GzjFDuk.png")</f>
        <v/>
      </c>
      <c r="C9" s="307" t="s">
        <v>1394</v>
      </c>
      <c r="D9" s="36" t="s">
        <v>1380</v>
      </c>
      <c r="E9" s="36" t="s">
        <v>267</v>
      </c>
      <c r="F9" s="40"/>
      <c r="G9" s="37"/>
      <c r="H9" s="41">
        <v>172.0</v>
      </c>
      <c r="I9" s="41">
        <v>212.0</v>
      </c>
      <c r="J9" s="41">
        <v>252.0</v>
      </c>
      <c r="K9" s="41">
        <v>292.0</v>
      </c>
      <c r="L9" s="41"/>
      <c r="M9" s="309"/>
      <c r="N9" s="37"/>
      <c r="O9" s="37"/>
      <c r="P9" s="37"/>
      <c r="Q9" s="37"/>
      <c r="R9" s="37"/>
      <c r="S9" s="37"/>
      <c r="T9" s="308"/>
      <c r="U9" s="37"/>
      <c r="V9" s="37"/>
      <c r="W9" s="37"/>
      <c r="X9" s="37"/>
      <c r="Y9" s="37"/>
    </row>
    <row r="10" ht="54.0" customHeight="1">
      <c r="A10" s="306">
        <v>1.110110009E9</v>
      </c>
      <c r="B10" s="307" t="str">
        <f>image("https://i.imgur.com/sS3ZMNe.png")</f>
        <v/>
      </c>
      <c r="C10" s="307" t="s">
        <v>1395</v>
      </c>
      <c r="D10" s="36" t="s">
        <v>1380</v>
      </c>
      <c r="E10" s="36" t="s">
        <v>267</v>
      </c>
      <c r="F10" s="40"/>
      <c r="G10" s="41">
        <v>120.0</v>
      </c>
      <c r="H10" s="41">
        <v>160.0</v>
      </c>
      <c r="I10" s="41">
        <v>190.0</v>
      </c>
      <c r="J10" s="41"/>
      <c r="K10" s="37"/>
      <c r="L10" s="37"/>
      <c r="M10" s="308"/>
      <c r="N10" s="37"/>
      <c r="O10" s="37"/>
      <c r="P10" s="37"/>
      <c r="Q10" s="37"/>
      <c r="R10" s="37"/>
      <c r="S10" s="37"/>
      <c r="T10" s="308"/>
      <c r="U10" s="37"/>
      <c r="V10" s="37"/>
      <c r="W10" s="37"/>
      <c r="X10" s="37"/>
      <c r="Y10" s="37"/>
    </row>
    <row r="11" ht="54.0" customHeight="1">
      <c r="A11" s="310">
        <v>1.11011001E9</v>
      </c>
      <c r="B11" s="307" t="str">
        <f>image("https://i.imgur.com/KxCZQ34.png")</f>
        <v/>
      </c>
      <c r="C11" s="36" t="s">
        <v>1396</v>
      </c>
      <c r="D11" s="36" t="s">
        <v>1380</v>
      </c>
      <c r="E11" s="36" t="s">
        <v>267</v>
      </c>
      <c r="F11" s="36" t="s">
        <v>1397</v>
      </c>
      <c r="G11" s="41"/>
      <c r="H11" s="41">
        <v>172.0</v>
      </c>
      <c r="I11" s="41">
        <v>212.0</v>
      </c>
      <c r="J11" s="41">
        <v>252.0</v>
      </c>
      <c r="K11" s="41">
        <v>292.0</v>
      </c>
      <c r="L11" s="41" t="s">
        <v>225</v>
      </c>
      <c r="M11" s="308"/>
      <c r="N11" s="37"/>
      <c r="O11" s="37"/>
      <c r="P11" s="37"/>
      <c r="Q11" s="37"/>
      <c r="R11" s="37"/>
      <c r="S11" s="37"/>
      <c r="T11" s="308"/>
      <c r="U11" s="37"/>
      <c r="V11" s="37"/>
      <c r="W11" s="37"/>
      <c r="X11" s="37"/>
      <c r="Y11" s="37"/>
    </row>
    <row r="12" ht="54.0" customHeight="1">
      <c r="A12" s="306">
        <v>1.110120001E9</v>
      </c>
      <c r="B12" s="307" t="str">
        <f>image("https://i.imgur.com/ARikiDR.png")</f>
        <v/>
      </c>
      <c r="C12" s="307" t="s">
        <v>1398</v>
      </c>
      <c r="D12" s="36" t="s">
        <v>1380</v>
      </c>
      <c r="E12" s="36" t="s">
        <v>230</v>
      </c>
      <c r="F12" s="36" t="s">
        <v>1381</v>
      </c>
      <c r="G12" s="37"/>
      <c r="H12" s="37"/>
      <c r="I12" s="41">
        <v>229.0</v>
      </c>
      <c r="J12" s="41">
        <v>279.0</v>
      </c>
      <c r="K12" s="41">
        <v>349.0</v>
      </c>
      <c r="L12" s="41">
        <v>419.0</v>
      </c>
      <c r="M12" s="308"/>
      <c r="N12" s="37"/>
      <c r="O12" s="37"/>
      <c r="P12" s="37"/>
      <c r="Q12" s="37"/>
      <c r="R12" s="37"/>
      <c r="S12" s="37"/>
      <c r="T12" s="308"/>
      <c r="U12" s="37"/>
      <c r="V12" s="37"/>
      <c r="W12" s="37"/>
      <c r="X12" s="37"/>
      <c r="Y12" s="37"/>
    </row>
    <row r="13" ht="54.0" customHeight="1">
      <c r="A13" s="306">
        <v>1.110120002E9</v>
      </c>
      <c r="B13" s="307" t="str">
        <f>image("https://i.imgur.com/hJIXKul.png")</f>
        <v/>
      </c>
      <c r="C13" s="307" t="s">
        <v>1399</v>
      </c>
      <c r="D13" s="36" t="s">
        <v>1380</v>
      </c>
      <c r="E13" s="36" t="s">
        <v>230</v>
      </c>
      <c r="F13" s="40" t="s">
        <v>1383</v>
      </c>
      <c r="G13" s="37"/>
      <c r="H13" s="37"/>
      <c r="I13" s="41">
        <v>229.0</v>
      </c>
      <c r="J13" s="41">
        <v>279.0</v>
      </c>
      <c r="K13" s="41">
        <v>349.0</v>
      </c>
      <c r="L13" s="41">
        <v>419.0</v>
      </c>
      <c r="M13" s="308"/>
      <c r="N13" s="37"/>
      <c r="O13" s="37"/>
      <c r="P13" s="37"/>
      <c r="Q13" s="37"/>
      <c r="R13" s="37"/>
      <c r="S13" s="37"/>
      <c r="T13" s="308"/>
      <c r="U13" s="37"/>
      <c r="V13" s="37"/>
      <c r="W13" s="37"/>
      <c r="X13" s="37"/>
      <c r="Y13" s="37"/>
    </row>
    <row r="14" ht="54.0" customHeight="1">
      <c r="A14" s="306">
        <v>1.110120003E9</v>
      </c>
      <c r="B14" s="307" t="str">
        <f>image("https://i.imgur.com/rr5PiaI.png")</f>
        <v/>
      </c>
      <c r="C14" s="307" t="s">
        <v>1400</v>
      </c>
      <c r="D14" s="36" t="s">
        <v>1380</v>
      </c>
      <c r="E14" s="36" t="s">
        <v>230</v>
      </c>
      <c r="F14" s="40" t="s">
        <v>1385</v>
      </c>
      <c r="G14" s="37"/>
      <c r="H14" s="37"/>
      <c r="I14" s="41">
        <v>229.0</v>
      </c>
      <c r="J14" s="41">
        <v>279.0</v>
      </c>
      <c r="K14" s="41">
        <v>349.0</v>
      </c>
      <c r="L14" s="41">
        <v>419.0</v>
      </c>
      <c r="M14" s="308"/>
      <c r="N14" s="37"/>
      <c r="O14" s="37"/>
      <c r="P14" s="37"/>
      <c r="Q14" s="37"/>
      <c r="R14" s="37"/>
      <c r="S14" s="37"/>
      <c r="T14" s="308"/>
      <c r="U14" s="37"/>
      <c r="V14" s="37"/>
      <c r="W14" s="37"/>
      <c r="X14" s="37"/>
      <c r="Y14" s="37"/>
    </row>
    <row r="15" ht="54.0" customHeight="1">
      <c r="A15" s="306">
        <v>1.110120004E9</v>
      </c>
      <c r="B15" s="307" t="str">
        <f>image("https://i.imgur.com/r20UkSV.png")</f>
        <v/>
      </c>
      <c r="C15" s="307" t="s">
        <v>1401</v>
      </c>
      <c r="D15" s="36" t="s">
        <v>1380</v>
      </c>
      <c r="E15" s="36" t="s">
        <v>230</v>
      </c>
      <c r="F15" s="40" t="s">
        <v>1387</v>
      </c>
      <c r="G15" s="37"/>
      <c r="H15" s="37"/>
      <c r="I15" s="41">
        <v>229.0</v>
      </c>
      <c r="J15" s="41">
        <v>279.0</v>
      </c>
      <c r="K15" s="41">
        <v>349.0</v>
      </c>
      <c r="L15" s="41">
        <v>419.0</v>
      </c>
      <c r="M15" s="308"/>
      <c r="N15" s="37"/>
      <c r="O15" s="37"/>
      <c r="P15" s="37"/>
      <c r="Q15" s="37"/>
      <c r="R15" s="37"/>
      <c r="S15" s="37"/>
      <c r="T15" s="308"/>
      <c r="U15" s="37"/>
      <c r="V15" s="37"/>
      <c r="W15" s="37"/>
      <c r="X15" s="37"/>
      <c r="Y15" s="37"/>
    </row>
    <row r="16" ht="54.0" customHeight="1">
      <c r="A16" s="306">
        <v>1.110120005E9</v>
      </c>
      <c r="B16" s="307" t="str">
        <f>image("https://i.imgur.com/u2SbsRf.png")</f>
        <v/>
      </c>
      <c r="C16" s="307" t="s">
        <v>1402</v>
      </c>
      <c r="D16" s="36" t="s">
        <v>1380</v>
      </c>
      <c r="E16" s="36" t="s">
        <v>230</v>
      </c>
      <c r="F16" s="40" t="s">
        <v>1389</v>
      </c>
      <c r="G16" s="37"/>
      <c r="H16" s="37"/>
      <c r="I16" s="41">
        <v>229.0</v>
      </c>
      <c r="J16" s="41">
        <v>279.0</v>
      </c>
      <c r="K16" s="41">
        <v>349.0</v>
      </c>
      <c r="L16" s="41">
        <v>419.0</v>
      </c>
      <c r="M16" s="308"/>
      <c r="N16" s="37"/>
      <c r="O16" s="37"/>
      <c r="P16" s="37"/>
      <c r="Q16" s="37"/>
      <c r="R16" s="37"/>
      <c r="S16" s="37"/>
      <c r="T16" s="308"/>
      <c r="U16" s="37"/>
      <c r="V16" s="37"/>
      <c r="W16" s="37"/>
      <c r="X16" s="37"/>
      <c r="Y16" s="37"/>
    </row>
    <row r="17" ht="54.0" customHeight="1">
      <c r="A17" s="306">
        <v>1.110120006E9</v>
      </c>
      <c r="B17" s="307" t="str">
        <f>image("https://i.imgur.com/DVR1bVn.png")</f>
        <v/>
      </c>
      <c r="C17" s="307" t="s">
        <v>1403</v>
      </c>
      <c r="D17" s="36" t="s">
        <v>1380</v>
      </c>
      <c r="E17" s="36" t="s">
        <v>230</v>
      </c>
      <c r="F17" s="40" t="s">
        <v>1391</v>
      </c>
      <c r="G17" s="37"/>
      <c r="H17" s="37"/>
      <c r="I17" s="41">
        <v>229.0</v>
      </c>
      <c r="J17" s="41">
        <v>279.0</v>
      </c>
      <c r="K17" s="41">
        <v>349.0</v>
      </c>
      <c r="L17" s="41">
        <v>419.0</v>
      </c>
      <c r="M17" s="308"/>
      <c r="N17" s="37"/>
      <c r="O17" s="37"/>
      <c r="P17" s="37"/>
      <c r="Q17" s="37"/>
      <c r="R17" s="37"/>
      <c r="S17" s="37"/>
      <c r="T17" s="308"/>
      <c r="U17" s="37"/>
      <c r="V17" s="37"/>
      <c r="W17" s="37"/>
      <c r="X17" s="37"/>
      <c r="Y17" s="37"/>
    </row>
    <row r="18" ht="54.0" customHeight="1">
      <c r="A18" s="306">
        <v>1.110120007E9</v>
      </c>
      <c r="B18" s="307" t="str">
        <f>image("https://i.imgur.com/nHD6H5i.png")</f>
        <v/>
      </c>
      <c r="C18" s="307" t="s">
        <v>1404</v>
      </c>
      <c r="D18" s="36" t="s">
        <v>1380</v>
      </c>
      <c r="E18" s="36" t="s">
        <v>230</v>
      </c>
      <c r="F18" s="40" t="s">
        <v>1393</v>
      </c>
      <c r="G18" s="37"/>
      <c r="H18" s="37"/>
      <c r="I18" s="41">
        <v>229.0</v>
      </c>
      <c r="J18" s="41">
        <v>279.0</v>
      </c>
      <c r="K18" s="41">
        <v>349.0</v>
      </c>
      <c r="L18" s="41">
        <v>419.0</v>
      </c>
      <c r="M18" s="308"/>
      <c r="N18" s="37"/>
      <c r="O18" s="37"/>
      <c r="P18" s="37"/>
      <c r="Q18" s="37"/>
      <c r="R18" s="37"/>
      <c r="S18" s="37"/>
      <c r="T18" s="308"/>
      <c r="U18" s="37"/>
      <c r="V18" s="37"/>
      <c r="W18" s="37"/>
      <c r="X18" s="37"/>
      <c r="Y18" s="37"/>
    </row>
    <row r="19" ht="54.0" customHeight="1">
      <c r="A19" s="306">
        <v>1.110120008E9</v>
      </c>
      <c r="B19" s="307" t="str">
        <f>image("https://i.imgur.com/ATso0Oh.png
")</f>
        <v/>
      </c>
      <c r="C19" s="307" t="s">
        <v>1405</v>
      </c>
      <c r="D19" s="36" t="s">
        <v>1380</v>
      </c>
      <c r="E19" s="36" t="s">
        <v>230</v>
      </c>
      <c r="F19" s="40"/>
      <c r="G19" s="37"/>
      <c r="H19" s="41">
        <v>172.0</v>
      </c>
      <c r="I19" s="41">
        <v>212.0</v>
      </c>
      <c r="J19" s="41">
        <v>252.0</v>
      </c>
      <c r="K19" s="41">
        <v>292.0</v>
      </c>
      <c r="L19" s="41"/>
      <c r="M19" s="309"/>
      <c r="N19" s="37"/>
      <c r="O19" s="37"/>
      <c r="P19" s="37"/>
      <c r="Q19" s="37"/>
      <c r="R19" s="37"/>
      <c r="S19" s="37"/>
      <c r="T19" s="308"/>
      <c r="U19" s="37"/>
      <c r="V19" s="37"/>
      <c r="W19" s="37"/>
      <c r="X19" s="37"/>
      <c r="Y19" s="37"/>
    </row>
    <row r="20" ht="54.0" customHeight="1">
      <c r="A20" s="306">
        <v>1.110120009E9</v>
      </c>
      <c r="B20" s="307" t="str">
        <f>image("https://i.imgur.com/6nSV0ad.png")</f>
        <v/>
      </c>
      <c r="C20" s="307" t="s">
        <v>1406</v>
      </c>
      <c r="D20" s="36" t="s">
        <v>1380</v>
      </c>
      <c r="E20" s="36" t="s">
        <v>230</v>
      </c>
      <c r="F20" s="40"/>
      <c r="G20" s="41">
        <v>120.0</v>
      </c>
      <c r="H20" s="41">
        <v>160.0</v>
      </c>
      <c r="I20" s="41">
        <v>190.0</v>
      </c>
      <c r="J20" s="41"/>
      <c r="K20" s="37"/>
      <c r="L20" s="37"/>
      <c r="M20" s="308"/>
      <c r="N20" s="37"/>
      <c r="O20" s="37"/>
      <c r="P20" s="37"/>
      <c r="Q20" s="37"/>
      <c r="R20" s="37"/>
      <c r="S20" s="37"/>
      <c r="T20" s="308"/>
      <c r="U20" s="37"/>
      <c r="V20" s="37"/>
      <c r="W20" s="37"/>
      <c r="X20" s="37"/>
      <c r="Y20" s="37"/>
    </row>
    <row r="21" ht="54.0" customHeight="1">
      <c r="A21" s="306">
        <v>1.110120025E9</v>
      </c>
      <c r="B21" s="307" t="str">
        <f>image("https://i.imgur.com/FRlhMaT.png")</f>
        <v/>
      </c>
      <c r="C21" s="307" t="s">
        <v>1407</v>
      </c>
      <c r="D21" s="36" t="s">
        <v>1380</v>
      </c>
      <c r="E21" s="36" t="s">
        <v>230</v>
      </c>
      <c r="F21" s="36" t="s">
        <v>1408</v>
      </c>
      <c r="G21" s="37"/>
      <c r="H21" s="41">
        <v>172.0</v>
      </c>
      <c r="I21" s="41">
        <v>212.0</v>
      </c>
      <c r="J21" s="41">
        <v>252.0</v>
      </c>
      <c r="K21" s="41">
        <v>292.0</v>
      </c>
      <c r="L21" s="41"/>
      <c r="M21" s="308"/>
      <c r="N21" s="37"/>
      <c r="O21" s="37"/>
      <c r="P21" s="37"/>
      <c r="Q21" s="37"/>
      <c r="R21" s="37"/>
      <c r="S21" s="37"/>
      <c r="T21" s="308"/>
      <c r="U21" s="37"/>
      <c r="V21" s="37"/>
      <c r="W21" s="37"/>
      <c r="X21" s="37"/>
      <c r="Y21" s="37"/>
    </row>
    <row r="22" ht="54.0" customHeight="1">
      <c r="A22" s="306">
        <v>1.110130001E9</v>
      </c>
      <c r="B22" s="307" t="str">
        <f>image("https://i.imgur.com/rpO59Dn.png
")</f>
        <v/>
      </c>
      <c r="C22" s="307" t="s">
        <v>1409</v>
      </c>
      <c r="D22" s="36" t="s">
        <v>1380</v>
      </c>
      <c r="E22" s="36" t="s">
        <v>374</v>
      </c>
      <c r="F22" s="36" t="s">
        <v>1381</v>
      </c>
      <c r="G22" s="37"/>
      <c r="H22" s="37"/>
      <c r="I22" s="41">
        <v>229.0</v>
      </c>
      <c r="J22" s="41">
        <v>279.0</v>
      </c>
      <c r="K22" s="41">
        <v>349.0</v>
      </c>
      <c r="L22" s="41">
        <v>419.0</v>
      </c>
      <c r="M22" s="308"/>
      <c r="N22" s="37"/>
      <c r="O22" s="37"/>
      <c r="P22" s="37"/>
      <c r="Q22" s="37"/>
      <c r="R22" s="37"/>
      <c r="S22" s="37"/>
      <c r="T22" s="308"/>
      <c r="U22" s="37"/>
      <c r="V22" s="37"/>
      <c r="W22" s="37"/>
      <c r="X22" s="37"/>
      <c r="Y22" s="37"/>
    </row>
    <row r="23" ht="54.0" customHeight="1">
      <c r="A23" s="306">
        <v>1.110130002E9</v>
      </c>
      <c r="B23" s="307" t="str">
        <f>image("https://i.imgur.com/ETdBmgu.png")</f>
        <v/>
      </c>
      <c r="C23" s="307" t="s">
        <v>1410</v>
      </c>
      <c r="D23" s="36" t="s">
        <v>1380</v>
      </c>
      <c r="E23" s="36" t="s">
        <v>374</v>
      </c>
      <c r="F23" s="40" t="s">
        <v>1383</v>
      </c>
      <c r="G23" s="37"/>
      <c r="H23" s="37"/>
      <c r="I23" s="41">
        <v>229.0</v>
      </c>
      <c r="J23" s="41">
        <v>279.0</v>
      </c>
      <c r="K23" s="41">
        <v>349.0</v>
      </c>
      <c r="L23" s="41">
        <v>419.0</v>
      </c>
      <c r="M23" s="308"/>
      <c r="N23" s="37"/>
      <c r="O23" s="37"/>
      <c r="P23" s="37"/>
      <c r="Q23" s="37"/>
      <c r="R23" s="37"/>
      <c r="S23" s="37"/>
      <c r="T23" s="308"/>
      <c r="U23" s="37"/>
      <c r="V23" s="37"/>
      <c r="W23" s="37"/>
      <c r="X23" s="37"/>
      <c r="Y23" s="37"/>
    </row>
    <row r="24" ht="54.0" customHeight="1">
      <c r="A24" s="306">
        <v>1.110130003E9</v>
      </c>
      <c r="B24" s="307" t="str">
        <f>image("https://i.imgur.com/gaPmwdw.png")</f>
        <v/>
      </c>
      <c r="C24" s="307" t="s">
        <v>1411</v>
      </c>
      <c r="D24" s="36" t="s">
        <v>1380</v>
      </c>
      <c r="E24" s="36" t="s">
        <v>374</v>
      </c>
      <c r="F24" s="40" t="s">
        <v>1385</v>
      </c>
      <c r="G24" s="37"/>
      <c r="H24" s="37"/>
      <c r="I24" s="41">
        <v>229.0</v>
      </c>
      <c r="J24" s="41">
        <v>279.0</v>
      </c>
      <c r="K24" s="41">
        <v>349.0</v>
      </c>
      <c r="L24" s="41">
        <v>419.0</v>
      </c>
      <c r="M24" s="308"/>
      <c r="N24" s="37"/>
      <c r="O24" s="37"/>
      <c r="P24" s="37"/>
      <c r="Q24" s="37"/>
      <c r="R24" s="37"/>
      <c r="S24" s="37"/>
      <c r="T24" s="308"/>
      <c r="U24" s="37"/>
      <c r="V24" s="37"/>
      <c r="W24" s="37"/>
      <c r="X24" s="37"/>
      <c r="Y24" s="37"/>
    </row>
    <row r="25" ht="54.0" customHeight="1">
      <c r="A25" s="306">
        <v>1.110130004E9</v>
      </c>
      <c r="B25" s="307" t="str">
        <f>image("https://i.imgur.com/bScLjkS.png")</f>
        <v/>
      </c>
      <c r="C25" s="307" t="s">
        <v>1412</v>
      </c>
      <c r="D25" s="36" t="s">
        <v>1380</v>
      </c>
      <c r="E25" s="36" t="s">
        <v>374</v>
      </c>
      <c r="F25" s="40" t="s">
        <v>1387</v>
      </c>
      <c r="G25" s="37"/>
      <c r="H25" s="37"/>
      <c r="I25" s="41">
        <v>229.0</v>
      </c>
      <c r="J25" s="41">
        <v>279.0</v>
      </c>
      <c r="K25" s="41">
        <v>349.0</v>
      </c>
      <c r="L25" s="41">
        <v>419.0</v>
      </c>
      <c r="M25" s="308"/>
      <c r="N25" s="37"/>
      <c r="O25" s="37"/>
      <c r="P25" s="37"/>
      <c r="Q25" s="37"/>
      <c r="R25" s="37"/>
      <c r="S25" s="37"/>
      <c r="T25" s="308"/>
      <c r="U25" s="37"/>
      <c r="V25" s="37"/>
      <c r="W25" s="37"/>
      <c r="X25" s="37"/>
      <c r="Y25" s="37"/>
    </row>
    <row r="26" ht="54.0" customHeight="1">
      <c r="A26" s="306">
        <v>1.110130005E9</v>
      </c>
      <c r="B26" s="307" t="str">
        <f>image("https://i.imgur.com/49V1PlU.png")</f>
        <v/>
      </c>
      <c r="C26" s="307" t="s">
        <v>1413</v>
      </c>
      <c r="D26" s="36" t="s">
        <v>1380</v>
      </c>
      <c r="E26" s="36" t="s">
        <v>374</v>
      </c>
      <c r="F26" s="40" t="s">
        <v>1389</v>
      </c>
      <c r="G26" s="37"/>
      <c r="H26" s="37"/>
      <c r="I26" s="41">
        <v>229.0</v>
      </c>
      <c r="J26" s="41">
        <v>279.0</v>
      </c>
      <c r="K26" s="41">
        <v>349.0</v>
      </c>
      <c r="L26" s="41">
        <v>419.0</v>
      </c>
      <c r="M26" s="308"/>
      <c r="N26" s="37"/>
      <c r="O26" s="37"/>
      <c r="P26" s="37"/>
      <c r="Q26" s="37"/>
      <c r="R26" s="37"/>
      <c r="S26" s="37"/>
      <c r="T26" s="308"/>
      <c r="U26" s="37"/>
      <c r="V26" s="37"/>
      <c r="W26" s="37"/>
      <c r="X26" s="37"/>
      <c r="Y26" s="37"/>
    </row>
    <row r="27" ht="54.0" customHeight="1">
      <c r="A27" s="306">
        <v>1.110130006E9</v>
      </c>
      <c r="B27" s="307" t="str">
        <f>image("https://i.imgur.com/Ke5aUu5.png")</f>
        <v/>
      </c>
      <c r="C27" s="307" t="s">
        <v>1414</v>
      </c>
      <c r="D27" s="36" t="s">
        <v>1380</v>
      </c>
      <c r="E27" s="36" t="s">
        <v>374</v>
      </c>
      <c r="F27" s="40" t="s">
        <v>1391</v>
      </c>
      <c r="G27" s="37"/>
      <c r="H27" s="37"/>
      <c r="I27" s="41">
        <v>229.0</v>
      </c>
      <c r="J27" s="41">
        <v>279.0</v>
      </c>
      <c r="K27" s="41">
        <v>349.0</v>
      </c>
      <c r="L27" s="41">
        <v>419.0</v>
      </c>
      <c r="M27" s="308"/>
      <c r="N27" s="37"/>
      <c r="O27" s="37"/>
      <c r="P27" s="37"/>
      <c r="Q27" s="37"/>
      <c r="R27" s="37"/>
      <c r="S27" s="37"/>
      <c r="T27" s="308"/>
      <c r="U27" s="37"/>
      <c r="V27" s="37"/>
      <c r="W27" s="37"/>
      <c r="X27" s="37"/>
      <c r="Y27" s="37"/>
    </row>
    <row r="28" ht="54.0" customHeight="1">
      <c r="A28" s="306">
        <v>1.110130007E9</v>
      </c>
      <c r="B28" s="307" t="str">
        <f>image("https://i.imgur.com/KGwN7Ti.png")</f>
        <v/>
      </c>
      <c r="C28" s="307" t="s">
        <v>1415</v>
      </c>
      <c r="D28" s="36" t="s">
        <v>1380</v>
      </c>
      <c r="E28" s="36" t="s">
        <v>374</v>
      </c>
      <c r="F28" s="40" t="s">
        <v>1393</v>
      </c>
      <c r="G28" s="37"/>
      <c r="H28" s="37"/>
      <c r="I28" s="41">
        <v>229.0</v>
      </c>
      <c r="J28" s="41">
        <v>279.0</v>
      </c>
      <c r="K28" s="41">
        <v>349.0</v>
      </c>
      <c r="L28" s="41">
        <v>419.0</v>
      </c>
      <c r="M28" s="308"/>
      <c r="N28" s="37"/>
      <c r="O28" s="37"/>
      <c r="P28" s="37"/>
      <c r="Q28" s="37"/>
      <c r="R28" s="37"/>
      <c r="S28" s="37"/>
      <c r="T28" s="308"/>
      <c r="U28" s="37"/>
      <c r="V28" s="37"/>
      <c r="W28" s="37"/>
      <c r="X28" s="37"/>
      <c r="Y28" s="37"/>
    </row>
    <row r="29" ht="54.0" customHeight="1">
      <c r="A29" s="306">
        <v>1.110130008E9</v>
      </c>
      <c r="B29" s="307" t="str">
        <f>image("https://i.imgur.com/HSDNq0i.png")</f>
        <v/>
      </c>
      <c r="C29" s="307" t="s">
        <v>1416</v>
      </c>
      <c r="D29" s="36" t="s">
        <v>1380</v>
      </c>
      <c r="E29" s="36" t="s">
        <v>374</v>
      </c>
      <c r="F29" s="40"/>
      <c r="G29" s="37"/>
      <c r="H29" s="41">
        <v>172.0</v>
      </c>
      <c r="I29" s="41">
        <v>212.0</v>
      </c>
      <c r="J29" s="41">
        <v>252.0</v>
      </c>
      <c r="K29" s="41">
        <v>292.0</v>
      </c>
      <c r="L29" s="41"/>
      <c r="M29" s="309"/>
      <c r="N29" s="37"/>
      <c r="O29" s="37"/>
      <c r="P29" s="37"/>
      <c r="Q29" s="37"/>
      <c r="R29" s="37"/>
      <c r="S29" s="37"/>
      <c r="T29" s="308"/>
      <c r="U29" s="37"/>
      <c r="V29" s="37"/>
      <c r="W29" s="37"/>
      <c r="X29" s="37"/>
      <c r="Y29" s="37"/>
    </row>
    <row r="30" ht="54.0" customHeight="1">
      <c r="A30" s="306">
        <v>1.110130009E9</v>
      </c>
      <c r="B30" s="307" t="str">
        <f>image("https://i.imgur.com/svPfrVi.png")</f>
        <v/>
      </c>
      <c r="C30" s="307" t="s">
        <v>1417</v>
      </c>
      <c r="D30" s="36" t="s">
        <v>1380</v>
      </c>
      <c r="E30" s="36" t="s">
        <v>374</v>
      </c>
      <c r="F30" s="40"/>
      <c r="G30" s="41">
        <v>120.0</v>
      </c>
      <c r="H30" s="41">
        <v>160.0</v>
      </c>
      <c r="I30" s="41">
        <v>190.0</v>
      </c>
      <c r="J30" s="41"/>
      <c r="K30" s="37"/>
      <c r="L30" s="37"/>
      <c r="M30" s="308"/>
      <c r="N30" s="37"/>
      <c r="O30" s="37"/>
      <c r="P30" s="37"/>
      <c r="Q30" s="37"/>
      <c r="R30" s="37"/>
      <c r="S30" s="37"/>
      <c r="T30" s="308"/>
      <c r="U30" s="37"/>
      <c r="V30" s="37"/>
      <c r="W30" s="37"/>
      <c r="X30" s="37"/>
      <c r="Y30" s="37"/>
    </row>
    <row r="31" ht="54.0" customHeight="1">
      <c r="A31" s="306">
        <v>1.110140001E9</v>
      </c>
      <c r="B31" s="307" t="str">
        <f>image("https://i.imgur.com/U17n8ko.png")</f>
        <v/>
      </c>
      <c r="C31" s="307" t="s">
        <v>1418</v>
      </c>
      <c r="D31" s="36" t="s">
        <v>1380</v>
      </c>
      <c r="E31" s="36" t="s">
        <v>315</v>
      </c>
      <c r="F31" s="36" t="s">
        <v>1381</v>
      </c>
      <c r="G31" s="37"/>
      <c r="H31" s="37"/>
      <c r="I31" s="41">
        <v>229.0</v>
      </c>
      <c r="J31" s="41">
        <v>279.0</v>
      </c>
      <c r="K31" s="41">
        <v>349.0</v>
      </c>
      <c r="L31" s="41">
        <v>419.0</v>
      </c>
      <c r="M31" s="308"/>
      <c r="N31" s="37"/>
      <c r="O31" s="37"/>
      <c r="P31" s="37"/>
      <c r="Q31" s="37"/>
      <c r="R31" s="37"/>
      <c r="S31" s="37"/>
      <c r="T31" s="308"/>
      <c r="U31" s="37"/>
      <c r="V31" s="37"/>
      <c r="W31" s="37"/>
      <c r="X31" s="37"/>
      <c r="Y31" s="37"/>
    </row>
    <row r="32" ht="54.0" customHeight="1">
      <c r="A32" s="306">
        <v>1.110140002E9</v>
      </c>
      <c r="B32" s="307" t="str">
        <f>image("https://i.imgur.com/7MidjFd.png")</f>
        <v/>
      </c>
      <c r="C32" s="307" t="s">
        <v>1419</v>
      </c>
      <c r="D32" s="36" t="s">
        <v>1380</v>
      </c>
      <c r="E32" s="36" t="s">
        <v>315</v>
      </c>
      <c r="F32" s="40" t="s">
        <v>1383</v>
      </c>
      <c r="G32" s="37"/>
      <c r="H32" s="37"/>
      <c r="I32" s="41">
        <v>229.0</v>
      </c>
      <c r="J32" s="41">
        <v>279.0</v>
      </c>
      <c r="K32" s="41">
        <v>349.0</v>
      </c>
      <c r="L32" s="41">
        <v>419.0</v>
      </c>
      <c r="M32" s="308"/>
      <c r="N32" s="37"/>
      <c r="O32" s="37"/>
      <c r="P32" s="37"/>
      <c r="Q32" s="37"/>
      <c r="R32" s="37"/>
      <c r="S32" s="37"/>
      <c r="T32" s="308"/>
      <c r="U32" s="37"/>
      <c r="V32" s="37"/>
      <c r="W32" s="37"/>
      <c r="X32" s="37"/>
      <c r="Y32" s="37"/>
    </row>
    <row r="33" ht="54.0" customHeight="1">
      <c r="A33" s="306">
        <v>1.110140003E9</v>
      </c>
      <c r="B33" s="307" t="str">
        <f>image("https://i.imgur.com/bbDnpn1.png")</f>
        <v/>
      </c>
      <c r="C33" s="307" t="s">
        <v>1420</v>
      </c>
      <c r="D33" s="36" t="s">
        <v>1380</v>
      </c>
      <c r="E33" s="36" t="s">
        <v>315</v>
      </c>
      <c r="F33" s="40" t="s">
        <v>1385</v>
      </c>
      <c r="G33" s="37"/>
      <c r="H33" s="37"/>
      <c r="I33" s="41">
        <v>229.0</v>
      </c>
      <c r="J33" s="41">
        <v>279.0</v>
      </c>
      <c r="K33" s="41">
        <v>349.0</v>
      </c>
      <c r="L33" s="41">
        <v>419.0</v>
      </c>
      <c r="M33" s="308"/>
      <c r="N33" s="37"/>
      <c r="O33" s="37"/>
      <c r="P33" s="37"/>
      <c r="Q33" s="37"/>
      <c r="R33" s="37"/>
      <c r="S33" s="37"/>
      <c r="T33" s="308"/>
      <c r="U33" s="37"/>
      <c r="V33" s="37"/>
      <c r="W33" s="37"/>
      <c r="X33" s="37"/>
      <c r="Y33" s="37"/>
    </row>
    <row r="34" ht="54.0" customHeight="1">
      <c r="A34" s="306">
        <v>1.110140004E9</v>
      </c>
      <c r="B34" s="307" t="str">
        <f>image("https://i.imgur.com/u3h0aST.png")</f>
        <v/>
      </c>
      <c r="C34" s="307" t="s">
        <v>1421</v>
      </c>
      <c r="D34" s="36" t="s">
        <v>1380</v>
      </c>
      <c r="E34" s="36" t="s">
        <v>315</v>
      </c>
      <c r="F34" s="40" t="s">
        <v>1387</v>
      </c>
      <c r="G34" s="37"/>
      <c r="H34" s="37"/>
      <c r="I34" s="41">
        <v>229.0</v>
      </c>
      <c r="J34" s="41">
        <v>279.0</v>
      </c>
      <c r="K34" s="41">
        <v>349.0</v>
      </c>
      <c r="L34" s="41">
        <v>419.0</v>
      </c>
      <c r="M34" s="308"/>
      <c r="N34" s="37"/>
      <c r="O34" s="37"/>
      <c r="P34" s="37"/>
      <c r="Q34" s="37"/>
      <c r="R34" s="37"/>
      <c r="S34" s="37"/>
      <c r="T34" s="308"/>
      <c r="U34" s="37"/>
      <c r="V34" s="37"/>
      <c r="W34" s="37"/>
      <c r="X34" s="37"/>
      <c r="Y34" s="37"/>
    </row>
    <row r="35" ht="54.0" customHeight="1">
      <c r="A35" s="306">
        <v>1.110140005E9</v>
      </c>
      <c r="B35" s="307" t="str">
        <f>image("https://i.imgur.com/inc1ssh.png")</f>
        <v/>
      </c>
      <c r="C35" s="307" t="s">
        <v>1422</v>
      </c>
      <c r="D35" s="36" t="s">
        <v>1380</v>
      </c>
      <c r="E35" s="36" t="s">
        <v>315</v>
      </c>
      <c r="F35" s="40" t="s">
        <v>1389</v>
      </c>
      <c r="G35" s="37"/>
      <c r="H35" s="37"/>
      <c r="I35" s="41">
        <v>229.0</v>
      </c>
      <c r="J35" s="41">
        <v>279.0</v>
      </c>
      <c r="K35" s="41">
        <v>349.0</v>
      </c>
      <c r="L35" s="41">
        <v>419.0</v>
      </c>
      <c r="M35" s="308"/>
      <c r="N35" s="37"/>
      <c r="O35" s="37"/>
      <c r="P35" s="37"/>
      <c r="Q35" s="37"/>
      <c r="R35" s="37"/>
      <c r="S35" s="37"/>
      <c r="T35" s="308"/>
      <c r="U35" s="37"/>
      <c r="V35" s="37"/>
      <c r="W35" s="37"/>
      <c r="X35" s="37"/>
      <c r="Y35" s="37"/>
    </row>
    <row r="36" ht="54.0" customHeight="1">
      <c r="A36" s="306">
        <v>1.110140006E9</v>
      </c>
      <c r="B36" s="307" t="str">
        <f>image("https://i.imgur.com/zXHwZ79.png")</f>
        <v/>
      </c>
      <c r="C36" s="307" t="s">
        <v>1423</v>
      </c>
      <c r="D36" s="36" t="s">
        <v>1380</v>
      </c>
      <c r="E36" s="36" t="s">
        <v>315</v>
      </c>
      <c r="F36" s="40" t="s">
        <v>1391</v>
      </c>
      <c r="G36" s="37"/>
      <c r="H36" s="37"/>
      <c r="I36" s="41">
        <v>229.0</v>
      </c>
      <c r="J36" s="41">
        <v>279.0</v>
      </c>
      <c r="K36" s="41">
        <v>349.0</v>
      </c>
      <c r="L36" s="41">
        <v>419.0</v>
      </c>
      <c r="M36" s="308"/>
      <c r="N36" s="37"/>
      <c r="O36" s="37"/>
      <c r="P36" s="37"/>
      <c r="Q36" s="37"/>
      <c r="R36" s="37"/>
      <c r="S36" s="37"/>
      <c r="T36" s="308"/>
      <c r="U36" s="37"/>
      <c r="V36" s="37"/>
      <c r="W36" s="37"/>
      <c r="X36" s="37"/>
      <c r="Y36" s="37"/>
    </row>
    <row r="37" ht="54.0" customHeight="1">
      <c r="A37" s="306">
        <v>1.110140007E9</v>
      </c>
      <c r="B37" s="307" t="str">
        <f>image("https://i.imgur.com/WfCr32Z.png")</f>
        <v/>
      </c>
      <c r="C37" s="307" t="s">
        <v>1424</v>
      </c>
      <c r="D37" s="36" t="s">
        <v>1380</v>
      </c>
      <c r="E37" s="36" t="s">
        <v>315</v>
      </c>
      <c r="F37" s="40" t="s">
        <v>1393</v>
      </c>
      <c r="G37" s="37"/>
      <c r="H37" s="37"/>
      <c r="I37" s="41">
        <v>229.0</v>
      </c>
      <c r="J37" s="41">
        <v>279.0</v>
      </c>
      <c r="K37" s="41">
        <v>349.0</v>
      </c>
      <c r="L37" s="41">
        <v>419.0</v>
      </c>
      <c r="M37" s="308"/>
      <c r="N37" s="37"/>
      <c r="O37" s="37"/>
      <c r="P37" s="37"/>
      <c r="Q37" s="37"/>
      <c r="R37" s="37"/>
      <c r="S37" s="37"/>
      <c r="T37" s="308"/>
      <c r="U37" s="37"/>
      <c r="V37" s="37"/>
      <c r="W37" s="37"/>
      <c r="X37" s="37"/>
      <c r="Y37" s="37"/>
    </row>
    <row r="38" ht="54.0" customHeight="1">
      <c r="A38" s="306">
        <v>1.110140008E9</v>
      </c>
      <c r="B38" s="307" t="str">
        <f>image("https://i.imgur.com/BBDpZRA.png")</f>
        <v/>
      </c>
      <c r="C38" s="307" t="s">
        <v>1425</v>
      </c>
      <c r="D38" s="36" t="s">
        <v>1380</v>
      </c>
      <c r="E38" s="36" t="s">
        <v>315</v>
      </c>
      <c r="F38" s="40"/>
      <c r="G38" s="37"/>
      <c r="H38" s="41">
        <v>172.0</v>
      </c>
      <c r="I38" s="41">
        <v>212.0</v>
      </c>
      <c r="J38" s="41">
        <v>252.0</v>
      </c>
      <c r="K38" s="41">
        <v>292.0</v>
      </c>
      <c r="L38" s="41"/>
      <c r="M38" s="309"/>
      <c r="N38" s="37"/>
      <c r="O38" s="37"/>
      <c r="P38" s="37"/>
      <c r="Q38" s="37"/>
      <c r="R38" s="37"/>
      <c r="S38" s="37"/>
      <c r="T38" s="308"/>
      <c r="U38" s="37"/>
      <c r="V38" s="37"/>
      <c r="W38" s="37"/>
      <c r="X38" s="37"/>
      <c r="Y38" s="37"/>
    </row>
    <row r="39" ht="54.0" customHeight="1">
      <c r="A39" s="306">
        <v>1.110140009E9</v>
      </c>
      <c r="B39" s="307" t="str">
        <f>image("https://i.imgur.com/ayJUL2b.png")</f>
        <v/>
      </c>
      <c r="C39" s="307" t="s">
        <v>1426</v>
      </c>
      <c r="D39" s="36" t="s">
        <v>1380</v>
      </c>
      <c r="E39" s="36" t="s">
        <v>315</v>
      </c>
      <c r="F39" s="40"/>
      <c r="G39" s="41">
        <v>120.0</v>
      </c>
      <c r="H39" s="41">
        <v>160.0</v>
      </c>
      <c r="I39" s="41">
        <v>190.0</v>
      </c>
      <c r="J39" s="41"/>
      <c r="K39" s="37"/>
      <c r="L39" s="37"/>
      <c r="M39" s="308"/>
      <c r="N39" s="37"/>
      <c r="O39" s="37"/>
      <c r="P39" s="37"/>
      <c r="Q39" s="37"/>
      <c r="R39" s="37"/>
      <c r="S39" s="37"/>
      <c r="T39" s="308"/>
      <c r="U39" s="37"/>
      <c r="V39" s="37"/>
      <c r="W39" s="37"/>
      <c r="X39" s="37"/>
      <c r="Y39" s="37"/>
    </row>
    <row r="40" ht="54.0" customHeight="1">
      <c r="A40" s="306">
        <v>1.110150001E9</v>
      </c>
      <c r="B40" s="307" t="str">
        <f>image("https://i.imgur.com/CiW4T4P.png")</f>
        <v/>
      </c>
      <c r="C40" s="307" t="s">
        <v>1427</v>
      </c>
      <c r="D40" s="36" t="s">
        <v>1380</v>
      </c>
      <c r="E40" s="36" t="s">
        <v>528</v>
      </c>
      <c r="F40" s="36" t="s">
        <v>1381</v>
      </c>
      <c r="G40" s="37"/>
      <c r="H40" s="37"/>
      <c r="I40" s="41">
        <v>229.0</v>
      </c>
      <c r="J40" s="41">
        <v>279.0</v>
      </c>
      <c r="K40" s="41">
        <v>349.0</v>
      </c>
      <c r="L40" s="41">
        <v>419.0</v>
      </c>
      <c r="M40" s="308"/>
      <c r="N40" s="37"/>
      <c r="O40" s="37"/>
      <c r="P40" s="37"/>
      <c r="Q40" s="37"/>
      <c r="R40" s="37"/>
      <c r="S40" s="37"/>
      <c r="T40" s="308"/>
      <c r="U40" s="37"/>
      <c r="V40" s="37"/>
      <c r="W40" s="37"/>
      <c r="X40" s="37"/>
      <c r="Y40" s="37"/>
    </row>
    <row r="41" ht="54.0" customHeight="1">
      <c r="A41" s="306">
        <v>1.110150002E9</v>
      </c>
      <c r="B41" s="307" t="str">
        <f>image("https://i.imgur.com/jGSxlw3.png")</f>
        <v/>
      </c>
      <c r="C41" s="307" t="s">
        <v>1428</v>
      </c>
      <c r="D41" s="36" t="s">
        <v>1380</v>
      </c>
      <c r="E41" s="36" t="s">
        <v>528</v>
      </c>
      <c r="F41" s="40" t="s">
        <v>1383</v>
      </c>
      <c r="G41" s="37"/>
      <c r="H41" s="37"/>
      <c r="I41" s="41">
        <v>229.0</v>
      </c>
      <c r="J41" s="41">
        <v>279.0</v>
      </c>
      <c r="K41" s="41">
        <v>349.0</v>
      </c>
      <c r="L41" s="41">
        <v>419.0</v>
      </c>
      <c r="M41" s="308"/>
      <c r="N41" s="37"/>
      <c r="O41" s="37"/>
      <c r="P41" s="37"/>
      <c r="Q41" s="37"/>
      <c r="R41" s="37"/>
      <c r="S41" s="37"/>
      <c r="T41" s="308"/>
      <c r="U41" s="37"/>
      <c r="V41" s="37"/>
      <c r="W41" s="37"/>
      <c r="X41" s="37"/>
      <c r="Y41" s="37"/>
    </row>
    <row r="42" ht="54.0" customHeight="1">
      <c r="A42" s="306">
        <v>1.110150003E9</v>
      </c>
      <c r="B42" s="307" t="str">
        <f>image("https://i.imgur.com/WGTcGYt.png")</f>
        <v/>
      </c>
      <c r="C42" s="307" t="s">
        <v>1429</v>
      </c>
      <c r="D42" s="36" t="s">
        <v>1380</v>
      </c>
      <c r="E42" s="36" t="s">
        <v>528</v>
      </c>
      <c r="F42" s="40" t="s">
        <v>1385</v>
      </c>
      <c r="G42" s="37"/>
      <c r="H42" s="37"/>
      <c r="I42" s="41">
        <v>229.0</v>
      </c>
      <c r="J42" s="41">
        <v>279.0</v>
      </c>
      <c r="K42" s="41">
        <v>349.0</v>
      </c>
      <c r="L42" s="41">
        <v>419.0</v>
      </c>
      <c r="M42" s="308"/>
      <c r="N42" s="37"/>
      <c r="O42" s="37"/>
      <c r="P42" s="37"/>
      <c r="Q42" s="37"/>
      <c r="R42" s="37"/>
      <c r="S42" s="37"/>
      <c r="T42" s="308"/>
      <c r="U42" s="37"/>
      <c r="V42" s="37"/>
      <c r="W42" s="37"/>
      <c r="X42" s="37"/>
      <c r="Y42" s="37"/>
    </row>
    <row r="43" ht="54.0" customHeight="1">
      <c r="A43" s="306">
        <v>1.110150004E9</v>
      </c>
      <c r="B43" s="307" t="str">
        <f>image("https://i.imgur.com/IeroEUH.png")</f>
        <v/>
      </c>
      <c r="C43" s="307" t="s">
        <v>1430</v>
      </c>
      <c r="D43" s="36" t="s">
        <v>1380</v>
      </c>
      <c r="E43" s="36" t="s">
        <v>528</v>
      </c>
      <c r="F43" s="40" t="s">
        <v>1387</v>
      </c>
      <c r="G43" s="37"/>
      <c r="H43" s="37"/>
      <c r="I43" s="41">
        <v>229.0</v>
      </c>
      <c r="J43" s="41">
        <v>279.0</v>
      </c>
      <c r="K43" s="41">
        <v>349.0</v>
      </c>
      <c r="L43" s="41">
        <v>419.0</v>
      </c>
      <c r="M43" s="308"/>
      <c r="N43" s="37"/>
      <c r="O43" s="37"/>
      <c r="P43" s="37"/>
      <c r="Q43" s="37"/>
      <c r="R43" s="37"/>
      <c r="S43" s="37"/>
      <c r="T43" s="308"/>
      <c r="U43" s="37"/>
      <c r="V43" s="37"/>
      <c r="W43" s="37"/>
      <c r="X43" s="37"/>
      <c r="Y43" s="37"/>
    </row>
    <row r="44" ht="54.0" customHeight="1">
      <c r="A44" s="306">
        <v>1.110150005E9</v>
      </c>
      <c r="B44" s="307" t="str">
        <f>image("https://i.imgur.com/3NBY6hd.png")</f>
        <v/>
      </c>
      <c r="C44" s="307" t="s">
        <v>1431</v>
      </c>
      <c r="D44" s="36" t="s">
        <v>1380</v>
      </c>
      <c r="E44" s="36" t="s">
        <v>528</v>
      </c>
      <c r="F44" s="40" t="s">
        <v>1389</v>
      </c>
      <c r="G44" s="37"/>
      <c r="H44" s="37"/>
      <c r="I44" s="41">
        <v>229.0</v>
      </c>
      <c r="J44" s="41">
        <v>279.0</v>
      </c>
      <c r="K44" s="41">
        <v>349.0</v>
      </c>
      <c r="L44" s="41">
        <v>419.0</v>
      </c>
      <c r="M44" s="308"/>
      <c r="N44" s="37"/>
      <c r="O44" s="37"/>
      <c r="P44" s="37"/>
      <c r="Q44" s="37"/>
      <c r="R44" s="37"/>
      <c r="S44" s="37"/>
      <c r="T44" s="308"/>
      <c r="U44" s="37"/>
      <c r="V44" s="37"/>
      <c r="W44" s="37"/>
      <c r="X44" s="37"/>
      <c r="Y44" s="37"/>
    </row>
    <row r="45" ht="54.0" customHeight="1">
      <c r="A45" s="306">
        <v>1.110150006E9</v>
      </c>
      <c r="B45" s="307" t="str">
        <f>image("https://i.imgur.com/j5P6OX9.png")</f>
        <v/>
      </c>
      <c r="C45" s="307" t="s">
        <v>1432</v>
      </c>
      <c r="D45" s="36" t="s">
        <v>1380</v>
      </c>
      <c r="E45" s="36" t="s">
        <v>528</v>
      </c>
      <c r="F45" s="40" t="s">
        <v>1391</v>
      </c>
      <c r="G45" s="37"/>
      <c r="H45" s="37"/>
      <c r="I45" s="41">
        <v>229.0</v>
      </c>
      <c r="J45" s="41">
        <v>279.0</v>
      </c>
      <c r="K45" s="41">
        <v>349.0</v>
      </c>
      <c r="L45" s="41">
        <v>419.0</v>
      </c>
      <c r="M45" s="308"/>
      <c r="N45" s="37"/>
      <c r="O45" s="37"/>
      <c r="P45" s="37"/>
      <c r="Q45" s="37"/>
      <c r="R45" s="37"/>
      <c r="S45" s="37"/>
      <c r="T45" s="308"/>
      <c r="U45" s="37"/>
      <c r="V45" s="37"/>
      <c r="W45" s="37"/>
      <c r="X45" s="37"/>
      <c r="Y45" s="37"/>
    </row>
    <row r="46" ht="54.0" customHeight="1">
      <c r="A46" s="306">
        <v>1.110150007E9</v>
      </c>
      <c r="B46" s="307" t="str">
        <f>image("https://i.imgur.com/u2Z86wg.png")</f>
        <v/>
      </c>
      <c r="C46" s="307" t="s">
        <v>1433</v>
      </c>
      <c r="D46" s="36" t="s">
        <v>1380</v>
      </c>
      <c r="E46" s="36" t="s">
        <v>528</v>
      </c>
      <c r="F46" s="40" t="s">
        <v>1393</v>
      </c>
      <c r="G46" s="37"/>
      <c r="H46" s="37"/>
      <c r="I46" s="41">
        <v>229.0</v>
      </c>
      <c r="J46" s="41">
        <v>279.0</v>
      </c>
      <c r="K46" s="41">
        <v>349.0</v>
      </c>
      <c r="L46" s="41">
        <v>419.0</v>
      </c>
      <c r="M46" s="308"/>
      <c r="N46" s="37"/>
      <c r="O46" s="37"/>
      <c r="P46" s="37"/>
      <c r="Q46" s="37"/>
      <c r="R46" s="37"/>
      <c r="S46" s="37"/>
      <c r="T46" s="308"/>
      <c r="U46" s="37"/>
      <c r="V46" s="37"/>
      <c r="W46" s="37"/>
      <c r="X46" s="37"/>
      <c r="Y46" s="37"/>
    </row>
    <row r="47" ht="54.0" customHeight="1">
      <c r="A47" s="306">
        <v>1.110150008E9</v>
      </c>
      <c r="B47" s="307" t="str">
        <f>image("https://i.imgur.com/cjuCnpU.png")</f>
        <v/>
      </c>
      <c r="C47" s="307" t="s">
        <v>1434</v>
      </c>
      <c r="D47" s="36" t="s">
        <v>1380</v>
      </c>
      <c r="E47" s="36" t="s">
        <v>528</v>
      </c>
      <c r="F47" s="40"/>
      <c r="G47" s="37"/>
      <c r="H47" s="41">
        <v>172.0</v>
      </c>
      <c r="I47" s="41">
        <v>212.0</v>
      </c>
      <c r="J47" s="41">
        <v>252.0</v>
      </c>
      <c r="K47" s="41">
        <v>292.0</v>
      </c>
      <c r="L47" s="41"/>
      <c r="M47" s="309"/>
      <c r="N47" s="37"/>
      <c r="O47" s="37"/>
      <c r="P47" s="37"/>
      <c r="Q47" s="37"/>
      <c r="R47" s="37"/>
      <c r="S47" s="37"/>
      <c r="T47" s="308"/>
      <c r="U47" s="37"/>
      <c r="V47" s="37"/>
      <c r="W47" s="37"/>
      <c r="X47" s="37"/>
      <c r="Y47" s="37"/>
    </row>
    <row r="48" ht="54.0" customHeight="1">
      <c r="A48" s="306">
        <v>1.110150009E9</v>
      </c>
      <c r="B48" s="307" t="str">
        <f>image("https://i.imgur.com/5CXMOmW.png")</f>
        <v/>
      </c>
      <c r="C48" s="307" t="s">
        <v>1435</v>
      </c>
      <c r="D48" s="36" t="s">
        <v>1380</v>
      </c>
      <c r="E48" s="36" t="s">
        <v>528</v>
      </c>
      <c r="F48" s="40"/>
      <c r="G48" s="41">
        <v>120.0</v>
      </c>
      <c r="H48" s="41">
        <v>160.0</v>
      </c>
      <c r="I48" s="41">
        <v>190.0</v>
      </c>
      <c r="J48" s="41"/>
      <c r="K48" s="37"/>
      <c r="L48" s="37"/>
      <c r="M48" s="308"/>
      <c r="N48" s="37"/>
      <c r="O48" s="37"/>
      <c r="P48" s="37"/>
      <c r="Q48" s="37"/>
      <c r="R48" s="37"/>
      <c r="S48" s="37"/>
      <c r="T48" s="308"/>
      <c r="U48" s="37"/>
      <c r="V48" s="37"/>
      <c r="W48" s="37"/>
      <c r="X48" s="37"/>
      <c r="Y48" s="37"/>
    </row>
    <row r="49" ht="54.0" customHeight="1">
      <c r="A49" s="310">
        <v>1.11015001E9</v>
      </c>
      <c r="B49" s="307" t="str">
        <f>image("https://i.imgur.com/U9HRiXu.png")</f>
        <v/>
      </c>
      <c r="C49" s="36" t="s">
        <v>1436</v>
      </c>
      <c r="D49" s="36" t="s">
        <v>1380</v>
      </c>
      <c r="E49" s="36" t="s">
        <v>528</v>
      </c>
      <c r="F49" s="36" t="s">
        <v>1437</v>
      </c>
      <c r="G49" s="41"/>
      <c r="H49" s="41">
        <v>172.0</v>
      </c>
      <c r="I49" s="41">
        <v>212.0</v>
      </c>
      <c r="J49" s="41">
        <v>252.0</v>
      </c>
      <c r="K49" s="41">
        <v>292.0</v>
      </c>
      <c r="L49" s="37"/>
      <c r="M49" s="308"/>
      <c r="N49" s="37"/>
      <c r="O49" s="37"/>
      <c r="P49" s="37"/>
      <c r="Q49" s="37"/>
      <c r="R49" s="37"/>
      <c r="S49" s="37"/>
      <c r="T49" s="308"/>
      <c r="U49" s="37"/>
      <c r="V49" s="37"/>
      <c r="W49" s="37"/>
      <c r="X49" s="37"/>
      <c r="Y49" s="37"/>
    </row>
    <row r="50" ht="54.0" customHeight="1">
      <c r="A50" s="306">
        <v>1.110160001E9</v>
      </c>
      <c r="B50" s="307" t="str">
        <f>image("https://i.imgur.com/UTPD5aR.png")</f>
        <v/>
      </c>
      <c r="C50" s="307" t="s">
        <v>1438</v>
      </c>
      <c r="D50" s="36" t="s">
        <v>1380</v>
      </c>
      <c r="E50" s="36" t="s">
        <v>323</v>
      </c>
      <c r="F50" s="36" t="s">
        <v>1381</v>
      </c>
      <c r="G50" s="37"/>
      <c r="H50" s="37"/>
      <c r="I50" s="41">
        <v>229.0</v>
      </c>
      <c r="J50" s="41">
        <v>279.0</v>
      </c>
      <c r="K50" s="41">
        <v>349.0</v>
      </c>
      <c r="L50" s="41">
        <v>419.0</v>
      </c>
      <c r="M50" s="308"/>
      <c r="N50" s="37"/>
      <c r="O50" s="37"/>
      <c r="P50" s="37"/>
      <c r="Q50" s="37"/>
      <c r="R50" s="37"/>
      <c r="S50" s="37"/>
      <c r="T50" s="308"/>
      <c r="U50" s="37"/>
      <c r="V50" s="37"/>
      <c r="W50" s="37"/>
      <c r="X50" s="37"/>
      <c r="Y50" s="37"/>
    </row>
    <row r="51" ht="54.0" customHeight="1">
      <c r="A51" s="306">
        <v>1.110160002E9</v>
      </c>
      <c r="B51" s="307" t="str">
        <f>image("https://i.imgur.com/jULtbnz.png")</f>
        <v/>
      </c>
      <c r="C51" s="307" t="s">
        <v>1439</v>
      </c>
      <c r="D51" s="36" t="s">
        <v>1380</v>
      </c>
      <c r="E51" s="36" t="s">
        <v>323</v>
      </c>
      <c r="F51" s="40" t="s">
        <v>1383</v>
      </c>
      <c r="G51" s="37"/>
      <c r="H51" s="37"/>
      <c r="I51" s="41">
        <v>229.0</v>
      </c>
      <c r="J51" s="41">
        <v>279.0</v>
      </c>
      <c r="K51" s="41">
        <v>349.0</v>
      </c>
      <c r="L51" s="41">
        <v>419.0</v>
      </c>
      <c r="M51" s="308"/>
      <c r="N51" s="37"/>
      <c r="O51" s="37"/>
      <c r="P51" s="37"/>
      <c r="Q51" s="37"/>
      <c r="R51" s="37"/>
      <c r="S51" s="37"/>
      <c r="T51" s="308"/>
      <c r="U51" s="37"/>
      <c r="V51" s="37"/>
      <c r="W51" s="37"/>
      <c r="X51" s="37"/>
      <c r="Y51" s="37"/>
    </row>
    <row r="52" ht="54.0" customHeight="1">
      <c r="A52" s="306">
        <v>1.110160003E9</v>
      </c>
      <c r="B52" s="307" t="str">
        <f>image("https://i.imgur.com/IBpzKYu.png")</f>
        <v/>
      </c>
      <c r="C52" s="307" t="s">
        <v>1440</v>
      </c>
      <c r="D52" s="36" t="s">
        <v>1380</v>
      </c>
      <c r="E52" s="36" t="s">
        <v>323</v>
      </c>
      <c r="F52" s="40" t="s">
        <v>1385</v>
      </c>
      <c r="G52" s="37"/>
      <c r="H52" s="37"/>
      <c r="I52" s="41">
        <v>229.0</v>
      </c>
      <c r="J52" s="41">
        <v>279.0</v>
      </c>
      <c r="K52" s="41">
        <v>349.0</v>
      </c>
      <c r="L52" s="41">
        <v>419.0</v>
      </c>
      <c r="M52" s="308"/>
      <c r="N52" s="37"/>
      <c r="O52" s="37"/>
      <c r="P52" s="37"/>
      <c r="Q52" s="37"/>
      <c r="R52" s="37"/>
      <c r="S52" s="37"/>
      <c r="T52" s="308"/>
      <c r="U52" s="37"/>
      <c r="V52" s="37"/>
      <c r="W52" s="37"/>
      <c r="X52" s="37"/>
      <c r="Y52" s="37"/>
    </row>
    <row r="53" ht="54.0" customHeight="1">
      <c r="A53" s="306">
        <v>1.110160004E9</v>
      </c>
      <c r="B53" s="307" t="str">
        <f>image("https://i.imgur.com/5RSTpwr.png")</f>
        <v/>
      </c>
      <c r="C53" s="307" t="s">
        <v>1441</v>
      </c>
      <c r="D53" s="36" t="s">
        <v>1380</v>
      </c>
      <c r="E53" s="36" t="s">
        <v>323</v>
      </c>
      <c r="F53" s="40" t="s">
        <v>1387</v>
      </c>
      <c r="G53" s="37"/>
      <c r="H53" s="37"/>
      <c r="I53" s="41">
        <v>229.0</v>
      </c>
      <c r="J53" s="41">
        <v>279.0</v>
      </c>
      <c r="K53" s="41">
        <v>349.0</v>
      </c>
      <c r="L53" s="41">
        <v>419.0</v>
      </c>
      <c r="M53" s="308"/>
      <c r="N53" s="37"/>
      <c r="O53" s="37"/>
      <c r="P53" s="37"/>
      <c r="Q53" s="37"/>
      <c r="R53" s="37"/>
      <c r="S53" s="37"/>
      <c r="T53" s="308"/>
      <c r="U53" s="37"/>
      <c r="V53" s="37"/>
      <c r="W53" s="37"/>
      <c r="X53" s="37"/>
      <c r="Y53" s="37"/>
    </row>
    <row r="54" ht="54.0" customHeight="1">
      <c r="A54" s="306">
        <v>1.110160005E9</v>
      </c>
      <c r="B54" s="307" t="str">
        <f>image("https://i.imgur.com/DyBZjaQ.png")</f>
        <v/>
      </c>
      <c r="C54" s="307" t="s">
        <v>1442</v>
      </c>
      <c r="D54" s="36" t="s">
        <v>1380</v>
      </c>
      <c r="E54" s="36" t="s">
        <v>323</v>
      </c>
      <c r="F54" s="40" t="s">
        <v>1389</v>
      </c>
      <c r="G54" s="37"/>
      <c r="H54" s="37"/>
      <c r="I54" s="41">
        <v>229.0</v>
      </c>
      <c r="J54" s="41">
        <v>279.0</v>
      </c>
      <c r="K54" s="41">
        <v>349.0</v>
      </c>
      <c r="L54" s="41">
        <v>419.0</v>
      </c>
      <c r="M54" s="308"/>
      <c r="N54" s="37"/>
      <c r="O54" s="37"/>
      <c r="P54" s="37"/>
      <c r="Q54" s="37"/>
      <c r="R54" s="37"/>
      <c r="S54" s="37"/>
      <c r="T54" s="308"/>
      <c r="U54" s="37"/>
      <c r="V54" s="37"/>
      <c r="W54" s="37"/>
      <c r="X54" s="37"/>
      <c r="Y54" s="37"/>
    </row>
    <row r="55" ht="54.0" customHeight="1">
      <c r="A55" s="306">
        <v>1.110160006E9</v>
      </c>
      <c r="B55" s="307" t="str">
        <f>image("https://i.imgur.com/zMqpDif.png")</f>
        <v/>
      </c>
      <c r="C55" s="307" t="s">
        <v>1443</v>
      </c>
      <c r="D55" s="36" t="s">
        <v>1380</v>
      </c>
      <c r="E55" s="36" t="s">
        <v>323</v>
      </c>
      <c r="F55" s="40" t="s">
        <v>1391</v>
      </c>
      <c r="G55" s="37"/>
      <c r="H55" s="37"/>
      <c r="I55" s="41">
        <v>229.0</v>
      </c>
      <c r="J55" s="41">
        <v>279.0</v>
      </c>
      <c r="K55" s="41">
        <v>349.0</v>
      </c>
      <c r="L55" s="41">
        <v>419.0</v>
      </c>
      <c r="M55" s="308"/>
      <c r="N55" s="37"/>
      <c r="O55" s="37"/>
      <c r="P55" s="37"/>
      <c r="Q55" s="37"/>
      <c r="R55" s="37"/>
      <c r="S55" s="37"/>
      <c r="T55" s="308"/>
      <c r="U55" s="37"/>
      <c r="V55" s="37"/>
      <c r="W55" s="37"/>
      <c r="X55" s="37"/>
      <c r="Y55" s="37"/>
    </row>
    <row r="56" ht="54.0" customHeight="1">
      <c r="A56" s="306">
        <v>1.110160007E9</v>
      </c>
      <c r="B56" s="307" t="str">
        <f>image("https://i.imgur.com/V8Q6vQg.png")</f>
        <v/>
      </c>
      <c r="C56" s="307" t="s">
        <v>1444</v>
      </c>
      <c r="D56" s="36" t="s">
        <v>1380</v>
      </c>
      <c r="E56" s="36" t="s">
        <v>323</v>
      </c>
      <c r="F56" s="40" t="s">
        <v>1393</v>
      </c>
      <c r="G56" s="37"/>
      <c r="H56" s="37"/>
      <c r="I56" s="41">
        <v>229.0</v>
      </c>
      <c r="J56" s="41">
        <v>279.0</v>
      </c>
      <c r="K56" s="41">
        <v>349.0</v>
      </c>
      <c r="L56" s="41">
        <v>419.0</v>
      </c>
      <c r="M56" s="308"/>
      <c r="N56" s="37"/>
      <c r="O56" s="37"/>
      <c r="P56" s="37"/>
      <c r="Q56" s="37"/>
      <c r="R56" s="37"/>
      <c r="S56" s="37"/>
      <c r="T56" s="308"/>
      <c r="U56" s="37"/>
      <c r="V56" s="37"/>
      <c r="W56" s="37"/>
      <c r="X56" s="37"/>
      <c r="Y56" s="37"/>
    </row>
    <row r="57" ht="54.0" customHeight="1">
      <c r="A57" s="306">
        <v>1.110160008E9</v>
      </c>
      <c r="B57" s="307" t="str">
        <f>image("https://i.imgur.com/8YV85Vx.png")</f>
        <v/>
      </c>
      <c r="C57" s="307" t="s">
        <v>1445</v>
      </c>
      <c r="D57" s="36" t="s">
        <v>1380</v>
      </c>
      <c r="E57" s="36" t="s">
        <v>323</v>
      </c>
      <c r="F57" s="40"/>
      <c r="G57" s="37"/>
      <c r="H57" s="41">
        <v>172.0</v>
      </c>
      <c r="I57" s="41">
        <v>212.0</v>
      </c>
      <c r="J57" s="41">
        <v>252.0</v>
      </c>
      <c r="K57" s="41">
        <v>292.0</v>
      </c>
      <c r="L57" s="41"/>
      <c r="M57" s="309"/>
      <c r="N57" s="37"/>
      <c r="O57" s="37"/>
      <c r="P57" s="37"/>
      <c r="Q57" s="37"/>
      <c r="R57" s="37"/>
      <c r="S57" s="37"/>
      <c r="T57" s="308"/>
      <c r="U57" s="37"/>
      <c r="V57" s="37"/>
      <c r="W57" s="37"/>
      <c r="X57" s="37"/>
      <c r="Y57" s="37"/>
    </row>
    <row r="58" ht="54.0" customHeight="1">
      <c r="A58" s="306">
        <v>1.110160009E9</v>
      </c>
      <c r="B58" s="307" t="str">
        <f>image("https://i.imgur.com/540NtAm.png")</f>
        <v/>
      </c>
      <c r="C58" s="307" t="s">
        <v>1446</v>
      </c>
      <c r="D58" s="36" t="s">
        <v>1380</v>
      </c>
      <c r="E58" s="36" t="s">
        <v>323</v>
      </c>
      <c r="F58" s="40"/>
      <c r="G58" s="41">
        <v>120.0</v>
      </c>
      <c r="H58" s="41">
        <v>160.0</v>
      </c>
      <c r="I58" s="41">
        <v>190.0</v>
      </c>
      <c r="J58" s="41"/>
      <c r="K58" s="37"/>
      <c r="L58" s="37"/>
      <c r="M58" s="308"/>
      <c r="N58" s="37"/>
      <c r="O58" s="37"/>
      <c r="P58" s="37"/>
      <c r="Q58" s="37"/>
      <c r="R58" s="37"/>
      <c r="S58" s="37"/>
      <c r="T58" s="308"/>
      <c r="U58" s="37"/>
      <c r="V58" s="37"/>
      <c r="W58" s="37"/>
      <c r="X58" s="37"/>
      <c r="Y58" s="37"/>
    </row>
    <row r="59" ht="54.0" customHeight="1">
      <c r="A59" s="306">
        <v>1.110270001E9</v>
      </c>
      <c r="B59" s="307" t="str">
        <f>image("https://i.imgur.com/LAT68kM.png")</f>
        <v/>
      </c>
      <c r="C59" s="307" t="s">
        <v>1447</v>
      </c>
      <c r="D59" s="36" t="s">
        <v>1380</v>
      </c>
      <c r="E59" s="36" t="s">
        <v>240</v>
      </c>
      <c r="F59" s="36" t="s">
        <v>1381</v>
      </c>
      <c r="G59" s="37"/>
      <c r="H59" s="37"/>
      <c r="I59" s="41">
        <v>229.0</v>
      </c>
      <c r="J59" s="41">
        <v>279.0</v>
      </c>
      <c r="K59" s="41">
        <v>349.0</v>
      </c>
      <c r="L59" s="41">
        <v>419.0</v>
      </c>
      <c r="M59" s="308"/>
      <c r="N59" s="37"/>
      <c r="O59" s="37"/>
      <c r="P59" s="37"/>
      <c r="Q59" s="37"/>
      <c r="R59" s="37"/>
      <c r="S59" s="37"/>
      <c r="T59" s="308"/>
      <c r="U59" s="37"/>
      <c r="V59" s="37"/>
      <c r="W59" s="37"/>
      <c r="X59" s="37"/>
      <c r="Y59" s="37"/>
    </row>
    <row r="60" ht="54.0" customHeight="1">
      <c r="A60" s="306">
        <v>1.110270002E9</v>
      </c>
      <c r="B60" s="307" t="str">
        <f>image("https://i.imgur.com/PeeBfyB.png")</f>
        <v/>
      </c>
      <c r="C60" s="307" t="s">
        <v>1448</v>
      </c>
      <c r="D60" s="36" t="s">
        <v>1380</v>
      </c>
      <c r="E60" s="36" t="s">
        <v>240</v>
      </c>
      <c r="F60" s="40" t="s">
        <v>1383</v>
      </c>
      <c r="G60" s="37"/>
      <c r="H60" s="37"/>
      <c r="I60" s="41">
        <v>229.0</v>
      </c>
      <c r="J60" s="41">
        <v>279.0</v>
      </c>
      <c r="K60" s="41">
        <v>349.0</v>
      </c>
      <c r="L60" s="41">
        <v>419.0</v>
      </c>
      <c r="M60" s="308"/>
      <c r="N60" s="37"/>
      <c r="O60" s="37"/>
      <c r="P60" s="37"/>
      <c r="Q60" s="37"/>
      <c r="R60" s="37"/>
      <c r="S60" s="37"/>
      <c r="T60" s="308"/>
      <c r="U60" s="37"/>
      <c r="V60" s="37"/>
      <c r="W60" s="37"/>
      <c r="X60" s="37"/>
      <c r="Y60" s="37"/>
    </row>
    <row r="61" ht="54.0" customHeight="1">
      <c r="A61" s="306">
        <v>1.110270003E9</v>
      </c>
      <c r="B61" s="307" t="str">
        <f>image("https://i.imgur.com/whbwN0g.png")</f>
        <v/>
      </c>
      <c r="C61" s="307" t="s">
        <v>1449</v>
      </c>
      <c r="D61" s="36" t="s">
        <v>1380</v>
      </c>
      <c r="E61" s="36" t="s">
        <v>240</v>
      </c>
      <c r="F61" s="40" t="s">
        <v>1385</v>
      </c>
      <c r="G61" s="37"/>
      <c r="H61" s="37"/>
      <c r="I61" s="41">
        <v>229.0</v>
      </c>
      <c r="J61" s="41">
        <v>279.0</v>
      </c>
      <c r="K61" s="41">
        <v>349.0</v>
      </c>
      <c r="L61" s="41">
        <v>419.0</v>
      </c>
      <c r="M61" s="308"/>
      <c r="N61" s="37"/>
      <c r="O61" s="37"/>
      <c r="P61" s="37"/>
      <c r="Q61" s="37"/>
      <c r="R61" s="37"/>
      <c r="S61" s="37"/>
      <c r="T61" s="308"/>
      <c r="U61" s="37"/>
      <c r="V61" s="37"/>
      <c r="W61" s="37"/>
      <c r="X61" s="37"/>
      <c r="Y61" s="37"/>
    </row>
    <row r="62" ht="54.0" customHeight="1">
      <c r="A62" s="306">
        <v>1.110270004E9</v>
      </c>
      <c r="B62" s="307" t="str">
        <f>image("https://i.imgur.com/6TrIuIt.png")</f>
        <v/>
      </c>
      <c r="C62" s="307" t="s">
        <v>1450</v>
      </c>
      <c r="D62" s="36" t="s">
        <v>1380</v>
      </c>
      <c r="E62" s="36" t="s">
        <v>240</v>
      </c>
      <c r="F62" s="40" t="s">
        <v>1387</v>
      </c>
      <c r="G62" s="37"/>
      <c r="H62" s="37"/>
      <c r="I62" s="41">
        <v>229.0</v>
      </c>
      <c r="J62" s="41">
        <v>279.0</v>
      </c>
      <c r="K62" s="41">
        <v>349.0</v>
      </c>
      <c r="L62" s="41">
        <v>419.0</v>
      </c>
      <c r="M62" s="308"/>
      <c r="N62" s="37"/>
      <c r="O62" s="37"/>
      <c r="P62" s="37"/>
      <c r="Q62" s="37"/>
      <c r="R62" s="37"/>
      <c r="S62" s="37"/>
      <c r="T62" s="308"/>
      <c r="U62" s="37"/>
      <c r="V62" s="37"/>
      <c r="W62" s="37"/>
      <c r="X62" s="37"/>
      <c r="Y62" s="37"/>
    </row>
    <row r="63" ht="54.0" customHeight="1">
      <c r="A63" s="306">
        <v>1.110270005E9</v>
      </c>
      <c r="B63" s="307" t="str">
        <f>image("https://i.imgur.com/kVbWJxH.png")</f>
        <v/>
      </c>
      <c r="C63" s="307" t="s">
        <v>1451</v>
      </c>
      <c r="D63" s="36" t="s">
        <v>1380</v>
      </c>
      <c r="E63" s="36" t="s">
        <v>240</v>
      </c>
      <c r="F63" s="40" t="s">
        <v>1389</v>
      </c>
      <c r="G63" s="37"/>
      <c r="H63" s="37"/>
      <c r="I63" s="41">
        <v>229.0</v>
      </c>
      <c r="J63" s="41">
        <v>279.0</v>
      </c>
      <c r="K63" s="41">
        <v>349.0</v>
      </c>
      <c r="L63" s="41">
        <v>419.0</v>
      </c>
      <c r="M63" s="308"/>
      <c r="N63" s="37"/>
      <c r="O63" s="37"/>
      <c r="P63" s="37"/>
      <c r="Q63" s="37"/>
      <c r="R63" s="37"/>
      <c r="S63" s="37"/>
      <c r="T63" s="308"/>
      <c r="U63" s="37"/>
      <c r="V63" s="37"/>
      <c r="W63" s="37"/>
      <c r="X63" s="37"/>
      <c r="Y63" s="37"/>
    </row>
    <row r="64" ht="54.0" customHeight="1">
      <c r="A64" s="306">
        <v>1.110270006E9</v>
      </c>
      <c r="B64" s="307" t="str">
        <f>image("https://i.imgur.com/9qq5VD7.png")</f>
        <v/>
      </c>
      <c r="C64" s="307" t="s">
        <v>1452</v>
      </c>
      <c r="D64" s="36" t="s">
        <v>1380</v>
      </c>
      <c r="E64" s="36" t="s">
        <v>240</v>
      </c>
      <c r="F64" s="40" t="s">
        <v>1391</v>
      </c>
      <c r="G64" s="37"/>
      <c r="H64" s="37"/>
      <c r="I64" s="41">
        <v>229.0</v>
      </c>
      <c r="J64" s="41">
        <v>279.0</v>
      </c>
      <c r="K64" s="41">
        <v>349.0</v>
      </c>
      <c r="L64" s="41">
        <v>419.0</v>
      </c>
      <c r="M64" s="308"/>
      <c r="N64" s="37"/>
      <c r="O64" s="37"/>
      <c r="P64" s="37"/>
      <c r="Q64" s="37"/>
      <c r="R64" s="37"/>
      <c r="S64" s="37"/>
      <c r="T64" s="308"/>
      <c r="U64" s="37"/>
      <c r="V64" s="37"/>
      <c r="W64" s="37"/>
      <c r="X64" s="37"/>
      <c r="Y64" s="37"/>
    </row>
    <row r="65" ht="54.0" customHeight="1">
      <c r="A65" s="306">
        <v>1.110270007E9</v>
      </c>
      <c r="B65" s="307" t="str">
        <f>image("https://i.imgur.com/aZxpJ8p.png")</f>
        <v/>
      </c>
      <c r="C65" s="307" t="s">
        <v>1453</v>
      </c>
      <c r="D65" s="36" t="s">
        <v>1380</v>
      </c>
      <c r="E65" s="36" t="s">
        <v>240</v>
      </c>
      <c r="F65" s="40" t="s">
        <v>1393</v>
      </c>
      <c r="G65" s="37"/>
      <c r="H65" s="37"/>
      <c r="I65" s="41">
        <v>229.0</v>
      </c>
      <c r="J65" s="41">
        <v>279.0</v>
      </c>
      <c r="K65" s="41">
        <v>349.0</v>
      </c>
      <c r="L65" s="41">
        <v>419.0</v>
      </c>
      <c r="M65" s="308"/>
      <c r="N65" s="37"/>
      <c r="O65" s="37"/>
      <c r="P65" s="37"/>
      <c r="Q65" s="37"/>
      <c r="R65" s="37"/>
      <c r="S65" s="37"/>
      <c r="T65" s="308"/>
      <c r="U65" s="37"/>
      <c r="V65" s="37"/>
      <c r="W65" s="37"/>
      <c r="X65" s="37"/>
      <c r="Y65" s="37"/>
    </row>
    <row r="66" ht="54.0" customHeight="1">
      <c r="A66" s="306">
        <v>1.110270008E9</v>
      </c>
      <c r="B66" s="307" t="str">
        <f>image("https://i.imgur.com/OD93qKZ.png")</f>
        <v/>
      </c>
      <c r="C66" s="307" t="s">
        <v>1454</v>
      </c>
      <c r="D66" s="36" t="s">
        <v>1380</v>
      </c>
      <c r="E66" s="36" t="s">
        <v>240</v>
      </c>
      <c r="F66" s="40"/>
      <c r="G66" s="37"/>
      <c r="H66" s="41">
        <v>172.0</v>
      </c>
      <c r="I66" s="41">
        <v>212.0</v>
      </c>
      <c r="J66" s="41">
        <v>252.0</v>
      </c>
      <c r="K66" s="41">
        <v>292.0</v>
      </c>
      <c r="L66" s="41"/>
      <c r="M66" s="309"/>
      <c r="N66" s="37"/>
      <c r="O66" s="37"/>
      <c r="P66" s="37"/>
      <c r="Q66" s="37"/>
      <c r="R66" s="37"/>
      <c r="S66" s="37"/>
      <c r="T66" s="308"/>
      <c r="U66" s="37"/>
      <c r="V66" s="37"/>
      <c r="W66" s="37"/>
      <c r="X66" s="37"/>
      <c r="Y66" s="37"/>
    </row>
    <row r="67" ht="54.0" customHeight="1">
      <c r="A67" s="306">
        <v>1.110270009E9</v>
      </c>
      <c r="B67" s="307" t="str">
        <f>image("https://i.imgur.com/Y8Hz901.png")</f>
        <v/>
      </c>
      <c r="C67" s="307" t="s">
        <v>1455</v>
      </c>
      <c r="D67" s="36" t="s">
        <v>1380</v>
      </c>
      <c r="E67" s="36" t="s">
        <v>240</v>
      </c>
      <c r="F67" s="40"/>
      <c r="G67" s="41">
        <v>120.0</v>
      </c>
      <c r="H67" s="41">
        <v>160.0</v>
      </c>
      <c r="I67" s="41">
        <v>190.0</v>
      </c>
      <c r="J67" s="41"/>
      <c r="K67" s="37"/>
      <c r="L67" s="37"/>
      <c r="M67" s="308"/>
      <c r="N67" s="37"/>
      <c r="O67" s="37"/>
      <c r="P67" s="37"/>
      <c r="Q67" s="37"/>
      <c r="R67" s="37"/>
      <c r="S67" s="37"/>
      <c r="T67" s="308"/>
      <c r="U67" s="37"/>
      <c r="V67" s="37"/>
      <c r="W67" s="37"/>
      <c r="X67" s="37"/>
      <c r="Y67" s="37"/>
    </row>
    <row r="68" ht="1.5" customHeight="1">
      <c r="A68" s="311"/>
      <c r="B68" s="312"/>
      <c r="C68" s="312"/>
      <c r="D68" s="313"/>
      <c r="E68" s="313"/>
      <c r="F68" s="314"/>
      <c r="G68" s="309"/>
      <c r="H68" s="309"/>
      <c r="I68" s="309"/>
      <c r="J68" s="309"/>
      <c r="K68" s="308"/>
      <c r="L68" s="308"/>
      <c r="M68" s="308"/>
      <c r="N68" s="308"/>
      <c r="O68" s="308"/>
      <c r="P68" s="308"/>
      <c r="Q68" s="308"/>
      <c r="R68" s="308"/>
      <c r="S68" s="308"/>
      <c r="T68" s="308"/>
      <c r="U68" s="308"/>
      <c r="V68" s="308"/>
      <c r="W68" s="308"/>
      <c r="X68" s="308"/>
      <c r="Y68" s="308"/>
    </row>
    <row r="69" ht="54.0" customHeight="1">
      <c r="A69" s="307">
        <v>1.130430001E9</v>
      </c>
      <c r="B69" s="307" t="str">
        <f>image("https://i.imgur.com/DsnVJy5.png")</f>
        <v/>
      </c>
      <c r="C69" s="307" t="s">
        <v>1456</v>
      </c>
      <c r="D69" s="36" t="s">
        <v>1457</v>
      </c>
      <c r="E69" s="40"/>
      <c r="F69" s="36" t="s">
        <v>1458</v>
      </c>
      <c r="G69" s="37"/>
      <c r="H69" s="37"/>
      <c r="I69" s="37"/>
      <c r="J69" s="37"/>
      <c r="K69" s="37"/>
      <c r="L69" s="37"/>
      <c r="M69" s="308"/>
      <c r="N69" s="37"/>
      <c r="O69" s="37"/>
      <c r="P69" s="37"/>
      <c r="Q69" s="37"/>
      <c r="R69" s="37"/>
      <c r="S69" s="37"/>
      <c r="T69" s="308"/>
      <c r="U69" s="37"/>
      <c r="V69" s="37"/>
      <c r="W69" s="41">
        <v>1374.0</v>
      </c>
      <c r="X69" s="41">
        <v>1649.0</v>
      </c>
      <c r="Y69" s="41">
        <v>2094.0</v>
      </c>
    </row>
    <row r="70" ht="54.0" customHeight="1">
      <c r="A70" s="307">
        <v>1.130440001E9</v>
      </c>
      <c r="B70" s="307" t="str">
        <f>image("https://i.imgur.com/Vb6Qlft.png")</f>
        <v/>
      </c>
      <c r="C70" s="307" t="s">
        <v>1459</v>
      </c>
      <c r="D70" s="36" t="s">
        <v>1457</v>
      </c>
      <c r="E70" s="40"/>
      <c r="F70" s="36" t="s">
        <v>1460</v>
      </c>
      <c r="G70" s="37"/>
      <c r="H70" s="37"/>
      <c r="I70" s="37"/>
      <c r="J70" s="37"/>
      <c r="K70" s="37"/>
      <c r="L70" s="37"/>
      <c r="M70" s="308"/>
      <c r="N70" s="37"/>
      <c r="O70" s="37"/>
      <c r="P70" s="37"/>
      <c r="Q70" s="37"/>
      <c r="R70" s="37"/>
      <c r="S70" s="37"/>
      <c r="T70" s="308"/>
      <c r="U70" s="37"/>
      <c r="V70" s="37"/>
      <c r="W70" s="41">
        <v>1374.0</v>
      </c>
      <c r="X70" s="41">
        <v>1649.0</v>
      </c>
      <c r="Y70" s="41">
        <v>2094.0</v>
      </c>
    </row>
    <row r="71" ht="54.0" customHeight="1">
      <c r="A71" s="307">
        <v>1.130440003E9</v>
      </c>
      <c r="B71" s="307" t="str">
        <f>image("https://i.imgur.com/W9CZs4w.png")</f>
        <v/>
      </c>
      <c r="C71" s="307" t="s">
        <v>1461</v>
      </c>
      <c r="D71" s="36" t="s">
        <v>1457</v>
      </c>
      <c r="E71" s="40"/>
      <c r="F71" s="40"/>
      <c r="G71" s="37"/>
      <c r="H71" s="37"/>
      <c r="I71" s="37"/>
      <c r="J71" s="37"/>
      <c r="K71" s="37"/>
      <c r="L71" s="37"/>
      <c r="M71" s="308"/>
      <c r="N71" s="37"/>
      <c r="O71" s="37"/>
      <c r="P71" s="37"/>
      <c r="Q71" s="37"/>
      <c r="R71" s="37"/>
      <c r="S71" s="37"/>
      <c r="T71" s="308"/>
      <c r="U71" s="37"/>
      <c r="V71" s="41">
        <v>1032.0</v>
      </c>
      <c r="W71" s="41">
        <v>1272.0</v>
      </c>
      <c r="X71" s="41"/>
      <c r="Y71" s="41"/>
    </row>
    <row r="72" ht="54.0" customHeight="1">
      <c r="A72" s="307">
        <v>1.130440004E9</v>
      </c>
      <c r="B72" s="307" t="str">
        <f>image("https://i.imgur.com/Bs9Ay7r.png")</f>
        <v/>
      </c>
      <c r="C72" s="307" t="s">
        <v>1462</v>
      </c>
      <c r="D72" s="36" t="s">
        <v>1457</v>
      </c>
      <c r="E72" s="40"/>
      <c r="F72" s="40"/>
      <c r="G72" s="37"/>
      <c r="H72" s="41"/>
      <c r="I72" s="41"/>
      <c r="J72" s="41"/>
      <c r="K72" s="37"/>
      <c r="L72" s="37"/>
      <c r="M72" s="308"/>
      <c r="N72" s="37"/>
      <c r="O72" s="41"/>
      <c r="P72" s="41"/>
      <c r="Q72" s="41"/>
      <c r="R72" s="41"/>
      <c r="S72" s="41"/>
      <c r="T72" s="309"/>
      <c r="U72" s="41">
        <v>720.0</v>
      </c>
      <c r="V72" s="41">
        <v>960.0</v>
      </c>
      <c r="W72" s="41">
        <v>1140.0</v>
      </c>
      <c r="X72" s="41"/>
      <c r="Y72" s="41"/>
    </row>
    <row r="73" ht="1.5" customHeight="1">
      <c r="A73" s="312"/>
      <c r="B73" s="312"/>
      <c r="C73" s="312"/>
      <c r="D73" s="313"/>
      <c r="E73" s="314"/>
      <c r="F73" s="314"/>
      <c r="G73" s="308"/>
      <c r="H73" s="309"/>
      <c r="I73" s="309"/>
      <c r="J73" s="309"/>
      <c r="K73" s="308"/>
      <c r="L73" s="308"/>
      <c r="M73" s="308"/>
      <c r="N73" s="308"/>
      <c r="O73" s="309"/>
      <c r="P73" s="309"/>
      <c r="Q73" s="309"/>
      <c r="R73" s="309"/>
      <c r="S73" s="309"/>
      <c r="T73" s="309"/>
      <c r="U73" s="309"/>
      <c r="V73" s="309"/>
      <c r="W73" s="309"/>
      <c r="X73" s="309"/>
      <c r="Y73" s="309"/>
    </row>
    <row r="74" ht="54.0" customHeight="1">
      <c r="A74" s="307">
        <v>1.120310001E9</v>
      </c>
      <c r="B74" s="307" t="str">
        <f>image("https://i.imgur.com/peoYvdM.png")</f>
        <v/>
      </c>
      <c r="C74" s="307" t="s">
        <v>1463</v>
      </c>
      <c r="D74" s="36" t="s">
        <v>1464</v>
      </c>
      <c r="E74" s="40"/>
      <c r="F74" s="36" t="s">
        <v>1465</v>
      </c>
      <c r="G74" s="37"/>
      <c r="H74" s="37"/>
      <c r="I74" s="37"/>
      <c r="J74" s="37"/>
      <c r="K74" s="37"/>
      <c r="L74" s="37"/>
      <c r="M74" s="308"/>
      <c r="N74" s="37"/>
      <c r="O74" s="37"/>
      <c r="P74" s="41">
        <v>550.0</v>
      </c>
      <c r="Q74" s="41">
        <v>670.0</v>
      </c>
      <c r="R74" s="41">
        <v>830.0</v>
      </c>
      <c r="S74" s="41">
        <v>990.0</v>
      </c>
      <c r="T74" s="308"/>
      <c r="U74" s="37"/>
      <c r="V74" s="37"/>
      <c r="W74" s="37"/>
      <c r="X74" s="37"/>
      <c r="Y74" s="37"/>
    </row>
    <row r="75" ht="54.0" customHeight="1">
      <c r="A75" s="307">
        <v>1.120310002E9</v>
      </c>
      <c r="B75" s="307" t="str">
        <f>image("https://i.imgur.com/g0opfYD.png")</f>
        <v/>
      </c>
      <c r="C75" s="307" t="s">
        <v>1466</v>
      </c>
      <c r="D75" s="36" t="s">
        <v>1464</v>
      </c>
      <c r="E75" s="40"/>
      <c r="F75" s="40" t="s">
        <v>1467</v>
      </c>
      <c r="G75" s="37"/>
      <c r="H75" s="37"/>
      <c r="I75" s="37"/>
      <c r="J75" s="37"/>
      <c r="K75" s="37"/>
      <c r="L75" s="37"/>
      <c r="M75" s="308"/>
      <c r="N75" s="37"/>
      <c r="O75" s="37"/>
      <c r="P75" s="41">
        <v>550.0</v>
      </c>
      <c r="Q75" s="41">
        <v>670.0</v>
      </c>
      <c r="R75" s="41">
        <v>830.0</v>
      </c>
      <c r="S75" s="41">
        <v>990.0</v>
      </c>
      <c r="T75" s="308"/>
      <c r="U75" s="37"/>
      <c r="V75" s="37"/>
      <c r="W75" s="37"/>
      <c r="X75" s="37"/>
      <c r="Y75" s="37"/>
    </row>
    <row r="76" ht="54.0" customHeight="1">
      <c r="A76" s="307">
        <v>1.120310003E9</v>
      </c>
      <c r="B76" s="307" t="str">
        <f>image("https://i.imgur.com/gEP5JFA.png")</f>
        <v/>
      </c>
      <c r="C76" s="307" t="s">
        <v>1468</v>
      </c>
      <c r="D76" s="36" t="s">
        <v>1464</v>
      </c>
      <c r="E76" s="40"/>
      <c r="F76" s="40" t="s">
        <v>1469</v>
      </c>
      <c r="G76" s="37"/>
      <c r="H76" s="37"/>
      <c r="I76" s="37"/>
      <c r="J76" s="37"/>
      <c r="K76" s="37"/>
      <c r="L76" s="37"/>
      <c r="M76" s="308"/>
      <c r="N76" s="37"/>
      <c r="O76" s="37"/>
      <c r="P76" s="41">
        <v>550.0</v>
      </c>
      <c r="Q76" s="41">
        <v>670.0</v>
      </c>
      <c r="R76" s="41">
        <v>830.0</v>
      </c>
      <c r="S76" s="41">
        <v>990.0</v>
      </c>
      <c r="T76" s="308"/>
      <c r="U76" s="37"/>
      <c r="V76" s="37"/>
      <c r="W76" s="37"/>
      <c r="X76" s="37"/>
      <c r="Y76" s="37"/>
    </row>
    <row r="77" ht="54.0" customHeight="1">
      <c r="A77" s="307">
        <v>1.120310004E9</v>
      </c>
      <c r="B77" s="307" t="str">
        <f>image("https://i.imgur.com/FEOsLdE.png")</f>
        <v/>
      </c>
      <c r="C77" s="307" t="s">
        <v>1470</v>
      </c>
      <c r="D77" s="36" t="s">
        <v>1464</v>
      </c>
      <c r="E77" s="40"/>
      <c r="F77" s="40" t="s">
        <v>1471</v>
      </c>
      <c r="G77" s="37"/>
      <c r="H77" s="37"/>
      <c r="I77" s="37"/>
      <c r="J77" s="37"/>
      <c r="K77" s="37"/>
      <c r="L77" s="37"/>
      <c r="M77" s="308"/>
      <c r="N77" s="37"/>
      <c r="O77" s="37"/>
      <c r="P77" s="41">
        <v>550.0</v>
      </c>
      <c r="Q77" s="41">
        <v>670.0</v>
      </c>
      <c r="R77" s="41">
        <v>830.0</v>
      </c>
      <c r="S77" s="41">
        <v>990.0</v>
      </c>
      <c r="T77" s="308"/>
      <c r="U77" s="37"/>
      <c r="V77" s="37"/>
      <c r="W77" s="37"/>
      <c r="X77" s="37"/>
      <c r="Y77" s="37"/>
    </row>
    <row r="78" ht="54.0" customHeight="1">
      <c r="A78" s="307">
        <v>1.120310005E9</v>
      </c>
      <c r="B78" s="307" t="str">
        <f>image("https://i.imgur.com/HPGvhFs.png")</f>
        <v/>
      </c>
      <c r="C78" s="307" t="s">
        <v>1472</v>
      </c>
      <c r="D78" s="36" t="s">
        <v>1464</v>
      </c>
      <c r="E78" s="40"/>
      <c r="F78" s="40" t="s">
        <v>1473</v>
      </c>
      <c r="G78" s="37"/>
      <c r="H78" s="37"/>
      <c r="I78" s="37"/>
      <c r="J78" s="37"/>
      <c r="K78" s="37"/>
      <c r="L78" s="37"/>
      <c r="M78" s="308"/>
      <c r="N78" s="37"/>
      <c r="O78" s="37"/>
      <c r="P78" s="41">
        <v>550.0</v>
      </c>
      <c r="Q78" s="41">
        <v>670.0</v>
      </c>
      <c r="R78" s="41">
        <v>830.0</v>
      </c>
      <c r="S78" s="41">
        <v>990.0</v>
      </c>
      <c r="T78" s="308"/>
      <c r="U78" s="37"/>
      <c r="V78" s="37"/>
      <c r="W78" s="37"/>
      <c r="X78" s="37"/>
      <c r="Y78" s="37"/>
    </row>
    <row r="79" ht="54.0" customHeight="1">
      <c r="A79" s="307">
        <v>1.120310006E9</v>
      </c>
      <c r="B79" s="307" t="str">
        <f>image("https://i.imgur.com/Vqj5l9J.png")</f>
        <v/>
      </c>
      <c r="C79" s="307" t="s">
        <v>1474</v>
      </c>
      <c r="D79" s="36" t="s">
        <v>1464</v>
      </c>
      <c r="E79" s="40"/>
      <c r="F79" s="40" t="s">
        <v>1475</v>
      </c>
      <c r="G79" s="37"/>
      <c r="H79" s="37"/>
      <c r="I79" s="37"/>
      <c r="J79" s="37"/>
      <c r="K79" s="37"/>
      <c r="L79" s="37"/>
      <c r="M79" s="308"/>
      <c r="N79" s="37"/>
      <c r="O79" s="37"/>
      <c r="P79" s="41">
        <v>550.0</v>
      </c>
      <c r="Q79" s="41">
        <v>670.0</v>
      </c>
      <c r="R79" s="41">
        <v>830.0</v>
      </c>
      <c r="S79" s="41">
        <v>990.0</v>
      </c>
      <c r="T79" s="308"/>
      <c r="U79" s="37"/>
      <c r="V79" s="37"/>
      <c r="W79" s="37"/>
      <c r="X79" s="37"/>
      <c r="Y79" s="37"/>
    </row>
    <row r="80" ht="54.0" customHeight="1">
      <c r="A80" s="307">
        <v>1.120310007E9</v>
      </c>
      <c r="B80" s="307" t="str">
        <f>image("https://i.imgur.com/csyLoMP.png")</f>
        <v/>
      </c>
      <c r="C80" s="307" t="s">
        <v>1476</v>
      </c>
      <c r="D80" s="36" t="s">
        <v>1464</v>
      </c>
      <c r="E80" s="40"/>
      <c r="F80" s="40" t="s">
        <v>1477</v>
      </c>
      <c r="G80" s="37"/>
      <c r="H80" s="37"/>
      <c r="I80" s="37"/>
      <c r="J80" s="37"/>
      <c r="K80" s="37"/>
      <c r="L80" s="37"/>
      <c r="M80" s="308"/>
      <c r="N80" s="37"/>
      <c r="O80" s="37"/>
      <c r="P80" s="41">
        <v>550.0</v>
      </c>
      <c r="Q80" s="41">
        <v>670.0</v>
      </c>
      <c r="R80" s="41">
        <v>830.0</v>
      </c>
      <c r="S80" s="41">
        <v>990.0</v>
      </c>
      <c r="T80" s="308"/>
      <c r="U80" s="37"/>
      <c r="V80" s="37"/>
      <c r="W80" s="37"/>
      <c r="X80" s="37"/>
      <c r="Y80" s="37"/>
    </row>
    <row r="81" ht="54.0" customHeight="1">
      <c r="A81" s="307">
        <v>1.120310008E9</v>
      </c>
      <c r="B81" s="307" t="str">
        <f>image("https://i.imgur.com/U9GXly6.png")</f>
        <v/>
      </c>
      <c r="C81" s="307" t="s">
        <v>1478</v>
      </c>
      <c r="D81" s="36" t="s">
        <v>1464</v>
      </c>
      <c r="E81" s="40"/>
      <c r="F81" s="40"/>
      <c r="G81" s="37"/>
      <c r="H81" s="37"/>
      <c r="I81" s="37"/>
      <c r="J81" s="37"/>
      <c r="K81" s="37"/>
      <c r="L81" s="37"/>
      <c r="M81" s="308"/>
      <c r="N81" s="37"/>
      <c r="O81" s="41">
        <v>421.0</v>
      </c>
      <c r="P81" s="41">
        <v>521.0</v>
      </c>
      <c r="Q81" s="41"/>
      <c r="R81" s="41">
        <v>721.0</v>
      </c>
      <c r="S81" s="41"/>
      <c r="T81" s="308"/>
      <c r="U81" s="37"/>
      <c r="V81" s="37"/>
      <c r="W81" s="37"/>
      <c r="X81" s="37"/>
      <c r="Y81" s="37"/>
    </row>
    <row r="82" ht="54.0" customHeight="1">
      <c r="A82" s="307">
        <v>1.12031001E9</v>
      </c>
      <c r="B82" s="307" t="str">
        <f>image("https://i.imgur.com/K7aEzeK.png")</f>
        <v/>
      </c>
      <c r="C82" s="307" t="s">
        <v>1479</v>
      </c>
      <c r="D82" s="36" t="s">
        <v>1464</v>
      </c>
      <c r="E82" s="40"/>
      <c r="F82" s="40"/>
      <c r="G82" s="37"/>
      <c r="H82" s="37"/>
      <c r="I82" s="37"/>
      <c r="J82" s="37"/>
      <c r="K82" s="41"/>
      <c r="L82" s="41"/>
      <c r="M82" s="309"/>
      <c r="N82" s="41">
        <v>292.0</v>
      </c>
      <c r="O82" s="41">
        <v>392.0</v>
      </c>
      <c r="P82" s="41">
        <v>462.0</v>
      </c>
      <c r="Q82" s="41"/>
      <c r="R82" s="41"/>
      <c r="S82" s="41"/>
      <c r="T82" s="308"/>
      <c r="U82" s="37"/>
      <c r="V82" s="37"/>
      <c r="W82" s="37"/>
      <c r="X82" s="37"/>
      <c r="Y82" s="37"/>
    </row>
    <row r="83" ht="54.0" customHeight="1">
      <c r="A83" s="36">
        <v>1.120310011E9</v>
      </c>
      <c r="B83" s="307" t="str">
        <f>image("https://i.imgur.com/J8pjFjb.png")</f>
        <v/>
      </c>
      <c r="C83" s="36" t="s">
        <v>1480</v>
      </c>
      <c r="D83" s="36" t="s">
        <v>1464</v>
      </c>
      <c r="E83" s="40"/>
      <c r="F83" s="36" t="s">
        <v>1481</v>
      </c>
      <c r="G83" s="37"/>
      <c r="H83" s="37"/>
      <c r="I83" s="37"/>
      <c r="J83" s="37"/>
      <c r="K83" s="41"/>
      <c r="L83" s="41"/>
      <c r="M83" s="309"/>
      <c r="N83" s="41"/>
      <c r="O83" s="41">
        <v>421.0</v>
      </c>
      <c r="P83" s="41">
        <v>521.0</v>
      </c>
      <c r="Q83" s="41"/>
      <c r="R83" s="41">
        <v>721.0</v>
      </c>
      <c r="S83" s="41" t="s">
        <v>225</v>
      </c>
      <c r="T83" s="308"/>
      <c r="U83" s="37"/>
      <c r="V83" s="37"/>
      <c r="W83" s="37"/>
      <c r="X83" s="37"/>
      <c r="Y83" s="37"/>
    </row>
    <row r="84" ht="54.0" customHeight="1">
      <c r="A84" s="36">
        <v>1.120310012E9</v>
      </c>
      <c r="B84" s="307" t="str">
        <f>image("https://i.imgur.com/0b3RNql.png")</f>
        <v/>
      </c>
      <c r="C84" s="36" t="s">
        <v>1482</v>
      </c>
      <c r="D84" s="36" t="s">
        <v>1464</v>
      </c>
      <c r="E84" s="40"/>
      <c r="F84" s="36" t="s">
        <v>1483</v>
      </c>
      <c r="G84" s="37"/>
      <c r="H84" s="37"/>
      <c r="I84" s="37"/>
      <c r="J84" s="37"/>
      <c r="K84" s="41"/>
      <c r="L84" s="41"/>
      <c r="M84" s="309"/>
      <c r="N84" s="41"/>
      <c r="O84" s="41">
        <v>421.0</v>
      </c>
      <c r="P84" s="41">
        <v>521.0</v>
      </c>
      <c r="Q84" s="41"/>
      <c r="R84" s="41">
        <v>721.0</v>
      </c>
      <c r="S84" s="41" t="s">
        <v>225</v>
      </c>
      <c r="T84" s="308"/>
      <c r="U84" s="37"/>
      <c r="V84" s="37"/>
      <c r="W84" s="37"/>
      <c r="X84" s="37"/>
      <c r="Y84" s="3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3.86"/>
  </cols>
  <sheetData>
    <row r="1">
      <c r="A1" s="1" t="s">
        <v>1484</v>
      </c>
    </row>
    <row r="2">
      <c r="A2" s="1" t="s">
        <v>1485</v>
      </c>
    </row>
    <row r="3">
      <c r="A3" s="315" t="s">
        <v>1486</v>
      </c>
    </row>
    <row r="4">
      <c r="A4" s="316"/>
    </row>
    <row r="5">
      <c r="A5" s="33" t="s">
        <v>1487</v>
      </c>
    </row>
    <row r="6">
      <c r="A6" s="316"/>
    </row>
    <row r="7">
      <c r="A7" s="315" t="s">
        <v>1488</v>
      </c>
    </row>
    <row r="8">
      <c r="A8" s="316"/>
    </row>
    <row r="9">
      <c r="A9" s="317" t="s">
        <v>1489</v>
      </c>
    </row>
    <row r="10">
      <c r="A10" s="315" t="s">
        <v>1490</v>
      </c>
    </row>
    <row r="11">
      <c r="A11" s="315" t="s">
        <v>1491</v>
      </c>
    </row>
    <row r="12">
      <c r="A12" s="315" t="s">
        <v>1492</v>
      </c>
    </row>
    <row r="13">
      <c r="A13" s="316"/>
    </row>
    <row r="14">
      <c r="A14" s="315" t="s">
        <v>1493</v>
      </c>
    </row>
    <row r="15">
      <c r="A15" s="316"/>
    </row>
    <row r="16">
      <c r="A16" s="315" t="s">
        <v>1494</v>
      </c>
    </row>
    <row r="17">
      <c r="A17" s="316"/>
    </row>
    <row r="18">
      <c r="A18" s="315" t="s">
        <v>1495</v>
      </c>
    </row>
    <row r="19">
      <c r="A19" s="316"/>
    </row>
    <row r="20">
      <c r="A20" s="317" t="s">
        <v>1496</v>
      </c>
    </row>
    <row r="21">
      <c r="A21" s="315" t="s">
        <v>1497</v>
      </c>
    </row>
    <row r="22">
      <c r="A22" s="316"/>
    </row>
    <row r="23">
      <c r="A23" s="317" t="s">
        <v>1498</v>
      </c>
    </row>
    <row r="24">
      <c r="A24" s="315" t="s">
        <v>1499</v>
      </c>
    </row>
    <row r="25">
      <c r="A25" s="315" t="s">
        <v>1500</v>
      </c>
    </row>
    <row r="26">
      <c r="A26" s="315" t="s">
        <v>1501</v>
      </c>
    </row>
    <row r="27">
      <c r="A27" s="316"/>
    </row>
    <row r="28">
      <c r="A28" s="315" t="s">
        <v>1502</v>
      </c>
    </row>
    <row r="29">
      <c r="A29" s="316"/>
    </row>
    <row r="30">
      <c r="A30" s="317" t="s">
        <v>1503</v>
      </c>
    </row>
    <row r="31">
      <c r="A31" s="316"/>
    </row>
    <row r="32">
      <c r="A32" s="315" t="s">
        <v>1504</v>
      </c>
    </row>
    <row r="33">
      <c r="A33" s="315" t="s">
        <v>1505</v>
      </c>
    </row>
    <row r="34">
      <c r="A34" s="316"/>
    </row>
    <row r="35">
      <c r="A35" s="315" t="s">
        <v>1506</v>
      </c>
    </row>
    <row r="36">
      <c r="A36" s="316"/>
    </row>
    <row r="37">
      <c r="A37" s="317" t="s">
        <v>1507</v>
      </c>
    </row>
    <row r="38">
      <c r="A38" s="316"/>
    </row>
    <row r="39">
      <c r="A39" s="315" t="s">
        <v>1508</v>
      </c>
    </row>
    <row r="40">
      <c r="A40" s="316"/>
    </row>
    <row r="41">
      <c r="A41" s="317" t="s">
        <v>1509</v>
      </c>
    </row>
    <row r="42">
      <c r="A42" s="316"/>
    </row>
    <row r="43">
      <c r="A43" s="315" t="s">
        <v>1510</v>
      </c>
    </row>
    <row r="44">
      <c r="A44" s="316"/>
    </row>
    <row r="45">
      <c r="A45" s="315" t="s">
        <v>1511</v>
      </c>
    </row>
    <row r="46">
      <c r="A46" s="316"/>
    </row>
    <row r="47">
      <c r="A47" s="317" t="s">
        <v>1512</v>
      </c>
    </row>
    <row r="48">
      <c r="A48" s="316"/>
    </row>
    <row r="49">
      <c r="A49" s="315" t="s">
        <v>1513</v>
      </c>
    </row>
    <row r="50">
      <c r="A50" s="316"/>
    </row>
    <row r="51">
      <c r="A51" s="317" t="s">
        <v>1514</v>
      </c>
    </row>
    <row r="52">
      <c r="A52" s="315" t="s">
        <v>1515</v>
      </c>
    </row>
    <row r="53">
      <c r="A53" s="316"/>
    </row>
    <row r="54">
      <c r="A54" s="315" t="s">
        <v>1516</v>
      </c>
    </row>
    <row r="55">
      <c r="A55" s="316"/>
    </row>
    <row r="56">
      <c r="A56" s="317" t="s">
        <v>1517</v>
      </c>
    </row>
    <row r="57">
      <c r="A57" s="316"/>
    </row>
    <row r="58">
      <c r="A58" s="315" t="s">
        <v>1518</v>
      </c>
    </row>
    <row r="59">
      <c r="A59" s="315" t="s">
        <v>1519</v>
      </c>
    </row>
    <row r="60">
      <c r="A60" s="316"/>
    </row>
    <row r="61">
      <c r="A61" s="315" t="s">
        <v>1520</v>
      </c>
    </row>
    <row r="62">
      <c r="A62" s="316"/>
    </row>
    <row r="63">
      <c r="A63" s="317" t="s">
        <v>1521</v>
      </c>
    </row>
    <row r="64">
      <c r="A64" s="315" t="s">
        <v>1522</v>
      </c>
    </row>
    <row r="65">
      <c r="A65" s="316"/>
    </row>
    <row r="66">
      <c r="A66" s="315" t="s">
        <v>1523</v>
      </c>
    </row>
    <row r="67">
      <c r="A67" s="316"/>
    </row>
    <row r="68">
      <c r="A68" s="317" t="s">
        <v>1524</v>
      </c>
    </row>
    <row r="69">
      <c r="A69" s="316"/>
    </row>
    <row r="70">
      <c r="A70" s="315" t="s">
        <v>1525</v>
      </c>
    </row>
    <row r="71">
      <c r="A71" s="315" t="s">
        <v>1526</v>
      </c>
    </row>
    <row r="72">
      <c r="A72" s="316"/>
    </row>
    <row r="73">
      <c r="A73" s="315" t="s">
        <v>1527</v>
      </c>
    </row>
    <row r="74">
      <c r="A74" s="317"/>
    </row>
    <row r="75">
      <c r="A75" s="317" t="s">
        <v>1528</v>
      </c>
    </row>
    <row r="76">
      <c r="A76" s="316"/>
    </row>
    <row r="77">
      <c r="A77" s="315" t="s">
        <v>1529</v>
      </c>
    </row>
    <row r="78">
      <c r="A78" s="316"/>
    </row>
    <row r="79">
      <c r="A79" s="316"/>
    </row>
    <row r="80">
      <c r="A80" s="1" t="s">
        <v>1530</v>
      </c>
    </row>
    <row r="81">
      <c r="A81" s="315" t="s">
        <v>1531</v>
      </c>
    </row>
    <row r="82">
      <c r="A82" s="315" t="s">
        <v>1532</v>
      </c>
    </row>
    <row r="83">
      <c r="A83" s="316"/>
    </row>
    <row r="84">
      <c r="A84" s="315" t="s">
        <v>1533</v>
      </c>
    </row>
    <row r="85">
      <c r="A85" s="316"/>
    </row>
    <row r="86">
      <c r="A86" s="317" t="s">
        <v>1534</v>
      </c>
    </row>
    <row r="87">
      <c r="A87" s="316"/>
    </row>
    <row r="88">
      <c r="A88" s="315" t="s">
        <v>1535</v>
      </c>
    </row>
    <row r="89">
      <c r="A89" s="315" t="s">
        <v>1536</v>
      </c>
    </row>
    <row r="90">
      <c r="A90" s="316"/>
    </row>
    <row r="91">
      <c r="A91" s="317" t="s">
        <v>1537</v>
      </c>
    </row>
    <row r="92">
      <c r="A92" s="315" t="s">
        <v>1538</v>
      </c>
    </row>
    <row r="93">
      <c r="A93" s="316"/>
    </row>
    <row r="94">
      <c r="A94" s="317" t="s">
        <v>1539</v>
      </c>
    </row>
    <row r="95">
      <c r="A95" s="316"/>
    </row>
    <row r="96">
      <c r="A96" s="315" t="s">
        <v>1540</v>
      </c>
    </row>
    <row r="97">
      <c r="A97" s="316"/>
    </row>
    <row r="98">
      <c r="A98" s="317" t="s">
        <v>1541</v>
      </c>
    </row>
    <row r="99">
      <c r="A99" s="316"/>
    </row>
    <row r="100">
      <c r="A100" s="315" t="s">
        <v>1542</v>
      </c>
    </row>
    <row r="101">
      <c r="A101" s="316"/>
    </row>
    <row r="102">
      <c r="A102" s="1" t="s">
        <v>1543</v>
      </c>
    </row>
    <row r="103">
      <c r="A103" s="315" t="s">
        <v>1544</v>
      </c>
    </row>
    <row r="104">
      <c r="A104" s="316"/>
    </row>
    <row r="105">
      <c r="A105" s="315" t="s">
        <v>1545</v>
      </c>
    </row>
    <row r="106">
      <c r="A106" s="316"/>
    </row>
    <row r="107">
      <c r="A107" s="315" t="s">
        <v>1546</v>
      </c>
    </row>
    <row r="108">
      <c r="A108" s="316"/>
    </row>
    <row r="109">
      <c r="A109" s="317" t="s">
        <v>1547</v>
      </c>
    </row>
    <row r="110">
      <c r="A110" s="316"/>
    </row>
    <row r="111">
      <c r="A111" s="33" t="s">
        <v>1548</v>
      </c>
    </row>
    <row r="112">
      <c r="A112" s="315" t="s">
        <v>1549</v>
      </c>
    </row>
    <row r="113">
      <c r="A113" s="316"/>
    </row>
    <row r="114">
      <c r="A114" s="315" t="s">
        <v>1550</v>
      </c>
    </row>
    <row r="115">
      <c r="A115" s="316"/>
    </row>
    <row r="116">
      <c r="A116" s="1" t="s">
        <v>1551</v>
      </c>
    </row>
    <row r="117">
      <c r="A117" s="317" t="s">
        <v>1552</v>
      </c>
    </row>
    <row r="118">
      <c r="A118" s="316"/>
    </row>
    <row r="119">
      <c r="A119" s="315" t="s">
        <v>1553</v>
      </c>
    </row>
    <row r="120">
      <c r="A120" s="315" t="s">
        <v>1554</v>
      </c>
    </row>
    <row r="121">
      <c r="A121" s="316"/>
    </row>
    <row r="122">
      <c r="A122" s="317" t="s">
        <v>1555</v>
      </c>
    </row>
    <row r="123">
      <c r="A123" s="316"/>
    </row>
    <row r="124">
      <c r="A124" s="315" t="s">
        <v>1556</v>
      </c>
    </row>
    <row r="125">
      <c r="A125" s="316"/>
    </row>
    <row r="126">
      <c r="A126" s="315" t="s">
        <v>1557</v>
      </c>
    </row>
    <row r="127">
      <c r="A127" s="316"/>
    </row>
    <row r="128">
      <c r="A128" s="317" t="s">
        <v>1558</v>
      </c>
    </row>
    <row r="129">
      <c r="A129" s="316"/>
    </row>
    <row r="130">
      <c r="A130" s="315" t="s">
        <v>1559</v>
      </c>
    </row>
    <row r="131">
      <c r="A131" s="316"/>
    </row>
    <row r="132">
      <c r="A132" s="317" t="s">
        <v>1560</v>
      </c>
    </row>
    <row r="133">
      <c r="A133" s="316"/>
    </row>
    <row r="134">
      <c r="A134" s="315" t="s">
        <v>1561</v>
      </c>
    </row>
    <row r="135">
      <c r="A135" s="316"/>
    </row>
    <row r="136">
      <c r="A136" s="317" t="s">
        <v>1562</v>
      </c>
    </row>
    <row r="137">
      <c r="A137" s="316"/>
    </row>
    <row r="138">
      <c r="A138" s="315" t="s">
        <v>1563</v>
      </c>
    </row>
    <row r="139">
      <c r="A139" s="316"/>
    </row>
    <row r="140">
      <c r="A140" s="317" t="s">
        <v>1564</v>
      </c>
    </row>
    <row r="141">
      <c r="A141" s="316"/>
    </row>
    <row r="142">
      <c r="A142" s="315" t="s">
        <v>1565</v>
      </c>
    </row>
    <row r="143">
      <c r="A143" s="316"/>
    </row>
    <row r="144">
      <c r="A144" s="315" t="s">
        <v>1566</v>
      </c>
    </row>
    <row r="145">
      <c r="A145" s="315" t="s">
        <v>1567</v>
      </c>
    </row>
    <row r="146">
      <c r="A146" s="316"/>
    </row>
    <row r="147">
      <c r="A147" s="317" t="s">
        <v>1568</v>
      </c>
    </row>
    <row r="148">
      <c r="A148" s="316"/>
    </row>
    <row r="149">
      <c r="A149" s="315" t="s">
        <v>1569</v>
      </c>
    </row>
    <row r="150">
      <c r="A150" s="315" t="s">
        <v>1570</v>
      </c>
    </row>
    <row r="151">
      <c r="A151" s="316"/>
    </row>
    <row r="152">
      <c r="A152" s="315" t="s">
        <v>1571</v>
      </c>
    </row>
    <row r="153">
      <c r="A153" s="316"/>
    </row>
    <row r="154">
      <c r="A154" s="315" t="s">
        <v>1572</v>
      </c>
    </row>
    <row r="155">
      <c r="A155" s="316"/>
    </row>
    <row r="156">
      <c r="A156" s="317" t="s">
        <v>1573</v>
      </c>
    </row>
    <row r="157">
      <c r="A157" s="317" t="s">
        <v>1574</v>
      </c>
    </row>
    <row r="158">
      <c r="A158" s="316"/>
    </row>
    <row r="159">
      <c r="A159" s="315" t="s">
        <v>1575</v>
      </c>
    </row>
    <row r="160">
      <c r="A160" s="316"/>
    </row>
    <row r="161">
      <c r="A161" s="1" t="s">
        <v>1576</v>
      </c>
    </row>
    <row r="162">
      <c r="A162" s="316"/>
    </row>
    <row r="163">
      <c r="A163" s="315" t="s">
        <v>1577</v>
      </c>
    </row>
    <row r="164">
      <c r="A164" s="316"/>
    </row>
    <row r="165">
      <c r="A165" s="315" t="s">
        <v>1578</v>
      </c>
    </row>
    <row r="166">
      <c r="A166" s="316"/>
    </row>
    <row r="167">
      <c r="A167" s="317" t="s">
        <v>1579</v>
      </c>
    </row>
    <row r="168">
      <c r="A168" s="316"/>
    </row>
    <row r="169">
      <c r="A169" s="315" t="s">
        <v>1580</v>
      </c>
    </row>
    <row r="170">
      <c r="A170" s="315" t="s">
        <v>1581</v>
      </c>
    </row>
    <row r="171">
      <c r="A171" s="316"/>
    </row>
    <row r="172">
      <c r="A172" s="317" t="s">
        <v>1582</v>
      </c>
    </row>
    <row r="173">
      <c r="A173" s="316"/>
    </row>
    <row r="174">
      <c r="A174" s="315" t="s">
        <v>1583</v>
      </c>
    </row>
    <row r="175">
      <c r="A175" s="315" t="s">
        <v>1584</v>
      </c>
    </row>
    <row r="176">
      <c r="A176" s="315" t="s">
        <v>1585</v>
      </c>
    </row>
    <row r="177">
      <c r="A177" s="316"/>
    </row>
    <row r="178">
      <c r="A178" s="315" t="s">
        <v>1586</v>
      </c>
    </row>
    <row r="179">
      <c r="A179" s="316"/>
    </row>
    <row r="180">
      <c r="A180" s="315" t="s">
        <v>1587</v>
      </c>
    </row>
    <row r="181">
      <c r="A181" s="315" t="s">
        <v>1588</v>
      </c>
    </row>
    <row r="182">
      <c r="A182" s="316"/>
    </row>
    <row r="183">
      <c r="A183" s="317" t="s">
        <v>1589</v>
      </c>
    </row>
    <row r="184">
      <c r="A184" s="316"/>
    </row>
    <row r="185">
      <c r="A185" s="315" t="s">
        <v>1590</v>
      </c>
    </row>
    <row r="186">
      <c r="A186" s="316"/>
    </row>
    <row r="187">
      <c r="A187" s="33" t="s">
        <v>1591</v>
      </c>
    </row>
    <row r="188">
      <c r="A188" s="315" t="s">
        <v>1592</v>
      </c>
    </row>
    <row r="189">
      <c r="A189" s="316"/>
    </row>
    <row r="190">
      <c r="A190" s="315" t="s">
        <v>1593</v>
      </c>
    </row>
    <row r="191">
      <c r="A191" s="316"/>
    </row>
    <row r="192">
      <c r="A192" s="315" t="s">
        <v>1594</v>
      </c>
    </row>
    <row r="193">
      <c r="A193" s="315" t="s">
        <v>1595</v>
      </c>
    </row>
    <row r="194">
      <c r="A194" s="316"/>
    </row>
    <row r="195">
      <c r="A195" s="316"/>
    </row>
    <row r="196">
      <c r="A196" s="316"/>
    </row>
    <row r="197">
      <c r="A197" s="316"/>
    </row>
    <row r="198">
      <c r="A198" s="316"/>
    </row>
    <row r="199">
      <c r="A199" s="316"/>
    </row>
    <row r="200">
      <c r="A200" s="316"/>
    </row>
    <row r="201">
      <c r="A201" s="316"/>
    </row>
    <row r="202">
      <c r="A202" s="316"/>
    </row>
    <row r="203">
      <c r="A203" s="316"/>
    </row>
    <row r="204">
      <c r="A204" s="316"/>
    </row>
    <row r="205">
      <c r="A205" s="316"/>
    </row>
    <row r="206">
      <c r="A206" s="316"/>
    </row>
    <row r="207">
      <c r="A207" s="316"/>
    </row>
    <row r="208">
      <c r="A208" s="316"/>
    </row>
    <row r="209">
      <c r="A209" s="316"/>
    </row>
    <row r="210">
      <c r="A210" s="316"/>
    </row>
    <row r="211">
      <c r="A211" s="316"/>
    </row>
    <row r="212">
      <c r="A212" s="316"/>
    </row>
    <row r="213">
      <c r="A213" s="316"/>
    </row>
    <row r="214">
      <c r="A214" s="316"/>
    </row>
    <row r="215">
      <c r="A215" s="316"/>
    </row>
    <row r="216">
      <c r="A216" s="316"/>
    </row>
    <row r="217">
      <c r="A217" s="316"/>
    </row>
    <row r="218">
      <c r="A218" s="316"/>
    </row>
    <row r="219">
      <c r="A219" s="316"/>
    </row>
    <row r="220">
      <c r="A220" s="316"/>
    </row>
    <row r="221">
      <c r="A221" s="316"/>
    </row>
    <row r="222">
      <c r="A222" s="316"/>
    </row>
    <row r="223">
      <c r="A223" s="316"/>
    </row>
    <row r="224">
      <c r="A224" s="316"/>
    </row>
    <row r="225">
      <c r="A225" s="316"/>
    </row>
    <row r="226">
      <c r="A226" s="316"/>
    </row>
    <row r="227">
      <c r="A227" s="316"/>
    </row>
    <row r="228">
      <c r="A228" s="316"/>
    </row>
    <row r="229">
      <c r="A229" s="316"/>
    </row>
    <row r="230">
      <c r="A230" s="316"/>
    </row>
    <row r="231">
      <c r="A231" s="316"/>
    </row>
    <row r="232">
      <c r="A232" s="316"/>
    </row>
    <row r="233">
      <c r="A233" s="316"/>
    </row>
    <row r="234">
      <c r="A234" s="316"/>
    </row>
    <row r="235">
      <c r="A235" s="316"/>
    </row>
    <row r="236">
      <c r="A236" s="316"/>
    </row>
    <row r="237">
      <c r="A237" s="316"/>
    </row>
    <row r="238">
      <c r="A238" s="316"/>
    </row>
    <row r="239">
      <c r="A239" s="316"/>
    </row>
    <row r="240">
      <c r="A240" s="316"/>
    </row>
    <row r="241">
      <c r="A241" s="316"/>
    </row>
    <row r="242">
      <c r="A242" s="316"/>
    </row>
    <row r="243">
      <c r="A243" s="316"/>
    </row>
    <row r="244">
      <c r="A244" s="316"/>
    </row>
    <row r="245">
      <c r="A245" s="316"/>
    </row>
    <row r="246">
      <c r="A246" s="316"/>
    </row>
    <row r="247">
      <c r="A247" s="316"/>
    </row>
    <row r="248">
      <c r="A248" s="316"/>
    </row>
    <row r="249">
      <c r="A249" s="316"/>
    </row>
    <row r="250">
      <c r="A250" s="316"/>
    </row>
    <row r="251">
      <c r="A251" s="316"/>
    </row>
    <row r="252">
      <c r="A252" s="316"/>
    </row>
    <row r="253">
      <c r="A253" s="316"/>
    </row>
    <row r="254">
      <c r="A254" s="316"/>
    </row>
    <row r="255">
      <c r="A255" s="316"/>
    </row>
    <row r="256">
      <c r="A256" s="316"/>
    </row>
    <row r="257">
      <c r="A257" s="316"/>
    </row>
    <row r="258">
      <c r="A258" s="316"/>
    </row>
    <row r="259">
      <c r="A259" s="316"/>
    </row>
    <row r="260">
      <c r="A260" s="316"/>
    </row>
    <row r="261">
      <c r="A261" s="316"/>
    </row>
    <row r="262">
      <c r="A262" s="316"/>
    </row>
    <row r="263">
      <c r="A263" s="316"/>
    </row>
    <row r="264">
      <c r="A264" s="316"/>
    </row>
    <row r="265">
      <c r="A265" s="316"/>
    </row>
    <row r="266">
      <c r="A266" s="316"/>
    </row>
    <row r="267">
      <c r="A267" s="316"/>
    </row>
    <row r="268">
      <c r="A268" s="316"/>
    </row>
    <row r="269">
      <c r="A269" s="316"/>
    </row>
    <row r="270">
      <c r="A270" s="316"/>
    </row>
    <row r="271">
      <c r="A271" s="316"/>
    </row>
    <row r="272">
      <c r="A272" s="316"/>
    </row>
    <row r="273">
      <c r="A273" s="316"/>
    </row>
    <row r="274">
      <c r="A274" s="316"/>
    </row>
    <row r="275">
      <c r="A275" s="316"/>
    </row>
    <row r="276">
      <c r="A276" s="316"/>
    </row>
    <row r="277">
      <c r="A277" s="316"/>
    </row>
    <row r="278">
      <c r="A278" s="316"/>
    </row>
    <row r="279">
      <c r="A279" s="316"/>
    </row>
    <row r="280">
      <c r="A280" s="316"/>
    </row>
    <row r="281">
      <c r="A281" s="316"/>
    </row>
    <row r="282">
      <c r="A282" s="316"/>
    </row>
    <row r="283">
      <c r="A283" s="316"/>
    </row>
    <row r="284">
      <c r="A284" s="316"/>
    </row>
    <row r="285">
      <c r="A285" s="316"/>
    </row>
    <row r="286">
      <c r="A286" s="316"/>
    </row>
    <row r="287">
      <c r="A287" s="316"/>
    </row>
    <row r="288">
      <c r="A288" s="316"/>
    </row>
    <row r="289">
      <c r="A289" s="316"/>
    </row>
    <row r="290">
      <c r="A290" s="316"/>
    </row>
    <row r="291">
      <c r="A291" s="316"/>
    </row>
    <row r="292">
      <c r="A292" s="316"/>
    </row>
    <row r="293">
      <c r="A293" s="316"/>
    </row>
    <row r="294">
      <c r="A294" s="316"/>
    </row>
    <row r="295">
      <c r="A295" s="316"/>
    </row>
    <row r="296">
      <c r="A296" s="316"/>
    </row>
    <row r="297">
      <c r="A297" s="316"/>
    </row>
    <row r="298">
      <c r="A298" s="316"/>
    </row>
    <row r="299">
      <c r="A299" s="316"/>
    </row>
    <row r="300">
      <c r="A300" s="316"/>
    </row>
    <row r="301">
      <c r="A301" s="316"/>
    </row>
    <row r="302">
      <c r="A302" s="316"/>
    </row>
    <row r="303">
      <c r="A303" s="316"/>
    </row>
    <row r="304">
      <c r="A304" s="316"/>
    </row>
    <row r="305">
      <c r="A305" s="316"/>
    </row>
    <row r="306">
      <c r="A306" s="316"/>
    </row>
    <row r="307">
      <c r="A307" s="316"/>
    </row>
    <row r="308">
      <c r="A308" s="316"/>
    </row>
    <row r="309">
      <c r="A309" s="316"/>
    </row>
    <row r="310">
      <c r="A310" s="316"/>
    </row>
    <row r="311">
      <c r="A311" s="316"/>
    </row>
    <row r="312">
      <c r="A312" s="316"/>
    </row>
    <row r="313">
      <c r="A313" s="316"/>
    </row>
    <row r="314">
      <c r="A314" s="316"/>
    </row>
    <row r="315">
      <c r="A315" s="316"/>
    </row>
    <row r="316">
      <c r="A316" s="316"/>
    </row>
    <row r="317">
      <c r="A317" s="316"/>
    </row>
    <row r="318">
      <c r="A318" s="316"/>
    </row>
    <row r="319">
      <c r="A319" s="316"/>
    </row>
    <row r="320">
      <c r="A320" s="316"/>
    </row>
    <row r="321">
      <c r="A321" s="316"/>
    </row>
    <row r="322">
      <c r="A322" s="316"/>
    </row>
    <row r="323">
      <c r="A323" s="316"/>
    </row>
    <row r="324">
      <c r="A324" s="316"/>
    </row>
    <row r="325">
      <c r="A325" s="316"/>
    </row>
    <row r="326">
      <c r="A326" s="316"/>
    </row>
    <row r="327">
      <c r="A327" s="316"/>
    </row>
    <row r="328">
      <c r="A328" s="316"/>
    </row>
    <row r="329">
      <c r="A329" s="316"/>
    </row>
    <row r="330">
      <c r="A330" s="316"/>
    </row>
    <row r="331">
      <c r="A331" s="316"/>
    </row>
    <row r="332">
      <c r="A332" s="316"/>
    </row>
    <row r="333">
      <c r="A333" s="316"/>
    </row>
    <row r="334">
      <c r="A334" s="316"/>
    </row>
    <row r="335">
      <c r="A335" s="316"/>
    </row>
    <row r="336">
      <c r="A336" s="316"/>
    </row>
    <row r="337">
      <c r="A337" s="316"/>
    </row>
    <row r="338">
      <c r="A338" s="316"/>
    </row>
    <row r="339">
      <c r="A339" s="316"/>
    </row>
    <row r="340">
      <c r="A340" s="316"/>
    </row>
    <row r="341">
      <c r="A341" s="316"/>
    </row>
    <row r="342">
      <c r="A342" s="316"/>
    </row>
    <row r="343">
      <c r="A343" s="316"/>
    </row>
    <row r="344">
      <c r="A344" s="316"/>
    </row>
    <row r="345">
      <c r="A345" s="316"/>
    </row>
    <row r="346">
      <c r="A346" s="316"/>
    </row>
    <row r="347">
      <c r="A347" s="316"/>
    </row>
    <row r="348">
      <c r="A348" s="316"/>
    </row>
    <row r="349">
      <c r="A349" s="316"/>
    </row>
    <row r="350">
      <c r="A350" s="316"/>
    </row>
    <row r="351">
      <c r="A351" s="316"/>
    </row>
    <row r="352">
      <c r="A352" s="316"/>
    </row>
    <row r="353">
      <c r="A353" s="316"/>
    </row>
    <row r="354">
      <c r="A354" s="316"/>
    </row>
    <row r="355">
      <c r="A355" s="316"/>
    </row>
    <row r="356">
      <c r="A356" s="316"/>
    </row>
    <row r="357">
      <c r="A357" s="316"/>
    </row>
    <row r="358">
      <c r="A358" s="316"/>
    </row>
    <row r="359">
      <c r="A359" s="316"/>
    </row>
    <row r="360">
      <c r="A360" s="316"/>
    </row>
    <row r="361">
      <c r="A361" s="316"/>
    </row>
    <row r="362">
      <c r="A362" s="316"/>
    </row>
    <row r="363">
      <c r="A363" s="316"/>
    </row>
    <row r="364">
      <c r="A364" s="316"/>
    </row>
    <row r="365">
      <c r="A365" s="316"/>
    </row>
    <row r="366">
      <c r="A366" s="316"/>
    </row>
    <row r="367">
      <c r="A367" s="316"/>
    </row>
    <row r="368">
      <c r="A368" s="316"/>
    </row>
    <row r="369">
      <c r="A369" s="316"/>
    </row>
    <row r="370">
      <c r="A370" s="316"/>
    </row>
    <row r="371">
      <c r="A371" s="316"/>
    </row>
    <row r="372">
      <c r="A372" s="316"/>
    </row>
    <row r="373">
      <c r="A373" s="316"/>
    </row>
    <row r="374">
      <c r="A374" s="316"/>
    </row>
    <row r="375">
      <c r="A375" s="316"/>
    </row>
    <row r="376">
      <c r="A376" s="316"/>
    </row>
    <row r="377">
      <c r="A377" s="316"/>
    </row>
    <row r="378">
      <c r="A378" s="316"/>
    </row>
    <row r="379">
      <c r="A379" s="316"/>
    </row>
    <row r="380">
      <c r="A380" s="316"/>
    </row>
    <row r="381">
      <c r="A381" s="316"/>
    </row>
    <row r="382">
      <c r="A382" s="316"/>
    </row>
    <row r="383">
      <c r="A383" s="316"/>
    </row>
    <row r="384">
      <c r="A384" s="316"/>
    </row>
    <row r="385">
      <c r="A385" s="316"/>
    </row>
    <row r="386">
      <c r="A386" s="316"/>
    </row>
    <row r="387">
      <c r="A387" s="316"/>
    </row>
    <row r="388">
      <c r="A388" s="316"/>
    </row>
    <row r="389">
      <c r="A389" s="316"/>
    </row>
    <row r="390">
      <c r="A390" s="316"/>
    </row>
    <row r="391">
      <c r="A391" s="316"/>
    </row>
    <row r="392">
      <c r="A392" s="316"/>
    </row>
    <row r="393">
      <c r="A393" s="316"/>
    </row>
    <row r="394">
      <c r="A394" s="316"/>
    </row>
    <row r="395">
      <c r="A395" s="316"/>
    </row>
    <row r="396">
      <c r="A396" s="316"/>
    </row>
    <row r="397">
      <c r="A397" s="316"/>
    </row>
    <row r="398">
      <c r="A398" s="316"/>
    </row>
    <row r="399">
      <c r="A399" s="316"/>
    </row>
    <row r="400">
      <c r="A400" s="316"/>
    </row>
    <row r="401">
      <c r="A401" s="316"/>
    </row>
    <row r="402">
      <c r="A402" s="316"/>
    </row>
    <row r="403">
      <c r="A403" s="316"/>
    </row>
    <row r="404">
      <c r="A404" s="316"/>
    </row>
    <row r="405">
      <c r="A405" s="316"/>
    </row>
    <row r="406">
      <c r="A406" s="316"/>
    </row>
    <row r="407">
      <c r="A407" s="316"/>
    </row>
    <row r="408">
      <c r="A408" s="316"/>
    </row>
    <row r="409">
      <c r="A409" s="316"/>
    </row>
    <row r="410">
      <c r="A410" s="316"/>
    </row>
    <row r="411">
      <c r="A411" s="316"/>
    </row>
    <row r="412">
      <c r="A412" s="316"/>
    </row>
    <row r="413">
      <c r="A413" s="316"/>
    </row>
    <row r="414">
      <c r="A414" s="316"/>
    </row>
    <row r="415">
      <c r="A415" s="316"/>
    </row>
    <row r="416">
      <c r="A416" s="316"/>
    </row>
    <row r="417">
      <c r="A417" s="316"/>
    </row>
    <row r="418">
      <c r="A418" s="316"/>
    </row>
    <row r="419">
      <c r="A419" s="316"/>
    </row>
    <row r="420">
      <c r="A420" s="316"/>
    </row>
    <row r="421">
      <c r="A421" s="316"/>
    </row>
    <row r="422">
      <c r="A422" s="316"/>
    </row>
    <row r="423">
      <c r="A423" s="316"/>
    </row>
    <row r="424">
      <c r="A424" s="316"/>
    </row>
    <row r="425">
      <c r="A425" s="316"/>
    </row>
    <row r="426">
      <c r="A426" s="316"/>
    </row>
    <row r="427">
      <c r="A427" s="316"/>
    </row>
    <row r="428">
      <c r="A428" s="316"/>
    </row>
    <row r="429">
      <c r="A429" s="316"/>
    </row>
    <row r="430">
      <c r="A430" s="316"/>
    </row>
    <row r="431">
      <c r="A431" s="316"/>
    </row>
    <row r="432">
      <c r="A432" s="316"/>
    </row>
    <row r="433">
      <c r="A433" s="316"/>
    </row>
    <row r="434">
      <c r="A434" s="316"/>
    </row>
    <row r="435">
      <c r="A435" s="316"/>
    </row>
    <row r="436">
      <c r="A436" s="316"/>
    </row>
    <row r="437">
      <c r="A437" s="316"/>
    </row>
    <row r="438">
      <c r="A438" s="316"/>
    </row>
    <row r="439">
      <c r="A439" s="316"/>
    </row>
    <row r="440">
      <c r="A440" s="316"/>
    </row>
    <row r="441">
      <c r="A441" s="316"/>
    </row>
    <row r="442">
      <c r="A442" s="316"/>
    </row>
    <row r="443">
      <c r="A443" s="316"/>
    </row>
    <row r="444">
      <c r="A444" s="316"/>
    </row>
    <row r="445">
      <c r="A445" s="316"/>
    </row>
    <row r="446">
      <c r="A446" s="316"/>
    </row>
    <row r="447">
      <c r="A447" s="316"/>
    </row>
    <row r="448">
      <c r="A448" s="316"/>
    </row>
    <row r="449">
      <c r="A449" s="316"/>
    </row>
    <row r="450">
      <c r="A450" s="316"/>
    </row>
    <row r="451">
      <c r="A451" s="316"/>
    </row>
    <row r="452">
      <c r="A452" s="316"/>
    </row>
    <row r="453">
      <c r="A453" s="316"/>
    </row>
    <row r="454">
      <c r="A454" s="316"/>
    </row>
    <row r="455">
      <c r="A455" s="316"/>
    </row>
    <row r="456">
      <c r="A456" s="316"/>
    </row>
    <row r="457">
      <c r="A457" s="316"/>
    </row>
    <row r="458">
      <c r="A458" s="316"/>
    </row>
    <row r="459">
      <c r="A459" s="316"/>
    </row>
    <row r="460">
      <c r="A460" s="316"/>
    </row>
    <row r="461">
      <c r="A461" s="316"/>
    </row>
    <row r="462">
      <c r="A462" s="316"/>
    </row>
    <row r="463">
      <c r="A463" s="316"/>
    </row>
    <row r="464">
      <c r="A464" s="316"/>
    </row>
    <row r="465">
      <c r="A465" s="316"/>
    </row>
    <row r="466">
      <c r="A466" s="316"/>
    </row>
    <row r="467">
      <c r="A467" s="316"/>
    </row>
    <row r="468">
      <c r="A468" s="316"/>
    </row>
    <row r="469">
      <c r="A469" s="316"/>
    </row>
    <row r="470">
      <c r="A470" s="316"/>
    </row>
    <row r="471">
      <c r="A471" s="316"/>
    </row>
    <row r="472">
      <c r="A472" s="316"/>
    </row>
    <row r="473">
      <c r="A473" s="316"/>
    </row>
    <row r="474">
      <c r="A474" s="316"/>
    </row>
    <row r="475">
      <c r="A475" s="316"/>
    </row>
    <row r="476">
      <c r="A476" s="316"/>
    </row>
    <row r="477">
      <c r="A477" s="316"/>
    </row>
    <row r="478">
      <c r="A478" s="316"/>
    </row>
    <row r="479">
      <c r="A479" s="316"/>
    </row>
    <row r="480">
      <c r="A480" s="316"/>
    </row>
    <row r="481">
      <c r="A481" s="316"/>
    </row>
    <row r="482">
      <c r="A482" s="316"/>
    </row>
    <row r="483">
      <c r="A483" s="316"/>
    </row>
    <row r="484">
      <c r="A484" s="316"/>
    </row>
    <row r="485">
      <c r="A485" s="316"/>
    </row>
    <row r="486">
      <c r="A486" s="316"/>
    </row>
    <row r="487">
      <c r="A487" s="316"/>
    </row>
    <row r="488">
      <c r="A488" s="316"/>
    </row>
    <row r="489">
      <c r="A489" s="316"/>
    </row>
    <row r="490">
      <c r="A490" s="316"/>
    </row>
    <row r="491">
      <c r="A491" s="316"/>
    </row>
    <row r="492">
      <c r="A492" s="316"/>
    </row>
    <row r="493">
      <c r="A493" s="316"/>
    </row>
    <row r="494">
      <c r="A494" s="316"/>
    </row>
    <row r="495">
      <c r="A495" s="316"/>
    </row>
    <row r="496">
      <c r="A496" s="316"/>
    </row>
    <row r="497">
      <c r="A497" s="316"/>
    </row>
    <row r="498">
      <c r="A498" s="316"/>
    </row>
    <row r="499">
      <c r="A499" s="316"/>
    </row>
    <row r="500">
      <c r="A500" s="316"/>
    </row>
    <row r="501">
      <c r="A501" s="316"/>
    </row>
    <row r="502">
      <c r="A502" s="316"/>
    </row>
    <row r="503">
      <c r="A503" s="316"/>
    </row>
    <row r="504">
      <c r="A504" s="316"/>
    </row>
    <row r="505">
      <c r="A505" s="316"/>
    </row>
    <row r="506">
      <c r="A506" s="316"/>
    </row>
    <row r="507">
      <c r="A507" s="316"/>
    </row>
    <row r="508">
      <c r="A508" s="316"/>
    </row>
    <row r="509">
      <c r="A509" s="316"/>
    </row>
    <row r="510">
      <c r="A510" s="316"/>
    </row>
    <row r="511">
      <c r="A511" s="316"/>
    </row>
    <row r="512">
      <c r="A512" s="316"/>
    </row>
    <row r="513">
      <c r="A513" s="316"/>
    </row>
    <row r="514">
      <c r="A514" s="316"/>
    </row>
    <row r="515">
      <c r="A515" s="316"/>
    </row>
    <row r="516">
      <c r="A516" s="316"/>
    </row>
    <row r="517">
      <c r="A517" s="316"/>
    </row>
    <row r="518">
      <c r="A518" s="316"/>
    </row>
    <row r="519">
      <c r="A519" s="316"/>
    </row>
    <row r="520">
      <c r="A520" s="316"/>
    </row>
    <row r="521">
      <c r="A521" s="316"/>
    </row>
    <row r="522">
      <c r="A522" s="316"/>
    </row>
    <row r="523">
      <c r="A523" s="316"/>
    </row>
    <row r="524">
      <c r="A524" s="316"/>
    </row>
    <row r="525">
      <c r="A525" s="316"/>
    </row>
    <row r="526">
      <c r="A526" s="316"/>
    </row>
    <row r="527">
      <c r="A527" s="316"/>
    </row>
    <row r="528">
      <c r="A528" s="316"/>
    </row>
    <row r="529">
      <c r="A529" s="316"/>
    </row>
    <row r="530">
      <c r="A530" s="316"/>
    </row>
    <row r="531">
      <c r="A531" s="316"/>
    </row>
    <row r="532">
      <c r="A532" s="316"/>
    </row>
    <row r="533">
      <c r="A533" s="316"/>
    </row>
    <row r="534">
      <c r="A534" s="316"/>
    </row>
    <row r="535">
      <c r="A535" s="316"/>
    </row>
    <row r="536">
      <c r="A536" s="316"/>
    </row>
    <row r="537">
      <c r="A537" s="316"/>
    </row>
    <row r="538">
      <c r="A538" s="316"/>
    </row>
    <row r="539">
      <c r="A539" s="316"/>
    </row>
    <row r="540">
      <c r="A540" s="316"/>
    </row>
    <row r="541">
      <c r="A541" s="316"/>
    </row>
    <row r="542">
      <c r="A542" s="316"/>
    </row>
    <row r="543">
      <c r="A543" s="316"/>
    </row>
    <row r="544">
      <c r="A544" s="316"/>
    </row>
    <row r="545">
      <c r="A545" s="316"/>
    </row>
    <row r="546">
      <c r="A546" s="316"/>
    </row>
    <row r="547">
      <c r="A547" s="316"/>
    </row>
    <row r="548">
      <c r="A548" s="316"/>
    </row>
    <row r="549">
      <c r="A549" s="316"/>
    </row>
    <row r="550">
      <c r="A550" s="316"/>
    </row>
    <row r="551">
      <c r="A551" s="316"/>
    </row>
    <row r="552">
      <c r="A552" s="316"/>
    </row>
    <row r="553">
      <c r="A553" s="316"/>
    </row>
    <row r="554">
      <c r="A554" s="316"/>
    </row>
    <row r="555">
      <c r="A555" s="316"/>
    </row>
    <row r="556">
      <c r="A556" s="316"/>
    </row>
    <row r="557">
      <c r="A557" s="316"/>
    </row>
    <row r="558">
      <c r="A558" s="316"/>
    </row>
    <row r="559">
      <c r="A559" s="316"/>
    </row>
    <row r="560">
      <c r="A560" s="316"/>
    </row>
    <row r="561">
      <c r="A561" s="316"/>
    </row>
    <row r="562">
      <c r="A562" s="316"/>
    </row>
    <row r="563">
      <c r="A563" s="316"/>
    </row>
    <row r="564">
      <c r="A564" s="316"/>
    </row>
    <row r="565">
      <c r="A565" s="316"/>
    </row>
    <row r="566">
      <c r="A566" s="316"/>
    </row>
    <row r="567">
      <c r="A567" s="316"/>
    </row>
    <row r="568">
      <c r="A568" s="316"/>
    </row>
    <row r="569">
      <c r="A569" s="316"/>
    </row>
    <row r="570">
      <c r="A570" s="316"/>
    </row>
    <row r="571">
      <c r="A571" s="316"/>
    </row>
    <row r="572">
      <c r="A572" s="316"/>
    </row>
    <row r="573">
      <c r="A573" s="316"/>
    </row>
    <row r="574">
      <c r="A574" s="316"/>
    </row>
    <row r="575">
      <c r="A575" s="316"/>
    </row>
    <row r="576">
      <c r="A576" s="316"/>
    </row>
    <row r="577">
      <c r="A577" s="316"/>
    </row>
    <row r="578">
      <c r="A578" s="316"/>
    </row>
    <row r="579">
      <c r="A579" s="316"/>
    </row>
    <row r="580">
      <c r="A580" s="316"/>
    </row>
    <row r="581">
      <c r="A581" s="316"/>
    </row>
    <row r="582">
      <c r="A582" s="316"/>
    </row>
    <row r="583">
      <c r="A583" s="316"/>
    </row>
    <row r="584">
      <c r="A584" s="316"/>
    </row>
    <row r="585">
      <c r="A585" s="316"/>
    </row>
    <row r="586">
      <c r="A586" s="316"/>
    </row>
    <row r="587">
      <c r="A587" s="316"/>
    </row>
    <row r="588">
      <c r="A588" s="316"/>
    </row>
    <row r="589">
      <c r="A589" s="316"/>
    </row>
    <row r="590">
      <c r="A590" s="316"/>
    </row>
    <row r="591">
      <c r="A591" s="316"/>
    </row>
    <row r="592">
      <c r="A592" s="316"/>
    </row>
    <row r="593">
      <c r="A593" s="316"/>
    </row>
    <row r="594">
      <c r="A594" s="316"/>
    </row>
    <row r="595">
      <c r="A595" s="316"/>
    </row>
    <row r="596">
      <c r="A596" s="316"/>
    </row>
    <row r="597">
      <c r="A597" s="316"/>
    </row>
    <row r="598">
      <c r="A598" s="316"/>
    </row>
    <row r="599">
      <c r="A599" s="316"/>
    </row>
    <row r="600">
      <c r="A600" s="316"/>
    </row>
    <row r="601">
      <c r="A601" s="316"/>
    </row>
    <row r="602">
      <c r="A602" s="316"/>
    </row>
    <row r="603">
      <c r="A603" s="316"/>
    </row>
    <row r="604">
      <c r="A604" s="316"/>
    </row>
    <row r="605">
      <c r="A605" s="316"/>
    </row>
    <row r="606">
      <c r="A606" s="316"/>
    </row>
    <row r="607">
      <c r="A607" s="316"/>
    </row>
    <row r="608">
      <c r="A608" s="316"/>
    </row>
    <row r="609">
      <c r="A609" s="316"/>
    </row>
    <row r="610">
      <c r="A610" s="316"/>
    </row>
    <row r="611">
      <c r="A611" s="316"/>
    </row>
    <row r="612">
      <c r="A612" s="316"/>
    </row>
    <row r="613">
      <c r="A613" s="316"/>
    </row>
    <row r="614">
      <c r="A614" s="316"/>
    </row>
    <row r="615">
      <c r="A615" s="316"/>
    </row>
    <row r="616">
      <c r="A616" s="316"/>
    </row>
    <row r="617">
      <c r="A617" s="316"/>
    </row>
    <row r="618">
      <c r="A618" s="316"/>
    </row>
    <row r="619">
      <c r="A619" s="316"/>
    </row>
    <row r="620">
      <c r="A620" s="316"/>
    </row>
    <row r="621">
      <c r="A621" s="316"/>
    </row>
    <row r="622">
      <c r="A622" s="316"/>
    </row>
    <row r="623">
      <c r="A623" s="316"/>
    </row>
    <row r="624">
      <c r="A624" s="316"/>
    </row>
    <row r="625">
      <c r="A625" s="316"/>
    </row>
    <row r="626">
      <c r="A626" s="316"/>
    </row>
    <row r="627">
      <c r="A627" s="316"/>
    </row>
    <row r="628">
      <c r="A628" s="316"/>
    </row>
    <row r="629">
      <c r="A629" s="316"/>
    </row>
    <row r="630">
      <c r="A630" s="316"/>
    </row>
    <row r="631">
      <c r="A631" s="316"/>
    </row>
    <row r="632">
      <c r="A632" s="316"/>
    </row>
    <row r="633">
      <c r="A633" s="316"/>
    </row>
    <row r="634">
      <c r="A634" s="316"/>
    </row>
    <row r="635">
      <c r="A635" s="316"/>
    </row>
    <row r="636">
      <c r="A636" s="316"/>
    </row>
    <row r="637">
      <c r="A637" s="316"/>
    </row>
    <row r="638">
      <c r="A638" s="316"/>
    </row>
    <row r="639">
      <c r="A639" s="316"/>
    </row>
    <row r="640">
      <c r="A640" s="316"/>
    </row>
    <row r="641">
      <c r="A641" s="316"/>
    </row>
    <row r="642">
      <c r="A642" s="316"/>
    </row>
    <row r="643">
      <c r="A643" s="316"/>
    </row>
    <row r="644">
      <c r="A644" s="316"/>
    </row>
    <row r="645">
      <c r="A645" s="316"/>
    </row>
    <row r="646">
      <c r="A646" s="316"/>
    </row>
    <row r="647">
      <c r="A647" s="316"/>
    </row>
    <row r="648">
      <c r="A648" s="316"/>
    </row>
    <row r="649">
      <c r="A649" s="316"/>
    </row>
    <row r="650">
      <c r="A650" s="316"/>
    </row>
    <row r="651">
      <c r="A651" s="316"/>
    </row>
    <row r="652">
      <c r="A652" s="316"/>
    </row>
    <row r="653">
      <c r="A653" s="316"/>
    </row>
    <row r="654">
      <c r="A654" s="316"/>
    </row>
    <row r="655">
      <c r="A655" s="316"/>
    </row>
    <row r="656">
      <c r="A656" s="316"/>
    </row>
    <row r="657">
      <c r="A657" s="316"/>
    </row>
    <row r="658">
      <c r="A658" s="316"/>
    </row>
    <row r="659">
      <c r="A659" s="316"/>
    </row>
    <row r="660">
      <c r="A660" s="316"/>
    </row>
    <row r="661">
      <c r="A661" s="316"/>
    </row>
    <row r="662">
      <c r="A662" s="316"/>
    </row>
    <row r="663">
      <c r="A663" s="316"/>
    </row>
    <row r="664">
      <c r="A664" s="316"/>
    </row>
    <row r="665">
      <c r="A665" s="316"/>
    </row>
    <row r="666">
      <c r="A666" s="316"/>
    </row>
    <row r="667">
      <c r="A667" s="316"/>
    </row>
    <row r="668">
      <c r="A668" s="316"/>
    </row>
    <row r="669">
      <c r="A669" s="316"/>
    </row>
    <row r="670">
      <c r="A670" s="316"/>
    </row>
    <row r="671">
      <c r="A671" s="316"/>
    </row>
    <row r="672">
      <c r="A672" s="316"/>
    </row>
    <row r="673">
      <c r="A673" s="316"/>
    </row>
    <row r="674">
      <c r="A674" s="316"/>
    </row>
    <row r="675">
      <c r="A675" s="316"/>
    </row>
    <row r="676">
      <c r="A676" s="316"/>
    </row>
    <row r="677">
      <c r="A677" s="316"/>
    </row>
    <row r="678">
      <c r="A678" s="316"/>
    </row>
    <row r="679">
      <c r="A679" s="316"/>
    </row>
    <row r="680">
      <c r="A680" s="316"/>
    </row>
    <row r="681">
      <c r="A681" s="316"/>
    </row>
    <row r="682">
      <c r="A682" s="316"/>
    </row>
    <row r="683">
      <c r="A683" s="316"/>
    </row>
    <row r="684">
      <c r="A684" s="316"/>
    </row>
    <row r="685">
      <c r="A685" s="316"/>
    </row>
    <row r="686">
      <c r="A686" s="316"/>
    </row>
    <row r="687">
      <c r="A687" s="316"/>
    </row>
    <row r="688">
      <c r="A688" s="316"/>
    </row>
    <row r="689">
      <c r="A689" s="316"/>
    </row>
    <row r="690">
      <c r="A690" s="316"/>
    </row>
    <row r="691">
      <c r="A691" s="316"/>
    </row>
    <row r="692">
      <c r="A692" s="316"/>
    </row>
    <row r="693">
      <c r="A693" s="316"/>
    </row>
    <row r="694">
      <c r="A694" s="316"/>
    </row>
    <row r="695">
      <c r="A695" s="316"/>
    </row>
    <row r="696">
      <c r="A696" s="316"/>
    </row>
    <row r="697">
      <c r="A697" s="316"/>
    </row>
    <row r="698">
      <c r="A698" s="316"/>
    </row>
    <row r="699">
      <c r="A699" s="316"/>
    </row>
    <row r="700">
      <c r="A700" s="316"/>
    </row>
    <row r="701">
      <c r="A701" s="316"/>
    </row>
    <row r="702">
      <c r="A702" s="316"/>
    </row>
    <row r="703">
      <c r="A703" s="316"/>
    </row>
    <row r="704">
      <c r="A704" s="316"/>
    </row>
    <row r="705">
      <c r="A705" s="316"/>
    </row>
    <row r="706">
      <c r="A706" s="316"/>
    </row>
    <row r="707">
      <c r="A707" s="316"/>
    </row>
    <row r="708">
      <c r="A708" s="316"/>
    </row>
    <row r="709">
      <c r="A709" s="316"/>
    </row>
    <row r="710">
      <c r="A710" s="316"/>
    </row>
    <row r="711">
      <c r="A711" s="316"/>
    </row>
    <row r="712">
      <c r="A712" s="316"/>
    </row>
    <row r="713">
      <c r="A713" s="316"/>
    </row>
    <row r="714">
      <c r="A714" s="316"/>
    </row>
    <row r="715">
      <c r="A715" s="316"/>
    </row>
    <row r="716">
      <c r="A716" s="316"/>
    </row>
    <row r="717">
      <c r="A717" s="316"/>
    </row>
    <row r="718">
      <c r="A718" s="316"/>
    </row>
    <row r="719">
      <c r="A719" s="316"/>
    </row>
    <row r="720">
      <c r="A720" s="316"/>
    </row>
    <row r="721">
      <c r="A721" s="316"/>
    </row>
    <row r="722">
      <c r="A722" s="316"/>
    </row>
    <row r="723">
      <c r="A723" s="316"/>
    </row>
    <row r="724">
      <c r="A724" s="316"/>
    </row>
    <row r="725">
      <c r="A725" s="316"/>
    </row>
    <row r="726">
      <c r="A726" s="316"/>
    </row>
    <row r="727">
      <c r="A727" s="316"/>
    </row>
    <row r="728">
      <c r="A728" s="316"/>
    </row>
    <row r="729">
      <c r="A729" s="316"/>
    </row>
    <row r="730">
      <c r="A730" s="316"/>
    </row>
    <row r="731">
      <c r="A731" s="316"/>
    </row>
    <row r="732">
      <c r="A732" s="316"/>
    </row>
    <row r="733">
      <c r="A733" s="316"/>
    </row>
    <row r="734">
      <c r="A734" s="316"/>
    </row>
    <row r="735">
      <c r="A735" s="316"/>
    </row>
    <row r="736">
      <c r="A736" s="316"/>
    </row>
    <row r="737">
      <c r="A737" s="316"/>
    </row>
    <row r="738">
      <c r="A738" s="316"/>
    </row>
    <row r="739">
      <c r="A739" s="316"/>
    </row>
    <row r="740">
      <c r="A740" s="316"/>
    </row>
    <row r="741">
      <c r="A741" s="316"/>
    </row>
    <row r="742">
      <c r="A742" s="316"/>
    </row>
    <row r="743">
      <c r="A743" s="316"/>
    </row>
    <row r="744">
      <c r="A744" s="316"/>
    </row>
    <row r="745">
      <c r="A745" s="316"/>
    </row>
    <row r="746">
      <c r="A746" s="316"/>
    </row>
    <row r="747">
      <c r="A747" s="316"/>
    </row>
    <row r="748">
      <c r="A748" s="316"/>
    </row>
    <row r="749">
      <c r="A749" s="316"/>
    </row>
    <row r="750">
      <c r="A750" s="316"/>
    </row>
    <row r="751">
      <c r="A751" s="316"/>
    </row>
    <row r="752">
      <c r="A752" s="316"/>
    </row>
    <row r="753">
      <c r="A753" s="316"/>
    </row>
    <row r="754">
      <c r="A754" s="316"/>
    </row>
    <row r="755">
      <c r="A755" s="316"/>
    </row>
    <row r="756">
      <c r="A756" s="316"/>
    </row>
    <row r="757">
      <c r="A757" s="316"/>
    </row>
    <row r="758">
      <c r="A758" s="316"/>
    </row>
    <row r="759">
      <c r="A759" s="316"/>
    </row>
    <row r="760">
      <c r="A760" s="316"/>
    </row>
    <row r="761">
      <c r="A761" s="316"/>
    </row>
    <row r="762">
      <c r="A762" s="316"/>
    </row>
    <row r="763">
      <c r="A763" s="316"/>
    </row>
    <row r="764">
      <c r="A764" s="316"/>
    </row>
    <row r="765">
      <c r="A765" s="316"/>
    </row>
    <row r="766">
      <c r="A766" s="316"/>
    </row>
    <row r="767">
      <c r="A767" s="316"/>
    </row>
    <row r="768">
      <c r="A768" s="316"/>
    </row>
    <row r="769">
      <c r="A769" s="316"/>
    </row>
    <row r="770">
      <c r="A770" s="316"/>
    </row>
    <row r="771">
      <c r="A771" s="316"/>
    </row>
    <row r="772">
      <c r="A772" s="316"/>
    </row>
    <row r="773">
      <c r="A773" s="316"/>
    </row>
    <row r="774">
      <c r="A774" s="316"/>
    </row>
    <row r="775">
      <c r="A775" s="316"/>
    </row>
    <row r="776">
      <c r="A776" s="316"/>
    </row>
    <row r="777">
      <c r="A777" s="316"/>
    </row>
    <row r="778">
      <c r="A778" s="316"/>
    </row>
    <row r="779">
      <c r="A779" s="316"/>
    </row>
    <row r="780">
      <c r="A780" s="316"/>
    </row>
    <row r="781">
      <c r="A781" s="316"/>
    </row>
    <row r="782">
      <c r="A782" s="316"/>
    </row>
    <row r="783">
      <c r="A783" s="316"/>
    </row>
    <row r="784">
      <c r="A784" s="316"/>
    </row>
    <row r="785">
      <c r="A785" s="316"/>
    </row>
    <row r="786">
      <c r="A786" s="316"/>
    </row>
    <row r="787">
      <c r="A787" s="316"/>
    </row>
    <row r="788">
      <c r="A788" s="316"/>
    </row>
    <row r="789">
      <c r="A789" s="316"/>
    </row>
    <row r="790">
      <c r="A790" s="316"/>
    </row>
    <row r="791">
      <c r="A791" s="316"/>
    </row>
    <row r="792">
      <c r="A792" s="316"/>
    </row>
    <row r="793">
      <c r="A793" s="316"/>
    </row>
    <row r="794">
      <c r="A794" s="316"/>
    </row>
    <row r="795">
      <c r="A795" s="316"/>
    </row>
    <row r="796">
      <c r="A796" s="316"/>
    </row>
    <row r="797">
      <c r="A797" s="316"/>
    </row>
    <row r="798">
      <c r="A798" s="316"/>
    </row>
    <row r="799">
      <c r="A799" s="316"/>
    </row>
    <row r="800">
      <c r="A800" s="316"/>
    </row>
    <row r="801">
      <c r="A801" s="316"/>
    </row>
    <row r="802">
      <c r="A802" s="316"/>
    </row>
    <row r="803">
      <c r="A803" s="316"/>
    </row>
    <row r="804">
      <c r="A804" s="316"/>
    </row>
    <row r="805">
      <c r="A805" s="316"/>
    </row>
    <row r="806">
      <c r="A806" s="316"/>
    </row>
    <row r="807">
      <c r="A807" s="316"/>
    </row>
    <row r="808">
      <c r="A808" s="316"/>
    </row>
    <row r="809">
      <c r="A809" s="316"/>
    </row>
    <row r="810">
      <c r="A810" s="316"/>
    </row>
    <row r="811">
      <c r="A811" s="316"/>
    </row>
    <row r="812">
      <c r="A812" s="316"/>
    </row>
    <row r="813">
      <c r="A813" s="316"/>
    </row>
    <row r="814">
      <c r="A814" s="316"/>
    </row>
    <row r="815">
      <c r="A815" s="316"/>
    </row>
    <row r="816">
      <c r="A816" s="316"/>
    </row>
    <row r="817">
      <c r="A817" s="316"/>
    </row>
    <row r="818">
      <c r="A818" s="316"/>
    </row>
    <row r="819">
      <c r="A819" s="316"/>
    </row>
    <row r="820">
      <c r="A820" s="316"/>
    </row>
    <row r="821">
      <c r="A821" s="316"/>
    </row>
    <row r="822">
      <c r="A822" s="316"/>
    </row>
    <row r="823">
      <c r="A823" s="316"/>
    </row>
    <row r="824">
      <c r="A824" s="316"/>
    </row>
    <row r="825">
      <c r="A825" s="316"/>
    </row>
    <row r="826">
      <c r="A826" s="316"/>
    </row>
    <row r="827">
      <c r="A827" s="316"/>
    </row>
    <row r="828">
      <c r="A828" s="316"/>
    </row>
    <row r="829">
      <c r="A829" s="316"/>
    </row>
    <row r="830">
      <c r="A830" s="316"/>
    </row>
    <row r="831">
      <c r="A831" s="316"/>
    </row>
    <row r="832">
      <c r="A832" s="316"/>
    </row>
    <row r="833">
      <c r="A833" s="316"/>
    </row>
    <row r="834">
      <c r="A834" s="316"/>
    </row>
    <row r="835">
      <c r="A835" s="316"/>
    </row>
    <row r="836">
      <c r="A836" s="316"/>
    </row>
    <row r="837">
      <c r="A837" s="316"/>
    </row>
    <row r="838">
      <c r="A838" s="316"/>
    </row>
    <row r="839">
      <c r="A839" s="316"/>
    </row>
    <row r="840">
      <c r="A840" s="316"/>
    </row>
    <row r="841">
      <c r="A841" s="316"/>
    </row>
    <row r="842">
      <c r="A842" s="316"/>
    </row>
    <row r="843">
      <c r="A843" s="316"/>
    </row>
    <row r="844">
      <c r="A844" s="316"/>
    </row>
    <row r="845">
      <c r="A845" s="316"/>
    </row>
    <row r="846">
      <c r="A846" s="316"/>
    </row>
    <row r="847">
      <c r="A847" s="316"/>
    </row>
    <row r="848">
      <c r="A848" s="316"/>
    </row>
    <row r="849">
      <c r="A849" s="316"/>
    </row>
    <row r="850">
      <c r="A850" s="316"/>
    </row>
    <row r="851">
      <c r="A851" s="316"/>
    </row>
    <row r="852">
      <c r="A852" s="316"/>
    </row>
    <row r="853">
      <c r="A853" s="316"/>
    </row>
    <row r="854">
      <c r="A854" s="316"/>
    </row>
    <row r="855">
      <c r="A855" s="316"/>
    </row>
    <row r="856">
      <c r="A856" s="316"/>
    </row>
    <row r="857">
      <c r="A857" s="316"/>
    </row>
    <row r="858">
      <c r="A858" s="316"/>
    </row>
    <row r="859">
      <c r="A859" s="316"/>
    </row>
    <row r="860">
      <c r="A860" s="316"/>
    </row>
    <row r="861">
      <c r="A861" s="316"/>
    </row>
    <row r="862">
      <c r="A862" s="316"/>
    </row>
    <row r="863">
      <c r="A863" s="316"/>
    </row>
    <row r="864">
      <c r="A864" s="316"/>
    </row>
    <row r="865">
      <c r="A865" s="316"/>
    </row>
    <row r="866">
      <c r="A866" s="316"/>
    </row>
    <row r="867">
      <c r="A867" s="316"/>
    </row>
    <row r="868">
      <c r="A868" s="316"/>
    </row>
    <row r="869">
      <c r="A869" s="316"/>
    </row>
    <row r="870">
      <c r="A870" s="316"/>
    </row>
    <row r="871">
      <c r="A871" s="316"/>
    </row>
    <row r="872">
      <c r="A872" s="316"/>
    </row>
    <row r="873">
      <c r="A873" s="316"/>
    </row>
    <row r="874">
      <c r="A874" s="316"/>
    </row>
    <row r="875">
      <c r="A875" s="316"/>
    </row>
    <row r="876">
      <c r="A876" s="316"/>
    </row>
    <row r="877">
      <c r="A877" s="316"/>
    </row>
    <row r="878">
      <c r="A878" s="316"/>
    </row>
    <row r="879">
      <c r="A879" s="316"/>
    </row>
    <row r="880">
      <c r="A880" s="316"/>
    </row>
    <row r="881">
      <c r="A881" s="316"/>
    </row>
    <row r="882">
      <c r="A882" s="316"/>
    </row>
    <row r="883">
      <c r="A883" s="316"/>
    </row>
    <row r="884">
      <c r="A884" s="316"/>
    </row>
    <row r="885">
      <c r="A885" s="316"/>
    </row>
    <row r="886">
      <c r="A886" s="316"/>
    </row>
    <row r="887">
      <c r="A887" s="316"/>
    </row>
    <row r="888">
      <c r="A888" s="316"/>
    </row>
    <row r="889">
      <c r="A889" s="316"/>
    </row>
    <row r="890">
      <c r="A890" s="316"/>
    </row>
    <row r="891">
      <c r="A891" s="316"/>
    </row>
    <row r="892">
      <c r="A892" s="316"/>
    </row>
    <row r="893">
      <c r="A893" s="316"/>
    </row>
    <row r="894">
      <c r="A894" s="316"/>
    </row>
    <row r="895">
      <c r="A895" s="316"/>
    </row>
    <row r="896">
      <c r="A896" s="316"/>
    </row>
    <row r="897">
      <c r="A897" s="316"/>
    </row>
    <row r="898">
      <c r="A898" s="316"/>
    </row>
    <row r="899">
      <c r="A899" s="316"/>
    </row>
    <row r="900">
      <c r="A900" s="316"/>
    </row>
    <row r="901">
      <c r="A901" s="316"/>
    </row>
    <row r="902">
      <c r="A902" s="316"/>
    </row>
    <row r="903">
      <c r="A903" s="316"/>
    </row>
    <row r="904">
      <c r="A904" s="316"/>
    </row>
    <row r="905">
      <c r="A905" s="316"/>
    </row>
    <row r="906">
      <c r="A906" s="316"/>
    </row>
    <row r="907">
      <c r="A907" s="316"/>
    </row>
    <row r="908">
      <c r="A908" s="316"/>
    </row>
    <row r="909">
      <c r="A909" s="316"/>
    </row>
    <row r="910">
      <c r="A910" s="316"/>
    </row>
    <row r="911">
      <c r="A911" s="316"/>
    </row>
    <row r="912">
      <c r="A912" s="316"/>
    </row>
    <row r="913">
      <c r="A913" s="316"/>
    </row>
    <row r="914">
      <c r="A914" s="316"/>
    </row>
    <row r="915">
      <c r="A915" s="316"/>
    </row>
    <row r="916">
      <c r="A916" s="316"/>
    </row>
    <row r="917">
      <c r="A917" s="316"/>
    </row>
    <row r="918">
      <c r="A918" s="316"/>
    </row>
    <row r="919">
      <c r="A919" s="316"/>
    </row>
    <row r="920">
      <c r="A920" s="316"/>
    </row>
    <row r="921">
      <c r="A921" s="316"/>
    </row>
    <row r="922">
      <c r="A922" s="316"/>
    </row>
    <row r="923">
      <c r="A923" s="316"/>
    </row>
    <row r="924">
      <c r="A924" s="316"/>
    </row>
    <row r="925">
      <c r="A925" s="316"/>
    </row>
    <row r="926">
      <c r="A926" s="316"/>
    </row>
    <row r="927">
      <c r="A927" s="316"/>
    </row>
    <row r="928">
      <c r="A928" s="316"/>
    </row>
    <row r="929">
      <c r="A929" s="316"/>
    </row>
    <row r="930">
      <c r="A930" s="316"/>
    </row>
    <row r="931">
      <c r="A931" s="316"/>
    </row>
    <row r="932">
      <c r="A932" s="316"/>
    </row>
    <row r="933">
      <c r="A933" s="316"/>
    </row>
    <row r="934">
      <c r="A934" s="316"/>
    </row>
    <row r="935">
      <c r="A935" s="316"/>
    </row>
    <row r="936">
      <c r="A936" s="316"/>
    </row>
    <row r="937">
      <c r="A937" s="316"/>
    </row>
    <row r="938">
      <c r="A938" s="316"/>
    </row>
    <row r="939">
      <c r="A939" s="316"/>
    </row>
    <row r="940">
      <c r="A940" s="316"/>
    </row>
    <row r="941">
      <c r="A941" s="316"/>
    </row>
    <row r="942">
      <c r="A942" s="316"/>
    </row>
    <row r="943">
      <c r="A943" s="316"/>
    </row>
    <row r="944">
      <c r="A944" s="316"/>
    </row>
    <row r="945">
      <c r="A945" s="316"/>
    </row>
    <row r="946">
      <c r="A946" s="316"/>
    </row>
    <row r="947">
      <c r="A947" s="316"/>
    </row>
    <row r="948">
      <c r="A948" s="316"/>
    </row>
    <row r="949">
      <c r="A949" s="316"/>
    </row>
    <row r="950">
      <c r="A950" s="316"/>
    </row>
    <row r="951">
      <c r="A951" s="316"/>
    </row>
    <row r="952">
      <c r="A952" s="316"/>
    </row>
    <row r="953">
      <c r="A953" s="316"/>
    </row>
    <row r="954">
      <c r="A954" s="316"/>
    </row>
    <row r="955">
      <c r="A955" s="316"/>
    </row>
    <row r="956">
      <c r="A956" s="316"/>
    </row>
    <row r="957">
      <c r="A957" s="316"/>
    </row>
    <row r="958">
      <c r="A958" s="316"/>
    </row>
    <row r="959">
      <c r="A959" s="316"/>
    </row>
    <row r="960">
      <c r="A960" s="316"/>
    </row>
    <row r="961">
      <c r="A961" s="316"/>
    </row>
    <row r="962">
      <c r="A962" s="316"/>
    </row>
    <row r="963">
      <c r="A963" s="316"/>
    </row>
    <row r="964">
      <c r="A964" s="316"/>
    </row>
    <row r="965">
      <c r="A965" s="316"/>
    </row>
    <row r="966">
      <c r="A966" s="316"/>
    </row>
    <row r="967">
      <c r="A967" s="316"/>
    </row>
    <row r="968">
      <c r="A968" s="316"/>
    </row>
    <row r="969">
      <c r="A969" s="316"/>
    </row>
    <row r="970">
      <c r="A970" s="316"/>
    </row>
    <row r="971">
      <c r="A971" s="316"/>
    </row>
    <row r="972">
      <c r="A972" s="316"/>
    </row>
    <row r="973">
      <c r="A973" s="316"/>
    </row>
    <row r="974">
      <c r="A974" s="316"/>
    </row>
    <row r="975">
      <c r="A975" s="316"/>
    </row>
    <row r="976">
      <c r="A976" s="316"/>
    </row>
    <row r="977">
      <c r="A977" s="316"/>
    </row>
    <row r="978">
      <c r="A978" s="316"/>
    </row>
    <row r="979">
      <c r="A979" s="316"/>
    </row>
    <row r="980">
      <c r="A980" s="316"/>
    </row>
    <row r="981">
      <c r="A981" s="316"/>
    </row>
    <row r="982">
      <c r="A982" s="316"/>
    </row>
    <row r="983">
      <c r="A983" s="316"/>
    </row>
    <row r="984">
      <c r="A984" s="316"/>
    </row>
    <row r="985">
      <c r="A985" s="316"/>
    </row>
    <row r="986">
      <c r="A986" s="316"/>
    </row>
    <row r="987">
      <c r="A987" s="316"/>
    </row>
    <row r="988">
      <c r="A988" s="316"/>
    </row>
    <row r="989">
      <c r="A989" s="316"/>
    </row>
    <row r="990">
      <c r="A990" s="316"/>
    </row>
    <row r="991">
      <c r="A991" s="316"/>
    </row>
    <row r="992">
      <c r="A992" s="316"/>
    </row>
    <row r="993">
      <c r="A993" s="316"/>
    </row>
    <row r="994">
      <c r="A994" s="316"/>
    </row>
    <row r="995">
      <c r="A995" s="316"/>
    </row>
    <row r="996">
      <c r="A996" s="316"/>
    </row>
    <row r="997">
      <c r="A997" s="316"/>
    </row>
    <row r="998">
      <c r="A998" s="316"/>
    </row>
    <row r="999">
      <c r="A999" s="316"/>
    </row>
    <row r="1000">
      <c r="A1000" s="316"/>
    </row>
    <row r="1001">
      <c r="A1001" s="31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0" width="18.71"/>
    <col customWidth="1" min="11" max="11" width="15.14"/>
    <col customWidth="1" hidden="1" min="12" max="12" width="12.71"/>
    <col customWidth="1" hidden="1" min="13" max="13" width="12.57"/>
    <col customWidth="1" hidden="1" min="14" max="14" width="13.0"/>
    <col customWidth="1" hidden="1" min="15" max="19" width="9.14"/>
  </cols>
  <sheetData>
    <row r="1">
      <c r="A1" s="318" t="s">
        <v>1596</v>
      </c>
      <c r="L1" s="7"/>
      <c r="M1" s="7"/>
      <c r="N1" s="7"/>
      <c r="O1" s="7"/>
      <c r="P1" s="7"/>
      <c r="Q1" s="7"/>
      <c r="R1" s="7"/>
      <c r="S1" s="7"/>
    </row>
    <row r="2">
      <c r="A2" s="318" t="s">
        <v>1597</v>
      </c>
      <c r="L2" s="7"/>
      <c r="M2" s="7"/>
      <c r="N2" s="7"/>
      <c r="O2" s="7"/>
      <c r="P2" s="7"/>
      <c r="Q2" s="7"/>
      <c r="R2" s="7"/>
      <c r="S2" s="7"/>
    </row>
    <row r="3">
      <c r="A3" s="319" t="s">
        <v>1598</v>
      </c>
      <c r="B3" s="7"/>
      <c r="C3" s="7"/>
      <c r="D3" s="7"/>
      <c r="E3" s="7"/>
      <c r="F3" s="7"/>
      <c r="G3" s="7"/>
      <c r="H3" s="7"/>
      <c r="I3" s="7"/>
      <c r="J3" s="7"/>
      <c r="K3" s="7"/>
      <c r="L3" s="7"/>
      <c r="M3" s="7"/>
      <c r="N3" s="7"/>
      <c r="O3" s="7"/>
      <c r="P3" s="7"/>
      <c r="Q3" s="7"/>
      <c r="R3" s="7"/>
      <c r="S3" s="7"/>
    </row>
    <row r="4">
      <c r="A4" s="319"/>
      <c r="B4" s="7"/>
      <c r="C4" s="7"/>
      <c r="D4" s="7"/>
      <c r="E4" s="7"/>
      <c r="F4" s="7"/>
      <c r="G4" s="7"/>
      <c r="H4" s="7"/>
      <c r="I4" s="7"/>
      <c r="J4" s="7"/>
      <c r="K4" s="7"/>
      <c r="L4" s="7"/>
      <c r="M4" s="7"/>
      <c r="N4" s="7"/>
      <c r="O4" s="7"/>
      <c r="P4" s="7"/>
      <c r="Q4" s="7"/>
      <c r="R4" s="7"/>
      <c r="S4" s="7"/>
    </row>
    <row r="5">
      <c r="A5" s="320" t="s">
        <v>1599</v>
      </c>
      <c r="L5" s="7"/>
      <c r="M5" s="7"/>
      <c r="N5" s="7"/>
      <c r="O5" s="7"/>
      <c r="P5" s="7"/>
      <c r="Q5" s="7"/>
      <c r="R5" s="7"/>
      <c r="S5" s="7"/>
    </row>
    <row r="6">
      <c r="A6" s="321" t="s">
        <v>1600</v>
      </c>
      <c r="B6" s="321"/>
      <c r="C6" s="321"/>
      <c r="D6" s="321"/>
      <c r="E6" s="321"/>
      <c r="F6" s="7"/>
      <c r="G6" s="7"/>
      <c r="H6" s="7"/>
      <c r="I6" s="7"/>
      <c r="J6" s="7"/>
      <c r="K6" s="7"/>
      <c r="L6" s="7"/>
      <c r="M6" s="7"/>
      <c r="N6" s="7"/>
      <c r="O6" s="7"/>
      <c r="P6" s="7"/>
      <c r="Q6" s="7"/>
      <c r="R6" s="7"/>
      <c r="S6" s="7"/>
    </row>
    <row r="7">
      <c r="A7" s="322" t="s">
        <v>1601</v>
      </c>
      <c r="B7" s="322" t="s">
        <v>1602</v>
      </c>
      <c r="C7" s="122"/>
      <c r="D7" s="123"/>
      <c r="E7" s="322" t="s">
        <v>1603</v>
      </c>
      <c r="F7" s="123"/>
      <c r="G7" s="322" t="s">
        <v>1604</v>
      </c>
      <c r="H7" s="122"/>
      <c r="I7" s="122"/>
      <c r="J7" s="123"/>
      <c r="K7" s="320"/>
      <c r="L7" s="320"/>
    </row>
    <row r="8" ht="57.75" customHeight="1">
      <c r="A8" s="323" t="str">
        <f>image("https://i.imgur.com/BEbqTOq.png")</f>
        <v/>
      </c>
      <c r="B8" s="147" t="str">
        <f>image("https://i.imgur.com/sMFoSip.png")</f>
        <v/>
      </c>
      <c r="C8" s="147" t="str">
        <f>IMAGE("https://i.imgur.com/trYHtEQ.png")</f>
        <v/>
      </c>
      <c r="D8" s="323" t="str">
        <f>image("https://i.imgur.com/404VYk6.png")</f>
        <v/>
      </c>
      <c r="E8" s="147" t="str">
        <f>image("https://i.imgur.com/KpuPfqM.png")</f>
        <v/>
      </c>
      <c r="F8" s="323" t="str">
        <f>image("https://i.imgur.com/yLCmBhK.png")</f>
        <v/>
      </c>
      <c r="G8" s="324" t="str">
        <f>image("https://i.imgur.com/5EddaaK.png")</f>
        <v/>
      </c>
      <c r="H8" s="147" t="str">
        <f>image("https://i.imgur.com/VYGPVhy.png")</f>
        <v/>
      </c>
      <c r="I8" s="147" t="str">
        <f>image("https://i.imgur.com/ngZQlot.png")</f>
        <v/>
      </c>
      <c r="J8" s="323" t="str">
        <f>image("https://i.imgur.com/lc781HC.png")</f>
        <v/>
      </c>
      <c r="K8" s="37"/>
      <c r="L8" s="37"/>
      <c r="M8" s="37"/>
      <c r="N8" s="37"/>
      <c r="O8" s="37"/>
      <c r="P8" s="37"/>
      <c r="Q8" s="37"/>
      <c r="R8" s="37"/>
      <c r="S8" s="37"/>
    </row>
    <row r="9" ht="72.75" customHeight="1">
      <c r="A9" s="325" t="s">
        <v>711</v>
      </c>
      <c r="B9" s="36" t="s">
        <v>320</v>
      </c>
      <c r="C9" s="36" t="s">
        <v>631</v>
      </c>
      <c r="D9" s="326" t="s">
        <v>346</v>
      </c>
      <c r="E9" s="39" t="s">
        <v>430</v>
      </c>
      <c r="F9" s="326" t="s">
        <v>397</v>
      </c>
      <c r="G9" s="36" t="s">
        <v>413</v>
      </c>
      <c r="H9" s="39" t="s">
        <v>406</v>
      </c>
      <c r="I9" s="36" t="s">
        <v>300</v>
      </c>
      <c r="J9" s="326" t="s">
        <v>308</v>
      </c>
      <c r="K9" s="327"/>
      <c r="L9" s="42"/>
      <c r="M9" s="42"/>
      <c r="N9" s="42"/>
      <c r="O9" s="42"/>
      <c r="P9" s="42"/>
      <c r="Q9" s="42"/>
      <c r="R9" s="42"/>
      <c r="S9" s="42"/>
    </row>
    <row r="10">
      <c r="A10" s="328" t="s">
        <v>1605</v>
      </c>
      <c r="B10" s="329"/>
      <c r="C10" s="329"/>
      <c r="D10" s="330"/>
      <c r="E10" s="331" t="s">
        <v>1606</v>
      </c>
      <c r="F10" s="331" t="s">
        <v>1607</v>
      </c>
      <c r="G10" s="331" t="s">
        <v>1608</v>
      </c>
      <c r="H10" s="332" t="s">
        <v>1609</v>
      </c>
      <c r="I10" s="331" t="s">
        <v>1608</v>
      </c>
      <c r="J10" s="332" t="s">
        <v>1610</v>
      </c>
      <c r="K10" s="333"/>
      <c r="L10" s="333"/>
      <c r="M10" s="333"/>
      <c r="N10" s="333"/>
      <c r="O10" s="333"/>
      <c r="P10" s="333"/>
      <c r="Q10" s="333"/>
      <c r="R10" s="333"/>
      <c r="S10" s="333"/>
    </row>
    <row r="11">
      <c r="A11" s="334"/>
      <c r="D11" s="233"/>
      <c r="E11" s="335"/>
      <c r="F11" s="335"/>
      <c r="G11" s="335"/>
      <c r="H11" s="335"/>
      <c r="I11" s="335"/>
      <c r="J11" s="335"/>
      <c r="L11" s="333"/>
      <c r="M11" s="333"/>
      <c r="N11" s="333"/>
      <c r="O11" s="333"/>
      <c r="P11" s="333"/>
      <c r="Q11" s="333"/>
      <c r="R11" s="333"/>
      <c r="S11" s="333"/>
    </row>
    <row r="12">
      <c r="A12" s="334"/>
      <c r="D12" s="260"/>
      <c r="E12" s="336"/>
      <c r="F12" s="336"/>
      <c r="G12" s="336"/>
      <c r="H12" s="336"/>
      <c r="I12" s="336"/>
      <c r="J12" s="336"/>
      <c r="L12" s="337"/>
      <c r="M12" s="337"/>
      <c r="N12" s="337"/>
      <c r="O12" s="337"/>
      <c r="P12" s="337"/>
      <c r="Q12" s="337"/>
      <c r="R12" s="337"/>
      <c r="S12" s="337"/>
    </row>
    <row r="13">
      <c r="A13" s="334"/>
      <c r="D13" s="233"/>
      <c r="E13" s="335"/>
      <c r="F13" s="335"/>
      <c r="G13" s="335"/>
      <c r="H13" s="335"/>
      <c r="I13" s="335"/>
      <c r="J13" s="335"/>
      <c r="L13" s="333"/>
      <c r="M13" s="333"/>
      <c r="N13" s="333"/>
      <c r="O13" s="333"/>
      <c r="P13" s="333"/>
      <c r="Q13" s="333"/>
      <c r="R13" s="333"/>
      <c r="S13" s="333"/>
    </row>
    <row r="14" ht="48.75" customHeight="1">
      <c r="A14" s="338"/>
      <c r="B14" s="255"/>
      <c r="C14" s="255"/>
      <c r="D14" s="251"/>
      <c r="E14" s="339"/>
      <c r="F14" s="339"/>
      <c r="G14" s="339"/>
      <c r="H14" s="339"/>
      <c r="I14" s="339"/>
      <c r="J14" s="339"/>
      <c r="L14" s="337"/>
      <c r="M14" s="337"/>
      <c r="N14" s="337"/>
      <c r="O14" s="337"/>
      <c r="P14" s="337"/>
      <c r="Q14" s="337"/>
      <c r="R14" s="337"/>
      <c r="S14" s="337"/>
    </row>
    <row r="15">
      <c r="A15" s="7"/>
      <c r="B15" s="7"/>
      <c r="C15" s="7"/>
      <c r="D15" s="7"/>
      <c r="E15" s="7"/>
      <c r="F15" s="7"/>
      <c r="G15" s="7"/>
      <c r="H15" s="7"/>
      <c r="I15" s="7"/>
      <c r="J15" s="7"/>
      <c r="K15" s="7"/>
      <c r="L15" s="7"/>
      <c r="M15" s="7"/>
      <c r="N15" s="7"/>
      <c r="O15" s="7"/>
      <c r="P15" s="7"/>
      <c r="Q15" s="7"/>
      <c r="R15" s="7"/>
      <c r="S15" s="7"/>
    </row>
    <row r="16">
      <c r="A16" s="320" t="s">
        <v>1611</v>
      </c>
      <c r="J16" s="7"/>
      <c r="K16" s="7"/>
      <c r="L16" s="7"/>
      <c r="M16" s="7"/>
      <c r="N16" s="7"/>
      <c r="O16" s="7"/>
      <c r="P16" s="7"/>
      <c r="Q16" s="7"/>
      <c r="R16" s="7"/>
      <c r="S16" s="7"/>
    </row>
    <row r="17">
      <c r="A17" s="321" t="s">
        <v>1612</v>
      </c>
      <c r="B17" s="320"/>
      <c r="C17" s="320"/>
      <c r="D17" s="320"/>
      <c r="E17" s="320"/>
      <c r="F17" s="320"/>
      <c r="G17" s="320"/>
      <c r="H17" s="320"/>
      <c r="I17" s="320"/>
      <c r="J17" s="7"/>
      <c r="K17" s="7"/>
      <c r="L17" s="7"/>
      <c r="M17" s="7"/>
      <c r="N17" s="7"/>
      <c r="O17" s="7"/>
      <c r="P17" s="7"/>
      <c r="Q17" s="7"/>
      <c r="R17" s="7"/>
      <c r="S17" s="7"/>
    </row>
    <row r="18">
      <c r="A18" s="340" t="s">
        <v>1601</v>
      </c>
      <c r="B18" s="341" t="s">
        <v>1613</v>
      </c>
      <c r="C18" s="342"/>
      <c r="D18" s="342"/>
      <c r="E18" s="342"/>
      <c r="F18" s="342"/>
      <c r="G18" s="342"/>
      <c r="H18" s="342"/>
      <c r="I18" s="343"/>
      <c r="J18" s="37"/>
      <c r="K18" s="37"/>
      <c r="L18" s="37"/>
      <c r="M18" s="37"/>
      <c r="N18" s="37"/>
      <c r="O18" s="37"/>
      <c r="P18" s="37"/>
      <c r="Q18" s="37"/>
      <c r="R18" s="37"/>
      <c r="S18" s="37"/>
    </row>
    <row r="19" ht="56.25" customHeight="1">
      <c r="A19" s="344" t="str">
        <f>image("https://i.imgur.com/OSR8Y1w.png")</f>
        <v/>
      </c>
      <c r="B19" s="345" t="str">
        <f>image("https://i.imgur.com/cjhqCxy.png")</f>
        <v/>
      </c>
      <c r="C19" s="147" t="str">
        <f>image("https://i.imgur.com/rxz8NGs.png")</f>
        <v/>
      </c>
      <c r="D19" s="147" t="str">
        <f>image("https://i.imgur.com/uxFRKnU.png")</f>
        <v/>
      </c>
      <c r="E19" s="324" t="str">
        <f>image("https://i.imgur.com/ZT4CeDo.png")</f>
        <v/>
      </c>
      <c r="F19" s="147" t="str">
        <f>image("https://i.imgur.com/PhpijIb.png")</f>
        <v/>
      </c>
      <c r="G19" s="324" t="str">
        <f>image("https://i.imgur.com/ZQbgp5T.png")</f>
        <v/>
      </c>
      <c r="H19" s="147" t="str">
        <f>image("https://i.imgur.com/f0tR1Ih.png")</f>
        <v/>
      </c>
      <c r="I19" s="346" t="str">
        <f>image("https://i.imgur.com/Rf7EY89.png")</f>
        <v/>
      </c>
      <c r="J19" s="37"/>
      <c r="K19" s="37"/>
      <c r="L19" s="37"/>
      <c r="M19" s="37"/>
      <c r="N19" s="37"/>
      <c r="O19" s="37"/>
      <c r="P19" s="37"/>
      <c r="Q19" s="37"/>
      <c r="R19" s="37"/>
      <c r="S19" s="37"/>
    </row>
    <row r="20">
      <c r="A20" s="347" t="s">
        <v>706</v>
      </c>
      <c r="B20" s="348" t="s">
        <v>425</v>
      </c>
      <c r="C20" s="349" t="s">
        <v>300</v>
      </c>
      <c r="D20" s="349" t="s">
        <v>473</v>
      </c>
      <c r="E20" s="349" t="s">
        <v>501</v>
      </c>
      <c r="F20" s="349" t="s">
        <v>238</v>
      </c>
      <c r="G20" s="42" t="s">
        <v>413</v>
      </c>
      <c r="H20" s="42" t="s">
        <v>443</v>
      </c>
      <c r="I20" s="350" t="s">
        <v>487</v>
      </c>
      <c r="J20" s="351"/>
      <c r="K20" s="351"/>
      <c r="L20" s="351"/>
      <c r="M20" s="351"/>
      <c r="N20" s="351"/>
      <c r="O20" s="351"/>
      <c r="P20" s="351"/>
      <c r="Q20" s="351"/>
      <c r="R20" s="351"/>
      <c r="S20" s="351"/>
    </row>
    <row r="21">
      <c r="A21" s="352" t="s">
        <v>1614</v>
      </c>
      <c r="E21" s="353"/>
      <c r="F21" s="354" t="s">
        <v>1615</v>
      </c>
      <c r="G21" s="355"/>
      <c r="H21" s="355"/>
      <c r="I21" s="356"/>
      <c r="J21" s="7"/>
      <c r="K21" s="7"/>
      <c r="L21" s="7"/>
      <c r="M21" s="7"/>
      <c r="N21" s="7"/>
      <c r="O21" s="7"/>
      <c r="P21" s="7"/>
      <c r="Q21" s="7"/>
      <c r="R21" s="7"/>
      <c r="S21" s="7"/>
    </row>
    <row r="22">
      <c r="A22" s="357"/>
      <c r="E22" s="353"/>
      <c r="F22" s="357"/>
      <c r="I22" s="353"/>
      <c r="J22" s="7"/>
      <c r="K22" s="7"/>
      <c r="L22" s="7"/>
      <c r="M22" s="7"/>
      <c r="N22" s="7"/>
      <c r="O22" s="7"/>
      <c r="P22" s="7"/>
      <c r="Q22" s="7"/>
      <c r="R22" s="7"/>
      <c r="S22" s="7"/>
    </row>
    <row r="23">
      <c r="A23" s="357"/>
      <c r="E23" s="353"/>
      <c r="F23" s="357"/>
      <c r="I23" s="353"/>
      <c r="J23" s="7"/>
      <c r="K23" s="7"/>
      <c r="L23" s="7"/>
      <c r="M23" s="7"/>
      <c r="N23" s="7"/>
      <c r="O23" s="7"/>
      <c r="P23" s="7"/>
      <c r="Q23" s="7"/>
      <c r="R23" s="7"/>
      <c r="S23" s="7"/>
    </row>
    <row r="24">
      <c r="A24" s="358"/>
      <c r="B24" s="359"/>
      <c r="C24" s="359"/>
      <c r="D24" s="359"/>
      <c r="E24" s="360"/>
      <c r="F24" s="358"/>
      <c r="G24" s="359"/>
      <c r="H24" s="359"/>
      <c r="I24" s="360"/>
      <c r="J24" s="7"/>
      <c r="K24" s="7"/>
      <c r="L24" s="7"/>
      <c r="M24" s="7"/>
      <c r="N24" s="7"/>
      <c r="O24" s="7"/>
      <c r="P24" s="7"/>
      <c r="Q24" s="7"/>
      <c r="R24" s="7"/>
      <c r="S24" s="7"/>
    </row>
    <row r="25">
      <c r="A25" s="7"/>
      <c r="B25" s="7"/>
      <c r="C25" s="7"/>
      <c r="D25" s="7"/>
      <c r="E25" s="7"/>
      <c r="F25" s="7"/>
      <c r="G25" s="7"/>
      <c r="H25" s="7"/>
      <c r="I25" s="7"/>
      <c r="J25" s="7"/>
      <c r="K25" s="7"/>
      <c r="L25" s="7"/>
      <c r="M25" s="7"/>
      <c r="N25" s="7"/>
      <c r="O25" s="7"/>
      <c r="P25" s="7"/>
      <c r="Q25" s="7"/>
      <c r="R25" s="7"/>
      <c r="S25" s="7"/>
    </row>
    <row r="26">
      <c r="A26" s="320" t="s">
        <v>1616</v>
      </c>
      <c r="J26" s="7"/>
      <c r="K26" s="7"/>
      <c r="L26" s="7"/>
      <c r="M26" s="7"/>
      <c r="N26" s="7"/>
      <c r="O26" s="7"/>
      <c r="P26" s="7"/>
      <c r="Q26" s="7"/>
      <c r="R26" s="7"/>
      <c r="S26" s="7"/>
    </row>
    <row r="27">
      <c r="A27" s="361" t="s">
        <v>1617</v>
      </c>
      <c r="B27" s="37"/>
      <c r="C27" s="37"/>
      <c r="D27" s="37"/>
      <c r="E27" s="37"/>
      <c r="F27" s="37"/>
      <c r="G27" s="37"/>
      <c r="H27" s="37"/>
      <c r="I27" s="37"/>
      <c r="J27" s="37"/>
      <c r="K27" s="37"/>
      <c r="L27" s="37"/>
      <c r="M27" s="37"/>
      <c r="N27" s="37"/>
      <c r="O27" s="37"/>
      <c r="P27" s="37"/>
      <c r="Q27" s="37"/>
      <c r="R27" s="37"/>
      <c r="S27" s="37"/>
    </row>
    <row r="28">
      <c r="A28" s="340" t="s">
        <v>1601</v>
      </c>
      <c r="B28" s="341" t="s">
        <v>1613</v>
      </c>
      <c r="C28" s="362"/>
      <c r="D28" s="362"/>
      <c r="E28" s="362"/>
      <c r="F28" s="362"/>
      <c r="G28" s="362"/>
      <c r="H28" s="362"/>
      <c r="I28" s="363"/>
      <c r="J28" s="37"/>
      <c r="K28" s="37"/>
      <c r="L28" s="37"/>
      <c r="M28" s="37"/>
      <c r="N28" s="37"/>
      <c r="O28" s="37"/>
      <c r="P28" s="37"/>
      <c r="Q28" s="37"/>
      <c r="R28" s="37"/>
      <c r="S28" s="37"/>
    </row>
    <row r="29" ht="57.75" customHeight="1">
      <c r="A29" s="364" t="str">
        <f>image("https://i.imgur.com/ZMZrlxr.png")</f>
        <v/>
      </c>
      <c r="B29" s="365" t="str">
        <f>image("https://i.imgur.com/a6vwqzW.png")</f>
        <v/>
      </c>
      <c r="C29" s="37" t="str">
        <f>image("https://i.imgur.com/jZ6gWVL.png")</f>
        <v/>
      </c>
      <c r="D29" s="37" t="str">
        <f>image("https://i.imgur.com/KTAaumb.png")</f>
        <v/>
      </c>
      <c r="E29" s="37" t="str">
        <f>image("https://i.imgur.com/Xyqxjz0.png")</f>
        <v/>
      </c>
      <c r="F29" s="37" t="str">
        <f>image("https://i.imgur.com/ycLKN2i.png")</f>
        <v/>
      </c>
      <c r="G29" s="37" t="str">
        <f>image("https://i.imgur.com/xEqQWLq.png")</f>
        <v/>
      </c>
      <c r="H29" s="37" t="str">
        <f>image("https://i.imgur.com/I5sUyKn.png")</f>
        <v/>
      </c>
      <c r="I29" s="366" t="str">
        <f>image("https://i.imgur.com/Rb6CTu5.png")</f>
        <v/>
      </c>
      <c r="J29" s="234"/>
      <c r="K29" s="234"/>
      <c r="L29" s="234"/>
      <c r="M29" s="234"/>
      <c r="N29" s="234"/>
      <c r="O29" s="234"/>
      <c r="P29" s="234"/>
      <c r="Q29" s="234"/>
      <c r="R29" s="234"/>
      <c r="S29" s="234"/>
    </row>
    <row r="30">
      <c r="A30" s="347" t="s">
        <v>694</v>
      </c>
      <c r="B30" s="348" t="s">
        <v>291</v>
      </c>
      <c r="C30" s="349" t="s">
        <v>359</v>
      </c>
      <c r="D30" s="349" t="s">
        <v>466</v>
      </c>
      <c r="E30" s="349" t="s">
        <v>430</v>
      </c>
      <c r="F30" s="349" t="s">
        <v>390</v>
      </c>
      <c r="G30" s="349" t="s">
        <v>523</v>
      </c>
      <c r="H30" s="349" t="s">
        <v>611</v>
      </c>
      <c r="I30" s="367" t="s">
        <v>595</v>
      </c>
      <c r="J30" s="37"/>
      <c r="K30" s="37"/>
      <c r="L30" s="37"/>
      <c r="M30" s="37"/>
      <c r="N30" s="37"/>
      <c r="O30" s="37"/>
      <c r="P30" s="37"/>
      <c r="Q30" s="37"/>
      <c r="R30" s="37"/>
      <c r="S30" s="37"/>
    </row>
    <row r="31">
      <c r="A31" s="368" t="s">
        <v>1618</v>
      </c>
      <c r="B31" s="342"/>
      <c r="C31" s="342"/>
      <c r="D31" s="342"/>
      <c r="E31" s="342"/>
      <c r="F31" s="343"/>
      <c r="G31" s="369"/>
      <c r="I31" s="370"/>
      <c r="J31" s="37"/>
      <c r="K31" s="37"/>
      <c r="L31" s="37"/>
      <c r="M31" s="37"/>
      <c r="N31" s="37"/>
      <c r="O31" s="37"/>
      <c r="P31" s="37"/>
      <c r="Q31" s="37"/>
      <c r="R31" s="37"/>
      <c r="S31" s="37"/>
    </row>
    <row r="32">
      <c r="A32" s="357"/>
      <c r="F32" s="353"/>
      <c r="G32" s="357"/>
      <c r="I32" s="353"/>
      <c r="J32" s="7"/>
      <c r="K32" s="7"/>
      <c r="L32" s="7"/>
      <c r="M32" s="7"/>
      <c r="N32" s="7"/>
      <c r="O32" s="7"/>
      <c r="P32" s="7"/>
      <c r="Q32" s="7"/>
      <c r="R32" s="7"/>
      <c r="S32" s="7"/>
    </row>
    <row r="33">
      <c r="A33" s="358"/>
      <c r="B33" s="359"/>
      <c r="C33" s="359"/>
      <c r="D33" s="359"/>
      <c r="E33" s="359"/>
      <c r="F33" s="360"/>
      <c r="G33" s="358"/>
      <c r="H33" s="359"/>
      <c r="I33" s="360"/>
      <c r="J33" s="7"/>
      <c r="K33" s="7"/>
      <c r="L33" s="7"/>
      <c r="M33" s="7"/>
      <c r="N33" s="7"/>
      <c r="O33" s="7"/>
      <c r="P33" s="7"/>
      <c r="Q33" s="7"/>
      <c r="R33" s="7"/>
      <c r="S33" s="7"/>
    </row>
    <row r="34">
      <c r="A34" s="320"/>
      <c r="B34" s="320"/>
      <c r="C34" s="320"/>
      <c r="D34" s="320"/>
      <c r="E34" s="320"/>
      <c r="F34" s="320"/>
      <c r="G34" s="320"/>
      <c r="H34" s="320"/>
      <c r="I34" s="320"/>
      <c r="J34" s="7"/>
      <c r="K34" s="7"/>
      <c r="L34" s="7"/>
      <c r="M34" s="7"/>
      <c r="N34" s="7"/>
      <c r="O34" s="7"/>
      <c r="P34" s="7"/>
      <c r="Q34" s="7"/>
      <c r="R34" s="7"/>
      <c r="S34" s="7"/>
    </row>
    <row r="35">
      <c r="A35" s="320" t="s">
        <v>1619</v>
      </c>
      <c r="J35" s="7"/>
      <c r="K35" s="7"/>
      <c r="L35" s="7"/>
      <c r="M35" s="7"/>
      <c r="N35" s="7"/>
      <c r="O35" s="7"/>
      <c r="P35" s="7"/>
      <c r="Q35" s="7"/>
      <c r="R35" s="7"/>
      <c r="S35" s="7"/>
    </row>
    <row r="36">
      <c r="A36" s="321" t="s">
        <v>1620</v>
      </c>
      <c r="B36" s="320"/>
      <c r="C36" s="320"/>
      <c r="D36" s="320"/>
      <c r="E36" s="320"/>
      <c r="F36" s="320"/>
      <c r="G36" s="320"/>
      <c r="H36" s="320"/>
      <c r="I36" s="320"/>
      <c r="J36" s="7"/>
      <c r="K36" s="7"/>
      <c r="L36" s="7"/>
      <c r="M36" s="7"/>
      <c r="N36" s="7"/>
      <c r="O36" s="7"/>
      <c r="P36" s="7"/>
      <c r="Q36" s="7"/>
      <c r="R36" s="7"/>
      <c r="S36" s="7"/>
    </row>
    <row r="37">
      <c r="A37" s="371" t="s">
        <v>1601</v>
      </c>
      <c r="B37" s="372" t="s">
        <v>1621</v>
      </c>
      <c r="C37" s="362"/>
      <c r="D37" s="362"/>
      <c r="E37" s="362"/>
      <c r="F37" s="362"/>
      <c r="G37" s="356"/>
      <c r="H37" s="7"/>
      <c r="I37" s="7"/>
      <c r="J37" s="7"/>
      <c r="K37" s="7"/>
      <c r="L37" s="7"/>
      <c r="M37" s="7"/>
      <c r="N37" s="7"/>
      <c r="O37" s="7"/>
      <c r="P37" s="7"/>
      <c r="Q37" s="7"/>
      <c r="R37" s="7"/>
      <c r="S37" s="7"/>
    </row>
    <row r="38" ht="58.5" customHeight="1">
      <c r="A38" s="373" t="str">
        <f>image("https://i.imgur.com/NRCTBiK.png")</f>
        <v/>
      </c>
      <c r="B38" s="374" t="str">
        <f>image("https://i.imgur.com/OoNxCzw.png")</f>
        <v/>
      </c>
      <c r="C38" s="375" t="str">
        <f>image("https://i.imgur.com/B5KeXur.png")</f>
        <v/>
      </c>
      <c r="D38" s="62" t="str">
        <f>image("https://i.imgur.com/cjhqCxy.png")</f>
        <v/>
      </c>
      <c r="E38" s="62" t="str">
        <f>image("https://i.imgur.com/rxz8NGs.png")</f>
        <v/>
      </c>
      <c r="F38" s="376" t="str">
        <f>image("https://i.imgur.com/uxFRKnU.png")</f>
        <v/>
      </c>
      <c r="G38" s="62" t="str">
        <f>image("https://i.imgur.com/rHdRCNT.png")</f>
        <v/>
      </c>
      <c r="H38" s="377"/>
      <c r="I38" s="7"/>
      <c r="J38" s="7"/>
      <c r="K38" s="7"/>
      <c r="L38" s="7"/>
      <c r="M38" s="7"/>
      <c r="N38" s="7"/>
      <c r="O38" s="7"/>
      <c r="P38" s="7"/>
      <c r="Q38" s="7"/>
      <c r="R38" s="7"/>
      <c r="S38" s="7"/>
    </row>
    <row r="39">
      <c r="A39" s="378" t="s">
        <v>700</v>
      </c>
      <c r="B39" s="379" t="s">
        <v>418</v>
      </c>
      <c r="C39" s="380" t="s">
        <v>282</v>
      </c>
      <c r="D39" s="349" t="s">
        <v>425</v>
      </c>
      <c r="E39" s="381" t="s">
        <v>300</v>
      </c>
      <c r="F39" s="382" t="s">
        <v>473</v>
      </c>
      <c r="G39" s="383" t="s">
        <v>517</v>
      </c>
      <c r="H39" s="384"/>
      <c r="I39" s="7"/>
      <c r="J39" s="7"/>
      <c r="K39" s="7"/>
      <c r="L39" s="7"/>
      <c r="M39" s="7"/>
      <c r="N39" s="7"/>
      <c r="O39" s="7"/>
      <c r="P39" s="7"/>
      <c r="Q39" s="7"/>
      <c r="R39" s="7"/>
      <c r="S39" s="7"/>
    </row>
    <row r="40">
      <c r="A40" s="354" t="s">
        <v>1622</v>
      </c>
      <c r="B40" s="355"/>
      <c r="C40" s="355"/>
      <c r="D40" s="355"/>
      <c r="E40" s="356"/>
      <c r="F40" s="385"/>
      <c r="G40" s="386"/>
      <c r="H40" s="7"/>
      <c r="I40" s="7"/>
      <c r="J40" s="7"/>
      <c r="K40" s="7"/>
      <c r="L40" s="7"/>
      <c r="M40" s="7"/>
      <c r="N40" s="7"/>
      <c r="O40" s="7"/>
      <c r="P40" s="7"/>
      <c r="Q40" s="7"/>
      <c r="R40" s="7"/>
      <c r="S40" s="7"/>
    </row>
    <row r="41">
      <c r="A41" s="357"/>
      <c r="E41" s="353"/>
      <c r="F41" s="387"/>
      <c r="G41" s="388"/>
      <c r="H41" s="7"/>
      <c r="I41" s="7"/>
      <c r="J41" s="7"/>
      <c r="K41" s="7"/>
      <c r="L41" s="7"/>
      <c r="M41" s="7"/>
      <c r="N41" s="7"/>
      <c r="O41" s="7"/>
      <c r="P41" s="7"/>
      <c r="Q41" s="7"/>
      <c r="R41" s="7"/>
      <c r="S41" s="7"/>
    </row>
    <row r="42">
      <c r="A42" s="358"/>
      <c r="B42" s="359"/>
      <c r="C42" s="359"/>
      <c r="D42" s="359"/>
      <c r="E42" s="360"/>
      <c r="F42" s="389"/>
      <c r="G42" s="390"/>
      <c r="H42" s="7"/>
      <c r="I42" s="7"/>
      <c r="J42" s="7"/>
      <c r="K42" s="7"/>
      <c r="L42" s="7"/>
      <c r="M42" s="7"/>
      <c r="N42" s="7"/>
      <c r="O42" s="7"/>
      <c r="P42" s="7"/>
      <c r="Q42" s="7"/>
      <c r="R42" s="7"/>
      <c r="S42" s="7"/>
    </row>
    <row r="43">
      <c r="A43" s="7"/>
      <c r="B43" s="7"/>
      <c r="C43" s="7"/>
      <c r="D43" s="7"/>
      <c r="E43" s="7"/>
      <c r="F43" s="7"/>
      <c r="G43" s="7"/>
      <c r="H43" s="7"/>
      <c r="I43" s="7"/>
      <c r="J43" s="7"/>
      <c r="K43" s="7"/>
      <c r="L43" s="7"/>
      <c r="M43" s="7"/>
      <c r="N43" s="7"/>
      <c r="O43" s="7"/>
      <c r="P43" s="7"/>
      <c r="Q43" s="7"/>
      <c r="R43" s="7"/>
      <c r="S43" s="7"/>
    </row>
    <row r="44">
      <c r="A44" s="320" t="s">
        <v>1623</v>
      </c>
      <c r="J44" s="7"/>
      <c r="K44" s="7"/>
      <c r="L44" s="7"/>
      <c r="M44" s="7"/>
      <c r="N44" s="7"/>
      <c r="O44" s="7"/>
      <c r="P44" s="7"/>
      <c r="Q44" s="7"/>
      <c r="R44" s="7"/>
      <c r="S44" s="7"/>
    </row>
    <row r="45">
      <c r="A45" s="391" t="s">
        <v>1624</v>
      </c>
      <c r="B45" s="320"/>
      <c r="C45" s="320"/>
      <c r="D45" s="320"/>
      <c r="E45" s="320"/>
      <c r="F45" s="320"/>
      <c r="G45" s="320"/>
      <c r="H45" s="320"/>
      <c r="I45" s="320"/>
      <c r="J45" s="7"/>
      <c r="K45" s="7"/>
      <c r="L45" s="7"/>
      <c r="M45" s="7"/>
      <c r="N45" s="7"/>
      <c r="O45" s="7"/>
      <c r="P45" s="7"/>
      <c r="Q45" s="7"/>
      <c r="R45" s="7"/>
      <c r="S45" s="7"/>
    </row>
    <row r="46">
      <c r="A46" s="392" t="s">
        <v>1601</v>
      </c>
      <c r="B46" s="341" t="s">
        <v>1613</v>
      </c>
      <c r="C46" s="342"/>
      <c r="D46" s="342"/>
      <c r="E46" s="342"/>
      <c r="F46" s="343"/>
      <c r="G46" s="393"/>
      <c r="H46" s="393"/>
      <c r="I46" s="7"/>
      <c r="J46" s="7"/>
      <c r="K46" s="7"/>
      <c r="L46" s="7"/>
      <c r="M46" s="7"/>
      <c r="N46" s="7"/>
      <c r="O46" s="7"/>
      <c r="P46" s="7"/>
      <c r="Q46" s="7"/>
      <c r="R46" s="7"/>
      <c r="S46" s="7"/>
    </row>
    <row r="47" ht="59.25" customHeight="1">
      <c r="A47" s="394" t="str">
        <f>image("https://i.imgur.com/MNrDNCE.png")</f>
        <v/>
      </c>
      <c r="B47" s="365" t="str">
        <f>image("https://i.imgur.com/a6vwqzW.png")</f>
        <v/>
      </c>
      <c r="C47" s="395" t="str">
        <f>image("https://i.imgur.com/YRHwG3e.png")</f>
        <v/>
      </c>
      <c r="D47" s="395" t="str">
        <f>image("https://i.imgur.com/5oQIPyg.png")</f>
        <v/>
      </c>
      <c r="E47" s="395" t="str">
        <f>image("https://i.imgur.com/65YnUZv.png")</f>
        <v/>
      </c>
      <c r="F47" s="396" t="str">
        <f>image("https://i.imgur.com/jZ6gWVL.png")</f>
        <v/>
      </c>
      <c r="G47" s="37"/>
      <c r="H47" s="37"/>
      <c r="I47" s="7"/>
      <c r="J47" s="7"/>
      <c r="K47" s="7"/>
      <c r="L47" s="7"/>
      <c r="M47" s="7"/>
      <c r="N47" s="7"/>
      <c r="O47" s="7"/>
      <c r="P47" s="7"/>
      <c r="Q47" s="7"/>
      <c r="R47" s="7"/>
      <c r="S47" s="7"/>
    </row>
    <row r="48">
      <c r="A48" s="397" t="s">
        <v>649</v>
      </c>
      <c r="B48" s="348" t="s">
        <v>291</v>
      </c>
      <c r="C48" s="381" t="s">
        <v>494</v>
      </c>
      <c r="D48" s="381" t="s">
        <v>256</v>
      </c>
      <c r="E48" s="381" t="s">
        <v>308</v>
      </c>
      <c r="F48" s="367" t="s">
        <v>359</v>
      </c>
      <c r="G48" s="7"/>
      <c r="H48" s="7"/>
      <c r="I48" s="7"/>
      <c r="J48" s="7"/>
      <c r="K48" s="7"/>
      <c r="L48" s="7"/>
      <c r="M48" s="7"/>
      <c r="N48" s="7"/>
      <c r="O48" s="7"/>
      <c r="P48" s="7"/>
      <c r="Q48" s="7"/>
      <c r="R48" s="7"/>
      <c r="S48" s="7"/>
    </row>
    <row r="49">
      <c r="A49" s="354" t="s">
        <v>1625</v>
      </c>
      <c r="B49" s="355"/>
      <c r="C49" s="355"/>
      <c r="D49" s="355"/>
      <c r="E49" s="355"/>
      <c r="F49" s="356"/>
      <c r="G49" s="7"/>
      <c r="H49" s="7"/>
      <c r="I49" s="7"/>
      <c r="J49" s="7"/>
      <c r="K49" s="7"/>
      <c r="L49" s="7"/>
      <c r="M49" s="7"/>
      <c r="N49" s="7"/>
      <c r="O49" s="7"/>
      <c r="P49" s="7"/>
      <c r="Q49" s="7"/>
      <c r="R49" s="7"/>
      <c r="S49" s="7"/>
    </row>
    <row r="50">
      <c r="A50" s="357"/>
      <c r="F50" s="353"/>
      <c r="G50" s="7"/>
      <c r="H50" s="7"/>
      <c r="I50" s="7"/>
      <c r="J50" s="7"/>
      <c r="K50" s="7"/>
      <c r="L50" s="7"/>
      <c r="M50" s="7"/>
      <c r="N50" s="7"/>
      <c r="O50" s="7"/>
      <c r="P50" s="7"/>
      <c r="Q50" s="7"/>
      <c r="R50" s="7"/>
      <c r="S50" s="7"/>
    </row>
    <row r="51">
      <c r="A51" s="358"/>
      <c r="B51" s="359"/>
      <c r="C51" s="359"/>
      <c r="D51" s="359"/>
      <c r="E51" s="359"/>
      <c r="F51" s="360"/>
      <c r="G51" s="7"/>
      <c r="H51" s="7"/>
      <c r="I51" s="7"/>
      <c r="J51" s="7"/>
      <c r="K51" s="7"/>
      <c r="L51" s="7"/>
      <c r="M51" s="7"/>
      <c r="N51" s="7"/>
      <c r="O51" s="7"/>
      <c r="P51" s="7"/>
      <c r="Q51" s="7"/>
      <c r="R51" s="7"/>
      <c r="S51" s="7"/>
    </row>
    <row r="52">
      <c r="A52" s="7"/>
      <c r="B52" s="7"/>
      <c r="C52" s="7"/>
      <c r="D52" s="7"/>
      <c r="E52" s="7"/>
      <c r="F52" s="7"/>
      <c r="G52" s="7"/>
      <c r="H52" s="7"/>
      <c r="I52" s="7"/>
      <c r="J52" s="7"/>
      <c r="K52" s="7"/>
      <c r="L52" s="7"/>
      <c r="M52" s="7"/>
      <c r="N52" s="7"/>
      <c r="O52" s="7"/>
      <c r="P52" s="7"/>
      <c r="Q52" s="7"/>
      <c r="R52" s="7"/>
      <c r="S52" s="7"/>
    </row>
    <row r="53">
      <c r="A53" s="320" t="s">
        <v>1626</v>
      </c>
      <c r="I53" s="7"/>
      <c r="J53" s="7"/>
      <c r="K53" s="7"/>
      <c r="L53" s="7"/>
      <c r="M53" s="7"/>
      <c r="N53" s="7"/>
      <c r="O53" s="7"/>
      <c r="P53" s="7"/>
      <c r="Q53" s="7"/>
      <c r="R53" s="7"/>
      <c r="S53" s="7"/>
    </row>
    <row r="54">
      <c r="A54" s="398" t="s">
        <v>1627</v>
      </c>
      <c r="B54" s="7"/>
      <c r="C54" s="7"/>
      <c r="D54" s="7"/>
      <c r="E54" s="7"/>
      <c r="F54" s="7"/>
      <c r="G54" s="7"/>
      <c r="H54" s="7"/>
      <c r="I54" s="7"/>
      <c r="J54" s="7"/>
      <c r="K54" s="7"/>
      <c r="L54" s="7"/>
      <c r="M54" s="7"/>
      <c r="N54" s="7"/>
      <c r="O54" s="7"/>
      <c r="P54" s="7"/>
      <c r="Q54" s="7"/>
      <c r="R54" s="7"/>
      <c r="S54" s="7"/>
    </row>
    <row r="55">
      <c r="A55" s="399" t="s">
        <v>1601</v>
      </c>
      <c r="B55" s="341" t="s">
        <v>1613</v>
      </c>
      <c r="C55" s="355"/>
      <c r="D55" s="355"/>
      <c r="E55" s="355"/>
      <c r="F55" s="355"/>
      <c r="G55" s="355"/>
      <c r="H55" s="356"/>
      <c r="I55" s="7"/>
      <c r="J55" s="7"/>
      <c r="K55" s="7"/>
      <c r="L55" s="7"/>
      <c r="M55" s="7"/>
      <c r="N55" s="7"/>
      <c r="O55" s="7"/>
      <c r="P55" s="7"/>
      <c r="Q55" s="7"/>
      <c r="R55" s="7"/>
      <c r="S55" s="7"/>
    </row>
    <row r="56" ht="58.5" customHeight="1">
      <c r="A56" s="400" t="str">
        <f>image("https://i.imgur.com/53uw6y2.png")</f>
        <v/>
      </c>
      <c r="B56" s="147" t="str">
        <f>image("https://i.imgur.com/PhpijIb.png")</f>
        <v/>
      </c>
      <c r="C56" s="324" t="str">
        <f>image("https://i.imgur.com/ZQbgp5T.png")</f>
        <v/>
      </c>
      <c r="D56" s="147" t="str">
        <f>image("https://i.imgur.com/Rf7EY89.png")</f>
        <v/>
      </c>
      <c r="E56" s="147" t="str">
        <f>image("https://i.imgur.com/f0tR1Ih.png")</f>
        <v/>
      </c>
      <c r="F56" s="395" t="str">
        <f>image("https://i.imgur.com/YRHwG3e.png")</f>
        <v/>
      </c>
      <c r="G56" s="395" t="str">
        <f>image("https://i.imgur.com/5oQIPyg.png")</f>
        <v/>
      </c>
      <c r="H56" s="401" t="str">
        <f>image("https://i.imgur.com/65YnUZv.png")</f>
        <v/>
      </c>
      <c r="I56" s="7"/>
      <c r="J56" s="7"/>
      <c r="K56" s="7"/>
      <c r="L56" s="7"/>
      <c r="M56" s="7"/>
      <c r="N56" s="7"/>
      <c r="O56" s="7"/>
      <c r="P56" s="7"/>
      <c r="Q56" s="7"/>
      <c r="R56" s="7"/>
      <c r="S56" s="7"/>
    </row>
    <row r="57">
      <c r="A57" s="347" t="s">
        <v>656</v>
      </c>
      <c r="B57" s="349" t="s">
        <v>238</v>
      </c>
      <c r="C57" s="349" t="s">
        <v>413</v>
      </c>
      <c r="D57" s="349" t="s">
        <v>487</v>
      </c>
      <c r="E57" s="349" t="s">
        <v>443</v>
      </c>
      <c r="F57" s="349" t="s">
        <v>494</v>
      </c>
      <c r="G57" s="349" t="s">
        <v>256</v>
      </c>
      <c r="H57" s="367" t="s">
        <v>308</v>
      </c>
      <c r="I57" s="7"/>
      <c r="J57" s="7"/>
      <c r="K57" s="7"/>
      <c r="L57" s="7"/>
      <c r="M57" s="7"/>
      <c r="N57" s="7"/>
      <c r="O57" s="7"/>
      <c r="P57" s="7"/>
      <c r="Q57" s="7"/>
      <c r="R57" s="7"/>
      <c r="S57" s="7"/>
    </row>
    <row r="58">
      <c r="A58" s="368" t="s">
        <v>1628</v>
      </c>
      <c r="B58" s="362"/>
      <c r="C58" s="362"/>
      <c r="D58" s="362"/>
      <c r="E58" s="362"/>
      <c r="F58" s="362"/>
      <c r="G58" s="362"/>
      <c r="H58" s="363"/>
      <c r="I58" s="7"/>
      <c r="J58" s="7"/>
      <c r="K58" s="7"/>
      <c r="L58" s="7"/>
      <c r="M58" s="7"/>
      <c r="N58" s="7"/>
      <c r="O58" s="7"/>
      <c r="P58" s="7"/>
      <c r="Q58" s="7"/>
      <c r="R58" s="7"/>
      <c r="S58" s="7"/>
    </row>
    <row r="59">
      <c r="A59" s="357"/>
      <c r="H59" s="353"/>
      <c r="I59" s="7"/>
      <c r="J59" s="7"/>
      <c r="K59" s="7"/>
      <c r="L59" s="7"/>
      <c r="M59" s="7"/>
      <c r="N59" s="7"/>
      <c r="O59" s="7"/>
      <c r="P59" s="7"/>
      <c r="Q59" s="7"/>
      <c r="R59" s="7"/>
      <c r="S59" s="7"/>
    </row>
    <row r="60">
      <c r="A60" s="358"/>
      <c r="B60" s="359"/>
      <c r="C60" s="359"/>
      <c r="D60" s="359"/>
      <c r="E60" s="359"/>
      <c r="F60" s="359"/>
      <c r="G60" s="359"/>
      <c r="H60" s="360"/>
      <c r="I60" s="7"/>
      <c r="J60" s="7"/>
      <c r="K60" s="7"/>
      <c r="L60" s="7"/>
      <c r="M60" s="7"/>
      <c r="N60" s="7"/>
      <c r="O60" s="7"/>
      <c r="P60" s="7"/>
      <c r="Q60" s="7"/>
      <c r="R60" s="7"/>
      <c r="S60" s="7"/>
    </row>
    <row r="61">
      <c r="A61" s="7"/>
      <c r="B61" s="7"/>
      <c r="C61" s="7"/>
      <c r="D61" s="7"/>
      <c r="E61" s="7"/>
      <c r="F61" s="7"/>
      <c r="G61" s="7"/>
      <c r="H61" s="7"/>
      <c r="I61" s="7"/>
      <c r="J61" s="7"/>
      <c r="K61" s="7"/>
      <c r="L61" s="7"/>
      <c r="M61" s="7"/>
      <c r="N61" s="7"/>
      <c r="O61" s="7"/>
      <c r="P61" s="7"/>
      <c r="Q61" s="7"/>
      <c r="R61" s="7"/>
      <c r="S61" s="7"/>
    </row>
    <row r="62">
      <c r="A62" s="320" t="s">
        <v>1629</v>
      </c>
      <c r="I62" s="7"/>
      <c r="J62" s="7"/>
      <c r="K62" s="7"/>
      <c r="L62" s="7"/>
      <c r="M62" s="7"/>
      <c r="N62" s="7"/>
      <c r="O62" s="7"/>
      <c r="P62" s="7"/>
      <c r="Q62" s="7"/>
      <c r="R62" s="7"/>
      <c r="S62" s="7"/>
    </row>
    <row r="63">
      <c r="A63" s="321" t="s">
        <v>1630</v>
      </c>
      <c r="B63" s="320"/>
      <c r="C63" s="320"/>
      <c r="D63" s="320"/>
      <c r="E63" s="320"/>
      <c r="F63" s="320"/>
      <c r="G63" s="320"/>
      <c r="H63" s="320"/>
      <c r="I63" s="7"/>
      <c r="J63" s="7"/>
      <c r="K63" s="7"/>
      <c r="L63" s="7"/>
      <c r="M63" s="7"/>
      <c r="N63" s="7"/>
      <c r="O63" s="7"/>
      <c r="P63" s="7"/>
      <c r="Q63" s="7"/>
      <c r="R63" s="7"/>
      <c r="S63" s="7"/>
    </row>
    <row r="64">
      <c r="A64" s="402" t="s">
        <v>1601</v>
      </c>
      <c r="B64" s="403" t="s">
        <v>1613</v>
      </c>
      <c r="C64" s="355"/>
      <c r="D64" s="355"/>
      <c r="E64" s="355"/>
      <c r="F64" s="355"/>
      <c r="G64" s="355"/>
      <c r="H64" s="356"/>
      <c r="I64" s="7"/>
      <c r="J64" s="7"/>
      <c r="K64" s="7"/>
      <c r="L64" s="7"/>
      <c r="M64" s="7"/>
      <c r="N64" s="7"/>
      <c r="O64" s="7"/>
      <c r="P64" s="7"/>
      <c r="Q64" s="7"/>
      <c r="R64" s="7"/>
      <c r="S64" s="7"/>
    </row>
    <row r="65" ht="61.5" customHeight="1">
      <c r="A65" s="404" t="str">
        <f>image("https://i.imgur.com/qjogsvB.png")</f>
        <v/>
      </c>
      <c r="B65" s="394" t="str">
        <f>image("https://i.imgur.com/MWMKRiG.png")</f>
        <v/>
      </c>
      <c r="C65" s="345" t="str">
        <f>image("https://i.imgur.com/4xBi4Rx.png")</f>
        <v/>
      </c>
      <c r="D65" s="147" t="str">
        <f>image("https://i.imgur.com/Td6Krwz.png")</f>
        <v/>
      </c>
      <c r="E65" s="147" t="str">
        <f>image("https://i.imgur.com/mP5kom0.png")</f>
        <v/>
      </c>
      <c r="F65" s="147" t="str">
        <f>image("https://i.imgur.com/OoNxCzw.png")</f>
        <v/>
      </c>
      <c r="G65" s="147" t="str">
        <f>image("https://i.imgur.com/UrXhgJM.png")</f>
        <v/>
      </c>
      <c r="H65" s="346" t="str">
        <f>image("https://i.imgur.com/XfC5zOJ.png")</f>
        <v/>
      </c>
      <c r="I65" s="37"/>
      <c r="J65" s="7"/>
      <c r="K65" s="7"/>
      <c r="L65" s="7"/>
      <c r="M65" s="7"/>
      <c r="N65" s="7"/>
      <c r="O65" s="7"/>
      <c r="P65" s="7"/>
      <c r="Q65" s="7"/>
      <c r="R65" s="7"/>
      <c r="S65" s="7"/>
    </row>
    <row r="66">
      <c r="A66" s="347" t="s">
        <v>687</v>
      </c>
      <c r="B66" s="405" t="s">
        <v>330</v>
      </c>
      <c r="C66" s="348" t="s">
        <v>373</v>
      </c>
      <c r="D66" s="349" t="s">
        <v>534</v>
      </c>
      <c r="E66" s="406" t="s">
        <v>606</v>
      </c>
      <c r="F66" s="406" t="s">
        <v>418</v>
      </c>
      <c r="G66" s="406" t="s">
        <v>575</v>
      </c>
      <c r="H66" s="407" t="s">
        <v>600</v>
      </c>
      <c r="I66" s="37"/>
      <c r="J66" s="7"/>
      <c r="K66" s="7"/>
      <c r="L66" s="7"/>
      <c r="M66" s="7"/>
      <c r="N66" s="7"/>
      <c r="O66" s="7"/>
      <c r="P66" s="7"/>
      <c r="Q66" s="7"/>
      <c r="R66" s="7"/>
      <c r="S66" s="7"/>
    </row>
    <row r="67">
      <c r="A67" s="352" t="s">
        <v>1631</v>
      </c>
      <c r="H67" s="408"/>
      <c r="I67" s="37"/>
      <c r="J67" s="7"/>
      <c r="K67" s="7"/>
      <c r="L67" s="7"/>
      <c r="M67" s="7"/>
      <c r="N67" s="7"/>
      <c r="O67" s="7"/>
      <c r="P67" s="7"/>
      <c r="Q67" s="7"/>
      <c r="R67" s="7"/>
      <c r="S67" s="7"/>
    </row>
    <row r="68">
      <c r="A68" s="357"/>
      <c r="H68" s="353"/>
      <c r="I68" s="7"/>
      <c r="J68" s="7"/>
      <c r="K68" s="7"/>
      <c r="L68" s="7"/>
      <c r="M68" s="7"/>
      <c r="N68" s="7"/>
      <c r="O68" s="7"/>
      <c r="P68" s="7"/>
      <c r="Q68" s="7"/>
      <c r="R68" s="7"/>
      <c r="S68" s="7"/>
    </row>
    <row r="69">
      <c r="A69" s="357"/>
      <c r="H69" s="353"/>
      <c r="I69" s="7"/>
      <c r="J69" s="7"/>
      <c r="K69" s="7"/>
      <c r="L69" s="7"/>
      <c r="M69" s="7"/>
      <c r="N69" s="7"/>
      <c r="O69" s="7"/>
      <c r="P69" s="7"/>
      <c r="Q69" s="7"/>
      <c r="R69" s="7"/>
      <c r="S69" s="7"/>
    </row>
    <row r="70">
      <c r="A70" s="358"/>
      <c r="B70" s="359"/>
      <c r="C70" s="359"/>
      <c r="D70" s="359"/>
      <c r="E70" s="359"/>
      <c r="F70" s="359"/>
      <c r="G70" s="359"/>
      <c r="H70" s="360"/>
      <c r="I70" s="7"/>
      <c r="J70" s="7"/>
      <c r="K70" s="7"/>
      <c r="L70" s="7"/>
      <c r="M70" s="7"/>
      <c r="N70" s="7"/>
      <c r="O70" s="7"/>
      <c r="P70" s="7"/>
      <c r="Q70" s="7"/>
      <c r="R70" s="7"/>
      <c r="S70" s="7"/>
    </row>
    <row r="71">
      <c r="A71" s="7"/>
      <c r="B71" s="7"/>
      <c r="C71" s="7"/>
      <c r="D71" s="7"/>
      <c r="E71" s="7"/>
      <c r="F71" s="7"/>
      <c r="G71" s="7"/>
      <c r="H71" s="7"/>
      <c r="I71" s="7"/>
      <c r="J71" s="7"/>
      <c r="K71" s="7"/>
      <c r="L71" s="7"/>
      <c r="M71" s="7"/>
      <c r="N71" s="7"/>
      <c r="O71" s="7"/>
      <c r="P71" s="7"/>
      <c r="Q71" s="7"/>
      <c r="R71" s="7"/>
      <c r="S71" s="7"/>
    </row>
    <row r="72">
      <c r="A72" s="7"/>
      <c r="B72" s="7"/>
      <c r="C72" s="7"/>
      <c r="D72" s="7"/>
      <c r="E72" s="7"/>
      <c r="F72" s="7"/>
      <c r="G72" s="7"/>
      <c r="H72" s="7"/>
      <c r="I72" s="7"/>
      <c r="J72" s="7"/>
      <c r="K72" s="7"/>
      <c r="L72" s="7"/>
      <c r="M72" s="7"/>
      <c r="N72" s="7"/>
      <c r="O72" s="7"/>
      <c r="P72" s="7"/>
      <c r="Q72" s="7"/>
      <c r="R72" s="7"/>
      <c r="S72" s="7"/>
    </row>
    <row r="73">
      <c r="A73" s="7"/>
      <c r="B73" s="7"/>
      <c r="C73" s="7"/>
      <c r="D73" s="7"/>
      <c r="E73" s="7"/>
      <c r="F73" s="7"/>
      <c r="G73" s="7"/>
      <c r="H73" s="7"/>
      <c r="I73" s="7"/>
      <c r="J73" s="7"/>
      <c r="K73" s="7"/>
      <c r="L73" s="7"/>
      <c r="M73" s="7"/>
      <c r="N73" s="7"/>
      <c r="O73" s="7"/>
      <c r="P73" s="7"/>
      <c r="Q73" s="7"/>
      <c r="R73" s="7"/>
      <c r="S73" s="7"/>
    </row>
  </sheetData>
  <mergeCells count="35">
    <mergeCell ref="A1:K1"/>
    <mergeCell ref="A2:K2"/>
    <mergeCell ref="A5:K5"/>
    <mergeCell ref="B7:D7"/>
    <mergeCell ref="E7:F7"/>
    <mergeCell ref="G7:J7"/>
    <mergeCell ref="L7:S7"/>
    <mergeCell ref="E10:E14"/>
    <mergeCell ref="F10:F14"/>
    <mergeCell ref="G10:G14"/>
    <mergeCell ref="H10:H14"/>
    <mergeCell ref="I10:I14"/>
    <mergeCell ref="J10:J14"/>
    <mergeCell ref="K10:K14"/>
    <mergeCell ref="A10:D14"/>
    <mergeCell ref="A16:I16"/>
    <mergeCell ref="B18:I18"/>
    <mergeCell ref="A21:E24"/>
    <mergeCell ref="F21:I24"/>
    <mergeCell ref="A26:I26"/>
    <mergeCell ref="B28:I28"/>
    <mergeCell ref="A49:F51"/>
    <mergeCell ref="A53:H53"/>
    <mergeCell ref="B55:H55"/>
    <mergeCell ref="A58:H60"/>
    <mergeCell ref="A62:H62"/>
    <mergeCell ref="B64:H64"/>
    <mergeCell ref="A67:H70"/>
    <mergeCell ref="A31:F33"/>
    <mergeCell ref="G31:I33"/>
    <mergeCell ref="A35:I35"/>
    <mergeCell ref="B37:G37"/>
    <mergeCell ref="A40:E42"/>
    <mergeCell ref="A44:I44"/>
    <mergeCell ref="B46:F46"/>
  </mergeCell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29"/>
    <col customWidth="1" min="2" max="2" width="66.29"/>
  </cols>
  <sheetData>
    <row r="1">
      <c r="A1" s="304" t="s">
        <v>1632</v>
      </c>
      <c r="B1" s="124" t="s">
        <v>1633</v>
      </c>
    </row>
    <row r="2">
      <c r="A2" s="383" t="s">
        <v>1634</v>
      </c>
      <c r="B2" s="62" t="s">
        <v>1635</v>
      </c>
    </row>
    <row r="3">
      <c r="A3" s="383" t="s">
        <v>1636</v>
      </c>
      <c r="B3" s="72" t="s">
        <v>1637</v>
      </c>
    </row>
    <row r="4">
      <c r="A4" s="383" t="s">
        <v>1638</v>
      </c>
      <c r="B4" s="72" t="s">
        <v>1639</v>
      </c>
    </row>
    <row r="5">
      <c r="A5" s="383" t="s">
        <v>1640</v>
      </c>
      <c r="B5" s="72" t="s">
        <v>1641</v>
      </c>
    </row>
    <row r="6">
      <c r="A6" s="409" t="s">
        <v>1642</v>
      </c>
      <c r="B6" s="410" t="s">
        <v>1643</v>
      </c>
    </row>
    <row r="7">
      <c r="A7" s="383" t="s">
        <v>1644</v>
      </c>
      <c r="B7" s="62" t="s">
        <v>1645</v>
      </c>
    </row>
    <row r="8">
      <c r="A8" s="383" t="s">
        <v>1646</v>
      </c>
      <c r="B8" s="82" t="s">
        <v>1647</v>
      </c>
    </row>
    <row r="9">
      <c r="A9" s="383" t="s">
        <v>1648</v>
      </c>
      <c r="B9" s="62" t="s">
        <v>1649</v>
      </c>
    </row>
    <row r="10">
      <c r="A10" s="383" t="s">
        <v>1650</v>
      </c>
      <c r="B10" s="82" t="s">
        <v>1651</v>
      </c>
    </row>
    <row r="11">
      <c r="A11" s="383" t="s">
        <v>1652</v>
      </c>
      <c r="B11" s="62" t="s">
        <v>1653</v>
      </c>
    </row>
    <row r="12">
      <c r="A12" s="383" t="s">
        <v>1654</v>
      </c>
      <c r="B12" s="62" t="s">
        <v>1655</v>
      </c>
    </row>
    <row r="13">
      <c r="A13" s="383" t="s">
        <v>1656</v>
      </c>
      <c r="B13" s="62" t="s">
        <v>1657</v>
      </c>
    </row>
    <row r="14">
      <c r="A14" s="383" t="s">
        <v>1658</v>
      </c>
      <c r="B14" s="62" t="s">
        <v>1659</v>
      </c>
    </row>
    <row r="15">
      <c r="A15" s="383" t="s">
        <v>1660</v>
      </c>
      <c r="B15" s="82" t="s">
        <v>1661</v>
      </c>
    </row>
    <row r="16">
      <c r="A16" s="383" t="s">
        <v>1662</v>
      </c>
      <c r="B16" s="82" t="s">
        <v>1663</v>
      </c>
    </row>
    <row r="17">
      <c r="A17" s="383" t="s">
        <v>1664</v>
      </c>
      <c r="B17" s="72" t="s">
        <v>1665</v>
      </c>
    </row>
  </sheetData>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4.14"/>
  </cols>
  <sheetData>
    <row r="1">
      <c r="A1" s="307" t="s">
        <v>1666</v>
      </c>
    </row>
    <row r="2" ht="114.75" customHeight="1">
      <c r="A2" s="174" t="str">
        <f>image("https://media.discordapp.net/attachments/903026972182077541/903027087185674330/Auto.png?width=1441&amp;height=344")</f>
        <v/>
      </c>
    </row>
    <row r="3" ht="191.25" customHeight="1">
      <c r="A3" s="174" t="str">
        <f>image("https://media.discordapp.net/attachments/903026972182077541/903027098501935155/Battle_Skills.png?width=1190&amp;height=529")</f>
        <v/>
      </c>
    </row>
    <row r="4" ht="76.5" customHeight="1">
      <c r="A4" s="174" t="str">
        <f>image("https://media.discordapp.net/attachments/903026972182077541/903027103207948348/Pierce.png?width=1441&amp;height=234")</f>
        <v/>
      </c>
    </row>
    <row r="5" ht="132.75" customHeight="1">
      <c r="A5" s="174" t="str">
        <f>image("https://media.discordapp.net/attachments/903026972182077541/903027103870631936/Counter.png?width=1441&amp;height=442")</f>
        <v/>
      </c>
    </row>
    <row r="6" ht="126.75" customHeight="1">
      <c r="A6" s="174" t="str">
        <f>image("https://media.discordapp.net/attachments/903026972182077541/903027102637506610/Critical.png?width=1441&amp;height=328")</f>
        <v/>
      </c>
    </row>
    <row r="7" ht="117.0" customHeight="1">
      <c r="A7" s="174" t="str">
        <f>image("https://media.discordapp.net/attachments/903026972182077541/903027108496953414/Protection_Skill.png?width=1441&amp;height=364")</f>
        <v/>
      </c>
    </row>
    <row r="8" ht="130.5" customHeight="1">
      <c r="A8" s="174" t="str">
        <f>image("https://media.discordapp.net/attachments/903026972182077541/903027108798955550/Guard.png?width=1441&amp;height=434")</f>
        <v/>
      </c>
    </row>
    <row r="9" ht="92.25" customHeight="1">
      <c r="A9" s="174" t="str">
        <f>image("https://media.discordapp.net/attachments/903026972182077541/903027109155459132/Secret_Skill.png?width=1441&amp;height=327")</f>
        <v/>
      </c>
    </row>
    <row r="10" ht="276.0" customHeight="1">
      <c r="A10" s="174" t="str">
        <f>image("https://media.discordapp.net/attachments/903026972182077541/903027115027492944/Secret_Skill_pt2.png?width=748&amp;height=529")</f>
        <v/>
      </c>
    </row>
    <row r="11" ht="229.5" customHeight="1">
      <c r="A11" s="411" t="str">
        <f>image("https://i.imgur.com/QmJjW8z.png")</f>
        <v/>
      </c>
    </row>
    <row r="12">
      <c r="A12" s="412" t="s">
        <v>1667</v>
      </c>
    </row>
    <row r="13" ht="138.0" customHeight="1">
      <c r="A13" s="413" t="str">
        <f>image("https://media.discordapp.net/attachments/903026972182077541/903027110925467668/Speed.png?width=1441&amp;height=439")</f>
        <v/>
      </c>
    </row>
    <row r="14" ht="291.0" customHeight="1">
      <c r="A14" s="174" t="str">
        <f>image("https://media.discordapp.net/attachments/903026972182077541/903027115027492944/Secret_Skill_pt2.png?width=748&amp;height=529")</f>
        <v/>
      </c>
    </row>
    <row r="15" ht="268.5" customHeight="1">
      <c r="A15" s="174" t="str">
        <f>image("https://media.discordapp.net/attachments/903026972182077541/903027131523670076/Incapacitated.png?width=876&amp;height=529")</f>
        <v/>
      </c>
    </row>
    <row r="16" ht="171.0" customHeight="1">
      <c r="A16" s="174" t="str">
        <f>image("https://media.discordapp.net/attachments/903026972182077541/903027132387708978/Status_Abnorm.png?width=1437&amp;height=529")</f>
        <v/>
      </c>
    </row>
    <row r="17" ht="213.0" customHeight="1">
      <c r="A17" s="174" t="str">
        <f>image("https://media.discordapp.net/attachments/903026972182077541/903027154093219920/Status_Attributes.png?width=972&amp;height=530")</f>
        <v/>
      </c>
    </row>
    <row r="18" ht="85.5" customHeight="1">
      <c r="A18" s="174" t="str">
        <f>image("https://media.discordapp.net/attachments/903026972182077541/903027146509914112/Status_Attributes_pt2.png?width=1441&amp;height=308")</f>
        <v/>
      </c>
    </row>
    <row r="19" ht="132.75" customHeight="1">
      <c r="A19" s="174" t="str">
        <f>image("https://media.discordapp.net/attachments/903026972182077541/903027157650006026/Switch_Characters.png?width=1441&amp;height=378")</f>
        <v/>
      </c>
    </row>
    <row r="20">
      <c r="A20" s="17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7.14"/>
    <col customWidth="1" min="2" max="2" width="88.57"/>
    <col customWidth="1" min="3" max="3" width="111.71"/>
  </cols>
  <sheetData>
    <row r="1">
      <c r="A1" s="304" t="s">
        <v>166</v>
      </c>
      <c r="B1" s="304" t="s">
        <v>44</v>
      </c>
      <c r="C1" s="34" t="s">
        <v>843</v>
      </c>
    </row>
    <row r="2">
      <c r="A2" s="36" t="s">
        <v>1668</v>
      </c>
      <c r="B2" s="36" t="s">
        <v>1669</v>
      </c>
      <c r="C2" s="40" t="str">
        <f t="array" ref="C2">concatenate(A2,":",CHAR(10),B2)</f>
        <v>Combo - ATK DOWN (5☆ Awaken x1):
When the enemy makes a combo attack, decreases all targets' ATK by 5% for the next turn.</v>
      </c>
    </row>
    <row r="3">
      <c r="A3" s="36" t="s">
        <v>1670</v>
      </c>
      <c r="B3" s="36" t="s">
        <v>1671</v>
      </c>
      <c r="C3" s="40" t="str">
        <f t="array" ref="C3">concatenate(A3,":",CHAR(10),B3)</f>
        <v>Combo - ATK DOWN (5☆ Awaken x3):
When the enemy makes a combo attack, decreases all targets' ATK by 8% for the next turn.</v>
      </c>
    </row>
    <row r="4">
      <c r="A4" s="36" t="s">
        <v>1672</v>
      </c>
      <c r="B4" s="36" t="s">
        <v>1673</v>
      </c>
      <c r="C4" s="40" t="str">
        <f t="array" ref="C4">concatenate(A4,":",CHAR(10),B4)</f>
        <v>Combo - Pierce Resistance DOWN (5☆ Awaken x1):
When the enemy makes a combo attack, decreases all target's pierce resistance by 6% for the next turn.</v>
      </c>
    </row>
    <row r="5">
      <c r="A5" s="36" t="s">
        <v>1674</v>
      </c>
      <c r="B5" s="36" t="s">
        <v>1675</v>
      </c>
      <c r="C5" s="40" t="str">
        <f t="array" ref="C5">concatenate(A5,":",CHAR(10),B5)</f>
        <v>Combo - Pierce Resistance DOWN (5☆ Awaken x3):
When the enemy makes a combo attack, decreases all target's pierce resistance by 9% for the next turn.</v>
      </c>
    </row>
    <row r="6">
      <c r="A6" s="36" t="s">
        <v>1676</v>
      </c>
      <c r="B6" s="36" t="s">
        <v>1677</v>
      </c>
      <c r="C6" s="40" t="str">
        <f t="array" ref="C6">concatenate(A6,":",CHAR(10),B6)</f>
        <v>Combo - Pierce Resistance DOWN 2 (5☆ Awaken x1):
When the enemy makes a combo attack, increases all allies' pierce resistance by 10% at the start of the next turn.</v>
      </c>
    </row>
    <row r="7">
      <c r="A7" s="36" t="s">
        <v>1678</v>
      </c>
      <c r="B7" s="36" t="s">
        <v>1679</v>
      </c>
      <c r="C7" s="40" t="str">
        <f t="array" ref="C7">concatenate(A7,":",CHAR(10),B7)</f>
        <v>Combo - Pierce Resistance DOWN 2 (5☆ Awaken x3):
When the enemy makes a combo attack, increases all allies' pierce resistance by 15% at the start of the next turn.</v>
      </c>
    </row>
    <row r="8">
      <c r="A8" s="318" t="s">
        <v>1680</v>
      </c>
      <c r="B8" s="318" t="s">
        <v>1681</v>
      </c>
      <c r="C8" s="414" t="str">
        <f t="array" ref="C8">concatenate(A8,":",CHAR(10),B8)</f>
        <v>Soul Combo - ATK UP (5☆ Awaken x1):
When you unleash a 6 combo attack with Soul of Skills, increases own ATK by 5% for the next turn (available in support formation).</v>
      </c>
    </row>
    <row r="9">
      <c r="A9" s="318" t="s">
        <v>1682</v>
      </c>
      <c r="B9" s="318" t="s">
        <v>1683</v>
      </c>
      <c r="C9" s="415" t="str">
        <f t="array" ref="C9">concatenate(A8,":",CHAR(10),B8)</f>
        <v>Soul Combo - ATK UP (5☆ Awaken x1):
When you unleash a 6 combo attack with Soul of Skills, increases own ATK by 5% for the next turn (available in support formation).</v>
      </c>
    </row>
    <row r="10">
      <c r="A10" s="36" t="s">
        <v>1684</v>
      </c>
      <c r="B10" s="36" t="s">
        <v>1685</v>
      </c>
      <c r="C10" s="40" t="str">
        <f t="array" ref="C10">concatenate(A10,":",CHAR(10),B10)</f>
        <v>Effect - Critical Rate UP (5☆ Awaken x1):
When 1 or more enemies are affected by DEF DOWN, increases own critical rate by 6% at start of battle (available in support formation).</v>
      </c>
    </row>
    <row r="11">
      <c r="A11" s="36" t="s">
        <v>1686</v>
      </c>
      <c r="B11" s="36" t="s">
        <v>1687</v>
      </c>
      <c r="C11" s="40" t="str">
        <f t="array" ref="C11">concatenate(A11,":",CHAR(10),B11)</f>
        <v>Effect - Critical Rate UP (5☆ Awaken x3):
When 1 or more enemies are affected by DEF DOWN, increases own critical rate by 9% at start of battle (available in support formation).</v>
      </c>
    </row>
    <row r="12">
      <c r="A12" s="36" t="s">
        <v>1688</v>
      </c>
      <c r="B12" s="36" t="s">
        <v>1689</v>
      </c>
      <c r="C12" s="40" t="str">
        <f t="array" ref="C12">concatenate(A12,":",CHAR(10),B12)</f>
        <v>Effect - Critical Rate UP 2 (5☆ Awaken x1):
When affected by Guard Rate UP, increases own critical rate by 7% at start of turn (available in support formation).</v>
      </c>
    </row>
    <row r="13">
      <c r="A13" s="36" t="s">
        <v>1690</v>
      </c>
      <c r="B13" s="36" t="s">
        <v>1691</v>
      </c>
      <c r="C13" s="40" t="str">
        <f t="array" ref="C13">concatenate(A13,":",CHAR(10),B13)</f>
        <v>Effect - Critical Rate UP 2 (5☆ Awaken x3):
When affected by Guard Rate UP, increases own critical rate by 11% at start of turn (available in support formation).</v>
      </c>
    </row>
    <row r="14">
      <c r="A14" s="36" t="s">
        <v>1692</v>
      </c>
      <c r="B14" s="36" t="s">
        <v>1693</v>
      </c>
      <c r="C14" s="40" t="str">
        <f t="array" ref="C14">concatenate(A14,":",CHAR(10),B14)</f>
        <v>Effect - Critical Resistance DOWN (5☆ Awaken x1):
When 1 or more enemies are affected by Guard Rate UP, decreases all targets' critical resistance by 7% at start of turn.</v>
      </c>
    </row>
    <row r="15">
      <c r="A15" s="36" t="s">
        <v>1694</v>
      </c>
      <c r="B15" s="36" t="s">
        <v>1695</v>
      </c>
      <c r="C15" s="40" t="str">
        <f t="array" ref="C15">concatenate(A15,":",CHAR(10),B15)</f>
        <v>Effect - Critical Resistance DOWN (5☆ Awaken x3):
When 1 or more enemies are affected by Guard Rate UP, decreases all targets' critical resistance by 11% at start of turn.</v>
      </c>
    </row>
    <row r="16">
      <c r="A16" s="36" t="s">
        <v>1696</v>
      </c>
      <c r="B16" s="36" t="s">
        <v>1697</v>
      </c>
      <c r="C16" s="40" t="str">
        <f t="array" ref="C16">concatenate(A16,":",CHAR(10),B16)</f>
        <v>Effect - Critical Resistance DOWN 2 (5☆ Awaken x1):
When 1 or more enemies are affected by ATK UP, decreases all targets' critical resistance by 7% at start of turn.</v>
      </c>
    </row>
    <row r="17">
      <c r="A17" s="36" t="s">
        <v>1698</v>
      </c>
      <c r="B17" s="36" t="s">
        <v>1699</v>
      </c>
      <c r="C17" s="40" t="str">
        <f t="array" ref="C17">concatenate(A17,":",CHAR(10),B17)</f>
        <v>Effect - Critical Resistance DOWN 2 (5☆ Awaken x3):
When 1 or more enemies are affected by ATK UP, decreases all targets' critical resistance by 11% at start of turn.</v>
      </c>
    </row>
    <row r="18">
      <c r="A18" s="36" t="s">
        <v>1700</v>
      </c>
      <c r="B18" s="36" t="s">
        <v>1701</v>
      </c>
      <c r="C18" s="40" t="str">
        <f t="array" ref="C18">concatenate(A18,":",CHAR(10),B18)</f>
        <v>Effect - Dark Resistance (5☆ Awaken x1):
When 1 or more enemies are affected by ATK UP, increases all allies' dark resistance by at start of turn.</v>
      </c>
    </row>
    <row r="19">
      <c r="A19" s="36" t="s">
        <v>1702</v>
      </c>
      <c r="B19" s="36" t="s">
        <v>1701</v>
      </c>
      <c r="C19" s="40" t="str">
        <f t="array" ref="C19">concatenate(A19,":",CHAR(10),B19)</f>
        <v>Effect - Dark Resistance (5☆ Awaken x3):
When 1 or more enemies are affected by ATK UP, increases all allies' dark resistance by at start of turn.</v>
      </c>
    </row>
    <row r="20">
      <c r="A20" s="36" t="s">
        <v>1703</v>
      </c>
      <c r="B20" s="36" t="s">
        <v>1704</v>
      </c>
      <c r="C20" s="40" t="str">
        <f t="array" ref="C20">concatenate(A20,":",CHAR(10),B20)</f>
        <v>Effect - DEF DOWN (5☆ Awaken x1):
When 1 or more enemies are affected by Guard Rate UP, decreases all targets' DEF by 4% at start of turn.</v>
      </c>
    </row>
    <row r="21">
      <c r="A21" s="36" t="s">
        <v>1705</v>
      </c>
      <c r="B21" s="36" t="s">
        <v>1706</v>
      </c>
      <c r="C21" s="40" t="str">
        <f t="array" ref="C21">concatenate(A21,":",CHAR(10),B21)</f>
        <v>Effect - DEF DOWN (5☆ Awaken x3):
When 1 or more enemies are affected by Guard Rate UP, decreases all targets' DEF by 6% at start of turn.</v>
      </c>
    </row>
    <row r="22">
      <c r="A22" s="36" t="s">
        <v>1707</v>
      </c>
      <c r="B22" s="36" t="s">
        <v>1708</v>
      </c>
      <c r="C22" s="40" t="str">
        <f t="array" ref="C22">concatenate(A22,":",CHAR(10),B22)</f>
        <v>Effect - DEF DOWN 2 (5☆ Awaken x1):
When 1 or more allies are affected by ATK DOWN, decrease all targets' DEF by 4% at start of turn.</v>
      </c>
    </row>
    <row r="23">
      <c r="A23" s="36" t="s">
        <v>1709</v>
      </c>
      <c r="B23" s="36" t="s">
        <v>1710</v>
      </c>
      <c r="C23" s="40" t="str">
        <f t="array" ref="C23">concatenate(A23,":",CHAR(10),B23)</f>
        <v>Effect - DEF DOWN 2 (5☆ Awaken x3):
When 1 or more allies are affected by ATK DOWN, decrease all targets' DEF by 6% at start of turn.</v>
      </c>
    </row>
    <row r="24">
      <c r="A24" s="36" t="s">
        <v>1711</v>
      </c>
      <c r="B24" s="36" t="s">
        <v>1712</v>
      </c>
      <c r="C24" s="40" t="str">
        <f t="array" ref="C24">concatenate(A24,":",CHAR(10),B24)</f>
        <v>Effect - DEF UP (5☆ Awaken x1):
When affected by Pierce Resistance UP, increases own DEF by 7% at the start of turn (available in support formation).</v>
      </c>
    </row>
    <row r="25">
      <c r="A25" s="36" t="s">
        <v>1713</v>
      </c>
      <c r="B25" s="36" t="s">
        <v>1714</v>
      </c>
      <c r="C25" s="40" t="str">
        <f t="array" ref="C25">concatenate(A25,":",CHAR(10),B25)</f>
        <v>Effect - DEF UP (5☆ Awaken x3):
When affected by Pierce Resistance UP, increases own DEF by 11% at the start of turn (available in support formation).</v>
      </c>
    </row>
    <row r="26">
      <c r="A26" s="36" t="s">
        <v>1715</v>
      </c>
      <c r="B26" s="36" t="s">
        <v>1716</v>
      </c>
      <c r="C26" s="40" t="str">
        <f t="array" ref="C26">concatenate(A26,":",CHAR(10),B26)</f>
        <v>Effect - DEF UP 2 (5☆ Awaken x1):
When affected by Critical Resistance UP, increases own DEF by 7% at start of the turn (available in support formation).</v>
      </c>
    </row>
    <row r="27">
      <c r="A27" s="36" t="s">
        <v>1717</v>
      </c>
      <c r="B27" s="36" t="s">
        <v>1718</v>
      </c>
      <c r="C27" s="40" t="str">
        <f t="array" ref="C27">concatenate(A27,":",CHAR(10),B27)</f>
        <v>Effect - DEF UP 2 (5☆ Awaken x3):
When affected by Critical Resistance UP, increases own DEF by 11% at start of the turn (available in support formation).</v>
      </c>
    </row>
    <row r="28">
      <c r="A28" s="36" t="s">
        <v>1719</v>
      </c>
      <c r="B28" s="36" t="s">
        <v>1720</v>
      </c>
      <c r="C28" s="40" t="str">
        <f t="array" ref="C28">concatenate(A28,":",CHAR(10),B28)</f>
        <v>Effect - Guard Power UP (5☆ Awaken x1):
When affected by Guard Rate UP, increases own guard power by 6% at start of turn (available in support formation).</v>
      </c>
    </row>
    <row r="29">
      <c r="A29" s="36" t="s">
        <v>1721</v>
      </c>
      <c r="B29" s="36" t="s">
        <v>1722</v>
      </c>
      <c r="C29" s="40" t="str">
        <f t="array" ref="C29">concatenate(A29,":",CHAR(10),B29)</f>
        <v>Effect - Guard Power UP (5☆ Awaken x3):
When affected by Guard Rate UP, increases own guard power by 9% at start of turn (available in support formation).</v>
      </c>
    </row>
    <row r="30">
      <c r="A30" s="36" t="s">
        <v>1723</v>
      </c>
      <c r="B30" s="36" t="s">
        <v>1724</v>
      </c>
      <c r="C30" s="40" t="str">
        <f t="array" ref="C30">concatenate(A30,":",CHAR(10),B30)</f>
        <v>Effect - Guard Rate UP (5☆ Awaken x1):
When affected by Critical Resistance UP, increases own guard rate by 8% at start of turn (available in support formation).</v>
      </c>
    </row>
    <row r="31">
      <c r="A31" s="36" t="s">
        <v>1725</v>
      </c>
      <c r="B31" s="36" t="s">
        <v>1726</v>
      </c>
      <c r="C31" s="40" t="str">
        <f t="array" ref="C31">concatenate(A31,":",CHAR(10),B31)</f>
        <v>Effect - Guard Rate UP (5☆ Awaken x3):
When affected by Critical Resistance UP, increases own guard rate by 12% at start of turn (available in support formation).</v>
      </c>
    </row>
    <row r="32">
      <c r="A32" s="36" t="s">
        <v>1727</v>
      </c>
      <c r="B32" s="36" t="s">
        <v>1728</v>
      </c>
      <c r="C32" s="40" t="str">
        <f t="array" ref="C32">concatenate(A32,":",CHAR(10),B32)</f>
        <v>Effect - Light Resistance (5☆ Awaken x1):
When 1 or more enemies are affected by ATK UP, increases all allies' light resistance by 7% at start of turn.</v>
      </c>
    </row>
    <row r="33">
      <c r="A33" s="36" t="s">
        <v>1729</v>
      </c>
      <c r="B33" s="36" t="s">
        <v>1730</v>
      </c>
      <c r="C33" s="40" t="str">
        <f t="array" ref="C33">concatenate(A33,":",CHAR(10),B33)</f>
        <v>Effect - Light Resistance (5☆ Awaken x3):
When 1 or more enemies are affected by ATK UP, increases all allies' light resistance by 11% at start of turn.</v>
      </c>
    </row>
    <row r="34">
      <c r="A34" s="36" t="s">
        <v>1731</v>
      </c>
      <c r="B34" s="36" t="s">
        <v>1732</v>
      </c>
      <c r="C34" s="40" t="str">
        <f t="array" ref="C34">concatenate(A34,":",CHAR(10),B34)</f>
        <v>Effect - Pierce Power UP (5☆ Awaken x1):
When 1 or more vanguard are affected by Critical Rate UP, increases own pierce power by 5% at start of turn (available in support formation).</v>
      </c>
    </row>
    <row r="35">
      <c r="A35" s="36" t="s">
        <v>1733</v>
      </c>
      <c r="B35" s="36" t="s">
        <v>1734</v>
      </c>
      <c r="C35" s="40" t="str">
        <f t="array" ref="C35">concatenate(A35,":",CHAR(10),B35)</f>
        <v>Effect - Pierce Power UP (5☆ Awaken x3):
When 1 or more vanguard are affected by Critical Rate UP, increases own pierce power by 8% at start of turn (available in support formation).</v>
      </c>
    </row>
    <row r="36">
      <c r="A36" s="36" t="s">
        <v>1735</v>
      </c>
      <c r="B36" s="36" t="s">
        <v>1736</v>
      </c>
      <c r="C36" s="40" t="str">
        <f t="array" ref="C36">concatenate(A36,":",CHAR(10),B36)</f>
        <v>Effect - Pierce Power UP 2 (5☆ Awaken x1):
When 1 or more enemies are affected by Pierce Resistance DOWN, increases own pierce power by 5% at start of turn (available in support formation).</v>
      </c>
    </row>
    <row r="37">
      <c r="A37" s="36" t="s">
        <v>1737</v>
      </c>
      <c r="B37" s="36" t="s">
        <v>1738</v>
      </c>
      <c r="C37" s="40" t="str">
        <f t="array" ref="C37">concatenate(A37,":",CHAR(10),B37)</f>
        <v>Effect - Pierce Power UP 2 (5☆ Awaken x3):
When 1 or more enemies are affected by Pierce Resistance DOWN, increases own pierce power by 8% at start of turn (available in support formation).</v>
      </c>
    </row>
    <row r="38">
      <c r="A38" s="36" t="s">
        <v>1739</v>
      </c>
      <c r="B38" s="36" t="s">
        <v>1740</v>
      </c>
      <c r="C38" s="40" t="str">
        <f t="array" ref="C38">concatenate(A38,":",CHAR(10),B38)</f>
        <v>Effect - Pierce Rate UP (5☆ Awaken x1):
When affected by counterattack rate UP, increases own pierce rate by 7% at start of turn (available in support formation).</v>
      </c>
    </row>
    <row r="39">
      <c r="A39" s="36" t="s">
        <v>1741</v>
      </c>
      <c r="B39" s="36" t="s">
        <v>1742</v>
      </c>
      <c r="C39" s="40" t="str">
        <f t="array" ref="C39">concatenate(A39,":",CHAR(10),B39)</f>
        <v>Effect - Pierce Rate UP (5☆ Awaken x3):
When affected by counterattack rate UP, increases own pierce rate by 11% at start of turn (available in support formation).</v>
      </c>
    </row>
    <row r="40">
      <c r="A40" s="36" t="s">
        <v>1743</v>
      </c>
      <c r="B40" s="36" t="s">
        <v>1744</v>
      </c>
      <c r="C40" s="40" t="str">
        <f t="array" ref="C40">concatenate(A40,":",CHAR(10),B40)</f>
        <v>Effect - Pierce Resistance DOWN (5☆ Awaken x1):
When 1 or more enemies are affected by DEF UP, decreases all targets' pierce resistance by 7% at start of turn.</v>
      </c>
    </row>
    <row r="41">
      <c r="A41" s="36" t="s">
        <v>1745</v>
      </c>
      <c r="B41" s="36" t="s">
        <v>1746</v>
      </c>
      <c r="C41" s="40" t="str">
        <f t="array" ref="C41">concatenate(A41,":",CHAR(10),B41)</f>
        <v>Effect - Pierce Resistance DOWN (5☆ Awaken x3):
When 1 or more enemies are affected by DEF UP, decreases all targets' pierce resistance by 11% at start of turn.</v>
      </c>
    </row>
    <row r="42">
      <c r="A42" s="36" t="s">
        <v>1747</v>
      </c>
      <c r="B42" s="36" t="s">
        <v>1748</v>
      </c>
      <c r="C42" s="40" t="str">
        <f t="array" ref="C42">concatenate(A42,":",CHAR(10),B42)</f>
        <v>Effect - Pierce Resistance DOWN 2 (5☆ Awaken x1):
When 1 or more enemies are affected by Critical Rate UP, decreases all targets' pierce resistance by 7% at start of turn.</v>
      </c>
    </row>
    <row r="43">
      <c r="A43" s="36" t="s">
        <v>1749</v>
      </c>
      <c r="B43" s="36" t="s">
        <v>1750</v>
      </c>
      <c r="C43" s="40" t="str">
        <f t="array" ref="C43">concatenate(A43,":",CHAR(10),B43)</f>
        <v>Effect - Pierce Resistance DOWN 2 (5☆ Awaken x3):
When 1 or more enemies are affected by Critical Rate UP, decreases all targets' pierce resistance by 11% at start of turn.</v>
      </c>
    </row>
    <row r="44">
      <c r="A44" s="36" t="s">
        <v>1751</v>
      </c>
      <c r="B44" s="36" t="s">
        <v>1752</v>
      </c>
      <c r="C44" s="40" t="str">
        <f t="array" ref="C44">concatenate(A44,":",CHAR(10),B44)</f>
        <v>HP - ATK UP (5☆ Awaken x1):
When all 3 vanguard have 75% or more HP, increases all allies' ATK by 4% at start of turn.</v>
      </c>
    </row>
    <row r="45">
      <c r="A45" s="36" t="s">
        <v>1753</v>
      </c>
      <c r="B45" s="36" t="s">
        <v>1754</v>
      </c>
      <c r="C45" s="40" t="str">
        <f t="array" ref="C45">concatenate(A45,":",CHAR(10),B45)</f>
        <v>HP - ATK UP (5☆ Awaken x3):
When all 3 vanguard have 75% or more HP, increases all allies' ATK by 6% at start of turn.</v>
      </c>
    </row>
    <row r="46">
      <c r="A46" s="36" t="s">
        <v>1755</v>
      </c>
      <c r="B46" s="36" t="s">
        <v>1756</v>
      </c>
      <c r="C46" s="40" t="str">
        <f t="array" ref="C46">concatenate(A46,":",CHAR(10),B46)</f>
        <v>HP - ATK UP 2 (5☆ Awaken x1):
When all 3 vanguard have 50% or more HP, increases all allies' ATK by 3% at start of turn.</v>
      </c>
    </row>
    <row r="47">
      <c r="A47" s="36" t="s">
        <v>1757</v>
      </c>
      <c r="B47" s="36" t="s">
        <v>1758</v>
      </c>
      <c r="C47" s="40" t="str">
        <f t="array" ref="C47">concatenate(A47,":",CHAR(10),B47)</f>
        <v>HP - ATK UP 2 (5☆ Awaken x3):
When all 3 vanguard have 50% or more HP, increases all allies' ATK by 5% at start of turn.</v>
      </c>
    </row>
    <row r="48">
      <c r="A48" s="36" t="s">
        <v>1759</v>
      </c>
      <c r="B48" s="36" t="s">
        <v>1760</v>
      </c>
      <c r="C48" s="40" t="str">
        <f t="array" ref="C48">concatenate(A48,":",CHAR(10),B48)</f>
        <v>HP - Counterattack Resistance (5☆ Awaken x1):
When 3 vanguard have max HP, increases all allies' counterattack resistance by 20% at start of turn.</v>
      </c>
    </row>
    <row r="49">
      <c r="A49" s="36" t="s">
        <v>1761</v>
      </c>
      <c r="B49" s="36" t="s">
        <v>1762</v>
      </c>
      <c r="C49" s="40" t="str">
        <f t="array" ref="C49">concatenate(A49,":",CHAR(10),B49)</f>
        <v>HP - Counterattack Resistance (5☆ Awaken x3):
When 3 vanguard have max HP, increases all allies' counterattack resistance by 30% at start of turn.</v>
      </c>
    </row>
    <row r="50">
      <c r="A50" s="36" t="s">
        <v>1763</v>
      </c>
      <c r="B50" s="36" t="s">
        <v>1764</v>
      </c>
      <c r="C50" s="40" t="str">
        <f t="array" ref="C50">concatenate(A50,":",CHAR(10),B50)</f>
        <v>HP - Critical Damage UP (5☆ Awaken x1):
When you have 50% or lower HP, increases own critical damage by 5% at start of turn (available in support formation).</v>
      </c>
    </row>
    <row r="51">
      <c r="A51" s="36" t="s">
        <v>1765</v>
      </c>
      <c r="B51" s="36" t="s">
        <v>1766</v>
      </c>
      <c r="C51" s="40" t="str">
        <f t="array" ref="C51">concatenate(A51,":",CHAR(10),B51)</f>
        <v>HP - Critical Damage UP (5☆ Awaken x3):
When you have 50% or lower HP, increases own critical damage by 8% at start of turn (available in support formation).</v>
      </c>
    </row>
    <row r="52">
      <c r="A52" s="36" t="s">
        <v>1767</v>
      </c>
      <c r="B52" s="36" t="s">
        <v>1768</v>
      </c>
      <c r="C52" s="40" t="str">
        <f t="array" ref="C52">concatenate(A52,":",CHAR(10),B52)</f>
        <v>HP - Critical Damage UP 2 (5☆ Awaken x1):
When you have 50% or higher HP, increases own critical damage by 5% at start of turn (available in support formation).</v>
      </c>
    </row>
    <row r="53">
      <c r="A53" s="36" t="s">
        <v>1769</v>
      </c>
      <c r="B53" s="36" t="s">
        <v>1770</v>
      </c>
      <c r="C53" s="40" t="str">
        <f t="array" ref="C53">concatenate(A53,":",CHAR(10),B53)</f>
        <v>HP - Critical Damage UP 2 (5☆ Awaken x3):
When you have 50% or higher HP, increases own critical damage by 8% at start of turn (available in support formation).</v>
      </c>
    </row>
    <row r="54">
      <c r="A54" s="36" t="s">
        <v>1771</v>
      </c>
      <c r="B54" s="36" t="s">
        <v>1772</v>
      </c>
      <c r="C54" s="40" t="str">
        <f t="array" ref="C54">concatenate(A54,":",CHAR(10),B54)</f>
        <v>HP - Critical Rate UP (5☆ Awaken x1):
When 3 vanguard have 50% or lower HP, increases all allies' critical rate by 8% at start of turn.</v>
      </c>
    </row>
    <row r="55">
      <c r="A55" s="36" t="s">
        <v>1773</v>
      </c>
      <c r="B55" s="36" t="s">
        <v>1774</v>
      </c>
      <c r="C55" s="40" t="str">
        <f t="array" ref="C55">concatenate(A55,":",CHAR(10),B55)</f>
        <v>HP - Critical Rate UP (5☆ Awaken x3):
When 3 vanguard have 50% or lower HP, increases all allies' critical rate by 12% at start of turn.</v>
      </c>
    </row>
    <row r="56">
      <c r="A56" s="36" t="s">
        <v>1775</v>
      </c>
      <c r="B56" s="36" t="s">
        <v>1776</v>
      </c>
      <c r="C56" s="40" t="str">
        <f t="array" ref="C56">concatenate(A56,":",CHAR(10),B56)</f>
        <v>HP - Critical Rate UP 2 (5☆ Awaken x1):
When you have 50% or lower HP, increases own critical rate by 6% at start of turn (available in support formation).</v>
      </c>
    </row>
    <row r="57">
      <c r="A57" s="36" t="s">
        <v>1777</v>
      </c>
      <c r="B57" s="36" t="s">
        <v>1778</v>
      </c>
      <c r="C57" s="40" t="str">
        <f t="array" ref="C57">concatenate(A57,":",CHAR(10),B57)</f>
        <v>HP - Critical Rate UP 2 (5☆ Awaken x3):
When you have 50% or lower HP, increases own critical rate by 9% at start of turn (available in support formation).</v>
      </c>
    </row>
    <row r="58">
      <c r="A58" s="36" t="s">
        <v>1779</v>
      </c>
      <c r="B58" s="36" t="s">
        <v>1780</v>
      </c>
      <c r="C58" s="40" t="str">
        <f t="array" ref="C58">concatenate(A58,":",CHAR(10),B58)</f>
        <v>HP - Critical Resistance (5☆ Awaken x1):
When 3 vanguard have 50% or more HP, increases all allies' critical resistance by 10% at start of turn.</v>
      </c>
    </row>
    <row r="59">
      <c r="A59" s="36" t="s">
        <v>1781</v>
      </c>
      <c r="B59" s="36" t="s">
        <v>1782</v>
      </c>
      <c r="C59" s="40" t="str">
        <f t="array" ref="C59">concatenate(A59,":",CHAR(10),B59)</f>
        <v>HP - Critical Resistance (5☆ Awaken x3):
When 3 vanguard have 50% or more HP, increases all allies' critical resistance by 15% at start of turn.</v>
      </c>
    </row>
    <row r="60">
      <c r="A60" s="36" t="s">
        <v>1783</v>
      </c>
      <c r="B60" s="36" t="s">
        <v>1784</v>
      </c>
      <c r="C60" s="40" t="str">
        <f t="array" ref="C60">concatenate(A60,":",CHAR(10),B60)</f>
        <v>HP - DEF DOWN (5☆ Awaken x1):
When 3 vanguard have 75% or more HP, decreases all targets' DEF by 4% at start of turn.</v>
      </c>
    </row>
    <row r="61">
      <c r="A61" s="36" t="s">
        <v>1785</v>
      </c>
      <c r="B61" s="36" t="s">
        <v>1786</v>
      </c>
      <c r="C61" s="40" t="str">
        <f t="array" ref="C61">concatenate(A61,":",CHAR(10),B61)</f>
        <v>HP - DEF DOWN (5☆ Awaken x3):
When 3 vanguard have 75% or more HP, decreases all targets' DEF by 6% at start of turn.</v>
      </c>
    </row>
    <row r="62">
      <c r="A62" s="36" t="s">
        <v>1783</v>
      </c>
      <c r="B62" s="36" t="s">
        <v>1787</v>
      </c>
      <c r="C62" s="40" t="str">
        <f t="array" ref="C62">concatenate(A62,":",CHAR(10),B62)</f>
        <v>HP - DEF DOWN (5☆ Awaken x1):
When 3 vanguard have 50% or more HP, decreases all targets' DEF by 3% at start of turn.</v>
      </c>
    </row>
    <row r="63">
      <c r="A63" s="36" t="s">
        <v>1785</v>
      </c>
      <c r="B63" s="36" t="s">
        <v>1788</v>
      </c>
      <c r="C63" s="40" t="str">
        <f t="array" ref="C63">concatenate(A63,":",CHAR(10),B63)</f>
        <v>HP - DEF DOWN (5☆ Awaken x3):
When 3 vanguard have 50% or more HP, decreases all targets' DEF by 5% at start of turn.</v>
      </c>
    </row>
    <row r="64">
      <c r="A64" s="36" t="s">
        <v>1789</v>
      </c>
      <c r="B64" s="36" t="s">
        <v>1790</v>
      </c>
      <c r="C64" s="40" t="str">
        <f t="array" ref="C64">concatenate(A64,":",CHAR(10),B64)</f>
        <v>HP - DEF UP (5☆ Awaken x1):
When you have 50% or lower HP, increases own DEF by 6% at start of turn (available in support formation).</v>
      </c>
    </row>
    <row r="65">
      <c r="A65" s="36" t="s">
        <v>1791</v>
      </c>
      <c r="B65" s="36" t="s">
        <v>1792</v>
      </c>
      <c r="C65" s="40" t="str">
        <f t="array" ref="C65">concatenate(A65,":",CHAR(10),B65)</f>
        <v>HP - DEF UP (5☆ Awaken x3):
When you have 50% or lower HP, increases own DEF by 9% at start of turn (available in support formation).</v>
      </c>
    </row>
    <row r="66">
      <c r="A66" s="36" t="s">
        <v>1793</v>
      </c>
      <c r="B66" s="36" t="s">
        <v>1794</v>
      </c>
      <c r="C66" s="40" t="str">
        <f t="array" ref="C66">concatenate(A66,":",CHAR(10),B66)</f>
        <v>HP - DEF UP 2 (5☆ Awaken x1):
When you have max HP, increases own DEF by 7% at start of turn (available in support formation).</v>
      </c>
    </row>
    <row r="67">
      <c r="A67" s="36" t="s">
        <v>1795</v>
      </c>
      <c r="B67" s="36" t="s">
        <v>1796</v>
      </c>
      <c r="C67" s="40" t="str">
        <f t="array" ref="C67">concatenate(A67,":",CHAR(10),B67)</f>
        <v>HP - DEF UP 2 (5☆ Awaken x3):
When you have max HP, increases own DEF by 11% at start of turn (available in support formation).</v>
      </c>
    </row>
    <row r="68">
      <c r="A68" s="36" t="s">
        <v>1797</v>
      </c>
      <c r="B68" s="36" t="s">
        <v>1798</v>
      </c>
      <c r="C68" s="40" t="str">
        <f t="array" ref="C68">concatenate(A68,":",CHAR(10),B68)</f>
        <v>HP - DEF UP 3 (5☆ Awaken x1):
When 3 vanguard have max HP, increases all allies' DEF by 10% at start of turn.</v>
      </c>
    </row>
    <row r="69">
      <c r="A69" s="36" t="s">
        <v>1799</v>
      </c>
      <c r="B69" s="36" t="s">
        <v>1800</v>
      </c>
      <c r="C69" s="40" t="str">
        <f t="array" ref="C69">concatenate(A69,":",CHAR(10),B69)</f>
        <v>HP - DEF UP 3 (5☆ Awaken x3):
When 3 vanguard have max HP, increases all allies' DEF by 15% at start of turn.</v>
      </c>
    </row>
    <row r="70">
      <c r="A70" s="36" t="s">
        <v>1801</v>
      </c>
      <c r="B70" s="36" t="s">
        <v>1802</v>
      </c>
      <c r="C70" s="40" t="str">
        <f t="array" ref="C70">concatenate(A70,":",CHAR(10),B70)</f>
        <v>HP - Enhance Counterattack Rate (5☆ Awaken x1):
When you have 50% or higher HP, increases own counterattack rate by 6% at start of turn (available in support formation).</v>
      </c>
    </row>
    <row r="71">
      <c r="A71" s="36" t="s">
        <v>1803</v>
      </c>
      <c r="B71" s="36" t="s">
        <v>1804</v>
      </c>
      <c r="C71" s="40" t="str">
        <f t="array" ref="C71">concatenate(A71,":",CHAR(10),B71)</f>
        <v>HP - Enhance Counterattack Rate (5☆ Awaken x3):
When you have 50% or higher HP, increases own counterattack rate by 9% at start of turn (available in support formation).</v>
      </c>
    </row>
    <row r="72">
      <c r="A72" s="36" t="s">
        <v>1805</v>
      </c>
      <c r="B72" s="36" t="s">
        <v>1806</v>
      </c>
      <c r="C72" s="40" t="str">
        <f t="array" ref="C72">concatenate(A72,":",CHAR(10),B72)</f>
        <v>HP - Guard Power UP (5☆ Awaken x1):
When you have max HP, increases own guard power by 6% at start of turn (available in support formation).</v>
      </c>
    </row>
    <row r="73">
      <c r="A73" s="36" t="s">
        <v>1807</v>
      </c>
      <c r="B73" s="36" t="s">
        <v>1808</v>
      </c>
      <c r="C73" s="40" t="str">
        <f t="array" ref="C73">concatenate(A73,":",CHAR(10),B73)</f>
        <v>HP - Guard Power UP (5☆ Awaken x3):
When you have max HP, increases own guard power by 9% at start of turn (available in support formation).</v>
      </c>
    </row>
    <row r="74">
      <c r="A74" s="36" t="s">
        <v>1809</v>
      </c>
      <c r="B74" s="36" t="s">
        <v>1810</v>
      </c>
      <c r="C74" s="40" t="str">
        <f t="array" ref="C74">concatenate(A74,":",CHAR(10),B74)</f>
        <v>HP - Lash Out (5☆ Awaken x1):
When you have 75% or higher HP, increasess own counter power by 4% at start of turn (available in support formation).</v>
      </c>
    </row>
    <row r="75">
      <c r="A75" s="36" t="s">
        <v>1811</v>
      </c>
      <c r="B75" s="36" t="s">
        <v>1812</v>
      </c>
      <c r="C75" s="40" t="str">
        <f t="array" ref="C75">concatenate(A75,":",CHAR(10),B75)</f>
        <v>HP - Lash Out (5☆ Awaken x3):
When you have 75% or higher HP, increasess own counter power by 6% at start of turn (available in support formation).</v>
      </c>
    </row>
    <row r="76">
      <c r="A76" s="36" t="s">
        <v>1813</v>
      </c>
      <c r="B76" s="36" t="s">
        <v>1814</v>
      </c>
      <c r="C76" s="40" t="str">
        <f t="array" ref="C76">concatenate(A76,":",CHAR(10),B76)</f>
        <v>HP - Pierce Power UP (5☆ Awaken x1):
When you have max HP, increases own pierce power by 6% at start of turn (available in support formation).</v>
      </c>
    </row>
    <row r="77">
      <c r="A77" s="36" t="s">
        <v>1815</v>
      </c>
      <c r="B77" s="36" t="s">
        <v>1816</v>
      </c>
      <c r="C77" s="40" t="str">
        <f t="array" ref="C77">concatenate(A77,":",CHAR(10),B77)</f>
        <v>HP - Pierce Power UP (5☆ Awaken x3):
When you have max HP, increases own pierce power by 9% at start of turn (available in support formation).</v>
      </c>
    </row>
    <row r="78">
      <c r="A78" s="36" t="s">
        <v>1817</v>
      </c>
      <c r="B78" s="36" t="s">
        <v>1818</v>
      </c>
      <c r="C78" s="40" t="str">
        <f t="array" ref="C78">concatenate(A78,":",CHAR(10),B78)</f>
        <v>HP - Pierce Power UP 2 (5☆ Awaken x1):
When you have 75% or more HP, increases own pierce power by 8% at start of turn (available in support formation).</v>
      </c>
    </row>
    <row r="79">
      <c r="A79" s="36" t="s">
        <v>1819</v>
      </c>
      <c r="B79" s="36" t="s">
        <v>1820</v>
      </c>
      <c r="C79" s="40" t="str">
        <f t="array" ref="C79">concatenate(A79,":",CHAR(10),B79)</f>
        <v>HP - Pierce Power UP 2 (5☆ Awaken x3):
When you have 75% or more HP, increases own pierce power by 12% at start of turn (available in support formation).</v>
      </c>
    </row>
    <row r="80">
      <c r="A80" s="36" t="s">
        <v>1821</v>
      </c>
      <c r="B80" s="36" t="s">
        <v>1822</v>
      </c>
      <c r="C80" s="40" t="str">
        <f t="array" ref="C80">concatenate(A80,":",CHAR(10),B80)</f>
        <v>HP - Pierce Rate Up (5☆ Awaken x1):
When you have 50% or lower HP, increases own pierce rate by 7% at start of turn (available in support formation).</v>
      </c>
    </row>
    <row r="81">
      <c r="A81" s="36" t="s">
        <v>1823</v>
      </c>
      <c r="B81" s="36" t="s">
        <v>1824</v>
      </c>
      <c r="C81" s="40" t="str">
        <f t="array" ref="C81">concatenate(A81,":",CHAR(10),B81)</f>
        <v>HP - Pierce Rate Up (5☆ Awaken x3):
When you have 50% or lower HP, increases own pierce rate by 11% at start of turn (available in support formation).</v>
      </c>
    </row>
    <row r="82">
      <c r="A82" s="36" t="s">
        <v>1825</v>
      </c>
      <c r="B82" s="36" t="s">
        <v>1826</v>
      </c>
      <c r="C82" s="40" t="str">
        <f t="array" ref="C82">concatenate(A82,":",CHAR(10),B82)</f>
        <v>HP - Pierce Rate Up 2 (5☆ Awaken x1):
When you have max HP, increases own pierce rate by 8% at start of turn (available in support formation).</v>
      </c>
    </row>
    <row r="83">
      <c r="A83" s="36" t="s">
        <v>1827</v>
      </c>
      <c r="B83" s="36" t="s">
        <v>1828</v>
      </c>
      <c r="C83" s="40" t="str">
        <f t="array" ref="C83">concatenate(A83,":",CHAR(10),B83)</f>
        <v>HP - Pierce Rate Up 2 (5☆ Awaken x3):
When you have max HP, increases own pierce rate by 12% at start of turn (available in support formation).</v>
      </c>
    </row>
    <row r="84">
      <c r="A84" s="36" t="s">
        <v>1829</v>
      </c>
      <c r="B84" s="36" t="s">
        <v>1830</v>
      </c>
      <c r="C84" s="40" t="str">
        <f t="array" ref="C84">concatenate(A84,":",CHAR(10),B84)</f>
        <v>HP - Pierce Resistance (5☆ Awaken x1):
When 3 vanguard have 50% or more HP, increases all allies' pierce resistance by 10% at the start of turn.</v>
      </c>
    </row>
    <row r="85">
      <c r="A85" s="36" t="s">
        <v>1831</v>
      </c>
      <c r="B85" s="36" t="s">
        <v>1832</v>
      </c>
      <c r="C85" s="40" t="str">
        <f t="array" ref="C85">concatenate(A85,":",CHAR(10),B85)</f>
        <v>HP - Pierce Resistance (5☆ Awaken x3):
When 3 vanguard have 50% or more HP, increases all allies' pierce resistance by 15% at the start of turn.</v>
      </c>
    </row>
    <row r="86">
      <c r="A86" s="36" t="s">
        <v>1833</v>
      </c>
      <c r="B86" s="36" t="s">
        <v>1834</v>
      </c>
      <c r="C86" s="40" t="str">
        <f t="array" ref="C86">concatenate(A86,":",CHAR(10),B86)</f>
        <v>HP - Pierce Resistance 2 (5☆ Awaken x1):
When you have max HP, increases own pierce resistance by 6% at start of turn (available in support formation).</v>
      </c>
    </row>
    <row r="87">
      <c r="A87" s="36" t="s">
        <v>1835</v>
      </c>
      <c r="B87" s="36" t="s">
        <v>1836</v>
      </c>
      <c r="C87" s="40" t="str">
        <f t="array" ref="C87">concatenate(A87,":",CHAR(10),B87)</f>
        <v>HP - Pierce Resistance 2 (5☆ Awaken x3):
When you have max HP, increases own pierce resistance by 9% at start of turn (available in support formation).</v>
      </c>
    </row>
    <row r="88">
      <c r="A88" s="36" t="s">
        <v>1837</v>
      </c>
      <c r="B88" s="36" t="s">
        <v>1838</v>
      </c>
      <c r="C88" s="40" t="str">
        <f t="array" ref="C88">concatenate(A88,":",CHAR(10),B88)</f>
        <v>HP - Pierce Resistance DOWN (5☆ Awaken x1):
When 3 vanguard have 50% or lower HP, decreases all targets' pierce resistance by 5% at start of turn.</v>
      </c>
    </row>
    <row r="89">
      <c r="A89" s="36" t="s">
        <v>1839</v>
      </c>
      <c r="B89" s="36" t="s">
        <v>1840</v>
      </c>
      <c r="C89" s="40" t="str">
        <f t="array" ref="C89">concatenate(A89,":",CHAR(10),B89)</f>
        <v>HP - Pierce Resistance DOWN (5☆ Awaken x3):
When 3 vanguard have 50% or lower HP, decreases all targets' pierce resistance by 8% at start of turn.</v>
      </c>
    </row>
    <row r="90">
      <c r="A90" s="36" t="s">
        <v>1841</v>
      </c>
      <c r="B90" s="36" t="s">
        <v>1842</v>
      </c>
      <c r="C90" s="40" t="str">
        <f t="array" ref="C90">concatenate(A90,":",CHAR(10),B90)</f>
        <v>Secret Skill - ATK DOWN (5☆ Awaken x1):
When the enemy activates secret skill, decreases all targets' ATK by 6% for the next turn.</v>
      </c>
    </row>
    <row r="91">
      <c r="A91" s="36" t="s">
        <v>1843</v>
      </c>
      <c r="B91" s="36" t="s">
        <v>1844</v>
      </c>
      <c r="C91" s="40" t="str">
        <f t="array" ref="C91">concatenate(A91,":",CHAR(10),B91)</f>
        <v>Secret Skill - ATK DOWN (5☆ Awaken x3):
When the enemy activates secret skill, decreases all targets' ATK by 9% for the next turn.</v>
      </c>
    </row>
    <row r="92">
      <c r="A92" s="36" t="s">
        <v>1680</v>
      </c>
      <c r="B92" s="36" t="s">
        <v>1845</v>
      </c>
      <c r="C92" s="40" t="str">
        <f t="array" ref="C92">concatenate(A92,":",CHAR(10),B92)</f>
        <v>Soul Combo - ATK UP (5☆ Awaken x1):
When you unleash a 6 combo attack with Soul of Secrets, increases own ATK by 5% for the next turn (available in support formation).</v>
      </c>
    </row>
    <row r="93">
      <c r="A93" s="36" t="s">
        <v>1682</v>
      </c>
      <c r="B93" s="36" t="s">
        <v>1846</v>
      </c>
      <c r="C93" s="40" t="str">
        <f t="array" ref="C93">concatenate(A93,":",CHAR(10),B93)</f>
        <v>Soul Combo - ATK UP (5☆ Awaken x3):
When you unleash a 6 combo attack with Soul of Secrets, increases own ATK by 8% for the next turn (available in support formation).</v>
      </c>
    </row>
    <row r="94">
      <c r="A94" s="36" t="s">
        <v>1847</v>
      </c>
      <c r="B94" s="36" t="s">
        <v>1848</v>
      </c>
      <c r="C94" s="40" t="str">
        <f t="array" ref="C94">concatenate(A94,":",CHAR(10),B94)</f>
        <v>Soul Combo - ATK DOWN (5☆ Awaken x1):
When you unleash a 6 combo attack with Soul of Divine Protection, decreases all targets' ATK by 5% for the next turn (available in support formation).</v>
      </c>
    </row>
    <row r="95">
      <c r="A95" s="36" t="s">
        <v>1849</v>
      </c>
      <c r="B95" s="36" t="s">
        <v>1850</v>
      </c>
      <c r="C95" s="40" t="str">
        <f t="array" ref="C95">concatenate(A95,":",CHAR(10),B95)</f>
        <v>Soul Combo - ATK DOWN (5☆ Awaken x3):
When you unleash a 6 combo attack with Soul of Divine Protection, decreases all targets' ATK by 8% for the next turn (available in support formation).</v>
      </c>
    </row>
    <row r="96">
      <c r="A96" s="36" t="s">
        <v>1851</v>
      </c>
      <c r="B96" s="36" t="s">
        <v>1852</v>
      </c>
      <c r="C96" s="40" t="str">
        <f t="array" ref="C96">concatenate(A96,":",CHAR(10),B96)</f>
        <v>Soul Combo - DEF UP (5☆ Awaken x1):
When you unleash a 6 combo attack with Soul of Secrets, increase all targets' DEF by 12% for the next turn (available in support formation).</v>
      </c>
    </row>
    <row r="97">
      <c r="A97" s="36" t="s">
        <v>1853</v>
      </c>
      <c r="B97" s="36" t="s">
        <v>1854</v>
      </c>
      <c r="C97" s="40" t="str">
        <f t="array" ref="C97">concatenate(A97,":",CHAR(10),B97)</f>
        <v>Soul Combo - DEF UP (5☆ Awaken x3):
When you unleash a 6 combo attack with Soul of Secrets, increase all targets' DEF by 18% for the next turn (available in support formation).</v>
      </c>
    </row>
    <row r="98">
      <c r="A98" s="36" t="s">
        <v>1855</v>
      </c>
      <c r="B98" s="36" t="s">
        <v>1856</v>
      </c>
      <c r="C98" s="40" t="str">
        <f t="array" ref="C98">concatenate(A98,":",CHAR(10),B98)</f>
        <v>Soul Combo - Critical Damage UP (5☆ Awaken x1):
When you unleash a 5+ combo attack with Soul of Secrets, increases own critical damage by 6% for the next turn (available in support formation).</v>
      </c>
    </row>
    <row r="99">
      <c r="A99" s="36" t="s">
        <v>1857</v>
      </c>
      <c r="B99" s="36" t="s">
        <v>1858</v>
      </c>
      <c r="C99" s="40" t="str">
        <f t="array" ref="C99">concatenate(A99,":",CHAR(10),B99)</f>
        <v>Soul Combo - Critical Damage UP (5☆ Awaken x3):
When you unleash a 5+ combo attack with Soul of Secrets, increases own critical damage by 9% for the next turn (available in support formation).</v>
      </c>
    </row>
    <row r="100">
      <c r="A100" s="36" t="s">
        <v>1859</v>
      </c>
      <c r="B100" s="36" t="s">
        <v>1860</v>
      </c>
      <c r="C100" s="40" t="str">
        <f t="array" ref="C100">concatenate(A100,":",CHAR(10),B100)</f>
        <v>Soul Combo - Critical Rate UP (5☆ Awaken x1):
When you unleash a 6 combo attack with Soul of Divine Protection, increases own critical rate by 12% for the next turn (available in support formation).</v>
      </c>
    </row>
    <row r="101">
      <c r="A101" s="36" t="s">
        <v>1861</v>
      </c>
      <c r="B101" s="36" t="s">
        <v>1862</v>
      </c>
      <c r="C101" s="40" t="str">
        <f t="array" ref="C101">concatenate(A101,":",CHAR(10),B101)</f>
        <v>Soul Combo - Critical Rate UP (5☆ Awaken x3):
When you unleash a 6 combo attack with Soul of Divine Protection, increases own critical rate by 18% for the next turn (available in support formation).</v>
      </c>
    </row>
    <row r="102">
      <c r="A102" s="36" t="s">
        <v>1863</v>
      </c>
      <c r="B102" s="36" t="s">
        <v>1864</v>
      </c>
      <c r="C102" s="40" t="str">
        <f t="array" ref="C102">concatenate(A102,":",CHAR(10),B102)</f>
        <v>Soul Combo - Guard Rate DOWN (5★ Awaken x1):
When you unleash a 6 combo attack with Soul of Divine Protection, decreases all targets' guard rate by 7% for the next turn (available in support formation)</v>
      </c>
    </row>
    <row r="103">
      <c r="A103" s="36" t="s">
        <v>1865</v>
      </c>
      <c r="B103" s="36" t="s">
        <v>1866</v>
      </c>
      <c r="C103" s="40" t="str">
        <f t="array" ref="C103">concatenate(A103,":",CHAR(10),B103)</f>
        <v>Soul Combo - Guard Rate DOWN (5★ Awaken x3):
When you unleash a 6 combo attack with Soul of Divine Protection, decreases all targets' guard rate by 11% for the next turn (available in support formation)</v>
      </c>
    </row>
    <row r="104">
      <c r="A104" s="36" t="s">
        <v>1867</v>
      </c>
      <c r="B104" s="36" t="s">
        <v>1868</v>
      </c>
      <c r="C104" s="40" t="str">
        <f t="array" ref="C104">concatenate(A104,":",CHAR(10),B104)</f>
        <v>Soul Combo - Enhance Counterattack Rate (5☆ Awaken x1):
When you unleash a 5+ combo attack with Soul of Divine Protection, increases own counterattack rate by 6% for the next turn (available in support formation).</v>
      </c>
    </row>
    <row r="105">
      <c r="A105" s="36" t="s">
        <v>1869</v>
      </c>
      <c r="B105" s="36" t="s">
        <v>1870</v>
      </c>
      <c r="C105" s="40" t="str">
        <f t="array" ref="C105">concatenate(A105,":",CHAR(10),B105)</f>
        <v>Soul Combo - Enhance Counterattack Rate (5☆ Awaken x3):
When you unleash a 5+ combo attack with Soul of Divine Protection, increases own counterattack rate by 9% for the next turn (available in support formation).</v>
      </c>
    </row>
    <row r="106">
      <c r="A106" s="36" t="s">
        <v>1871</v>
      </c>
      <c r="B106" s="36" t="s">
        <v>1872</v>
      </c>
      <c r="C106" s="40" t="str">
        <f t="array" ref="C106">concatenate(A106,":",CHAR(10),B106)</f>
        <v>Soul Combo - Enhance Counterattack Rate 2 (5☆ Awaken x1):
When you unleash a 4+ combo attack with Soul of Skills, increases own counterattack rate by 4% for the next turn (available in support formation).</v>
      </c>
    </row>
    <row r="107">
      <c r="A107" s="36" t="s">
        <v>1873</v>
      </c>
      <c r="B107" s="36" t="s">
        <v>1874</v>
      </c>
      <c r="C107" s="40" t="str">
        <f t="array" ref="C107">concatenate(A107,":",CHAR(10),B107)</f>
        <v>Soul Combo - Enhance Counterattack Rate 2 (5☆ Awaken x3):
When you unleash a 4+ combo attack with Soul of Skills, increases own counterattack rate by 6% for the next turn (available in support formation).</v>
      </c>
    </row>
    <row r="108">
      <c r="A108" s="36" t="s">
        <v>1875</v>
      </c>
      <c r="B108" s="36" t="s">
        <v>1876</v>
      </c>
      <c r="C108" s="40" t="str">
        <f t="array" ref="C108">concatenate(A108,":",CHAR(10),B108)</f>
        <v>Soul Combo - Guard Rate UP (5☆ Awaken x1):
When you unleash a 4+ combo attack with Soul of Skills, increases own guard rate by 6% for the next turn (available in support formation).</v>
      </c>
    </row>
    <row r="109">
      <c r="A109" s="36" t="s">
        <v>1877</v>
      </c>
      <c r="B109" s="36" t="s">
        <v>1878</v>
      </c>
      <c r="C109" s="40" t="str">
        <f t="array" ref="C109">concatenate(A109,":",CHAR(10),B109)</f>
        <v>Soul Combo - Guard Rate UP (5☆ Awaken x3):
When you unleash a 4+ combo attack with Soul of Skills, increases own guard rate by 9% for the next turn (available in support formation).</v>
      </c>
    </row>
    <row r="110">
      <c r="A110" s="36" t="s">
        <v>1879</v>
      </c>
      <c r="B110" s="36" t="s">
        <v>1880</v>
      </c>
      <c r="C110" s="40" t="str">
        <f t="array" ref="C110">concatenate(A110,":",CHAR(10),B110)</f>
        <v>Soul Combo - Counter Power DOWN (5☆ Awaken x1):
When you unleash a 5+ combo attack with Soul of Divine Protection, decreases all targets' counter power by 8% for the next turn (available in support formation).</v>
      </c>
    </row>
    <row r="111">
      <c r="A111" s="36" t="s">
        <v>1881</v>
      </c>
      <c r="B111" s="36" t="s">
        <v>1882</v>
      </c>
      <c r="C111" s="40" t="str">
        <f t="array" ref="C111">concatenate(A111,":",CHAR(10),B111)</f>
        <v>Soul Combo - Counter Power DOWN (5☆ Awaken x3):
When you unleash a 5+ combo attack with Soul of Divine Protection, decreases all targets' counter power by 12% for the next turn (available in support formation).</v>
      </c>
    </row>
    <row r="112">
      <c r="A112" s="36" t="s">
        <v>1883</v>
      </c>
      <c r="B112" s="36" t="s">
        <v>1884</v>
      </c>
      <c r="C112" s="40" t="str">
        <f t="array" ref="C112">concatenate(A112,":",CHAR(10),B112)</f>
        <v>Soul Combo - Pierce Power UP (5☆ Awaken x1):
When you unleash a 4+ combo attack with Soul of Skills, increases own pierce power by 4% for the next turn (available in support formation).</v>
      </c>
    </row>
    <row r="113">
      <c r="A113" s="36" t="s">
        <v>1885</v>
      </c>
      <c r="B113" s="36" t="s">
        <v>1886</v>
      </c>
      <c r="C113" s="40" t="str">
        <f t="array" ref="C113">concatenate(A113,":",CHAR(10),B113)</f>
        <v>Soul Combo - Pierce Power UP (5☆ Awaken x3):
When you unleash a 4+ combo attack with Soul of Skills, increases own pierce power by 6% for the next turn (available in support formation).</v>
      </c>
    </row>
    <row r="114">
      <c r="A114" s="36" t="s">
        <v>1887</v>
      </c>
      <c r="B114" s="36" t="s">
        <v>1888</v>
      </c>
      <c r="C114" s="40" t="str">
        <f t="array" ref="C114">concatenate(A114,":",CHAR(10),B114)</f>
        <v>Soul Combo - Pierce Power UP 2 (5☆ Awaken x1):
When you unleash a 5+ combo attack with Soul of Secrets, increases own pierce power by 6% for the next turn (available in support formation).</v>
      </c>
    </row>
    <row r="115">
      <c r="A115" s="36" t="s">
        <v>1889</v>
      </c>
      <c r="B115" s="36" t="s">
        <v>1890</v>
      </c>
      <c r="C115" s="40" t="str">
        <f t="array" ref="C115">concatenate(A115,":",CHAR(10),B115)</f>
        <v>Soul Combo - Pierce Power UP 2 (5☆ Awaken x3):
When you unleash a 5+ combo attack with Soul of Secrets, increases own pierce power by 9% for the next turn (available in support formation).</v>
      </c>
    </row>
    <row r="116">
      <c r="A116" s="36" t="s">
        <v>1891</v>
      </c>
      <c r="B116" s="36" t="s">
        <v>1892</v>
      </c>
      <c r="C116" s="40" t="str">
        <f t="array" ref="C116">concatenate(A116,":",CHAR(10),B116)</f>
        <v>Soul Combo - Pierce Rate UP (5☆ Awaken x1):
When you unleash a 4+ combo attack with Soul of Secrets, increases own pierce rate by 5% for the next turn (available in support formation).</v>
      </c>
    </row>
    <row r="117">
      <c r="A117" s="36" t="s">
        <v>1893</v>
      </c>
      <c r="B117" s="36" t="s">
        <v>1894</v>
      </c>
      <c r="C117" s="40" t="str">
        <f t="array" ref="C117">concatenate(A117,":",CHAR(10),B117)</f>
        <v>Soul Combo - Pierce Rate UP (5☆ Awaken x3):
When you unleash a 4+ combo attack with Soul of Secrets, increases own pierce rate by 8% for the next turn (available in support formation).</v>
      </c>
    </row>
    <row r="118">
      <c r="A118" s="36" t="s">
        <v>1895</v>
      </c>
      <c r="B118" s="36" t="s">
        <v>1896</v>
      </c>
      <c r="C118" s="40" t="str">
        <f t="array" ref="C118">concatenate(A118,":",CHAR(10),B118)</f>
        <v>Troop - Evade Poison (5☆ Awaken x1):
When your troop contains 3 or more battle characters, increases own poison evasion rate by 40% during battle (available in support formation).</v>
      </c>
    </row>
    <row r="119">
      <c r="A119" s="36" t="s">
        <v>1897</v>
      </c>
      <c r="B119" s="36" t="s">
        <v>1898</v>
      </c>
      <c r="C119" s="40" t="str">
        <f t="array" ref="C119">concatenate(A119,":",CHAR(10),B119)</f>
        <v>Troop - Evade Poison (5☆ Awaken x3):
When your troop contains 3 or more battle characters, increases own poison evasion rate by 60% during battle (available in support formation).</v>
      </c>
    </row>
    <row r="120">
      <c r="A120" s="36" t="s">
        <v>1899</v>
      </c>
      <c r="B120" s="36" t="s">
        <v>1900</v>
      </c>
      <c r="C120" s="40" t="str">
        <f t="array" ref="C120">concatenate(A120,":",CHAR(10),B120)</f>
        <v>Troop - Evade Poison 2 (5☆ Awaken x1):
When your troop contains 3 or more battle characters, increases all allies' poison evasion rate by 10% during battle.</v>
      </c>
    </row>
    <row r="121">
      <c r="A121" s="36" t="s">
        <v>1901</v>
      </c>
      <c r="B121" s="36" t="s">
        <v>1902</v>
      </c>
      <c r="C121" s="40" t="str">
        <f t="array" ref="C121">concatenate(A121,":",CHAR(10),B121)</f>
        <v>Troop - Evade Poison 2 (5☆ Awaken x3):
When your troop contains 3 or more battle characters, increases all allies' poison evasion rate by 15% during battle.</v>
      </c>
    </row>
    <row r="122">
      <c r="A122" s="36" t="s">
        <v>1903</v>
      </c>
      <c r="B122" s="36" t="s">
        <v>1904</v>
      </c>
      <c r="C122" s="40" t="str">
        <f t="array" ref="C122">concatenate(A122,":",CHAR(10),B122)</f>
        <v>Troop - Guard Rate UP (5☆ Awaken x1):
When your troop contains 3 or more battle characters, increases own guard rate by 3% during battle (available in support formation).</v>
      </c>
    </row>
    <row r="123">
      <c r="A123" s="36" t="s">
        <v>1905</v>
      </c>
      <c r="B123" s="36" t="s">
        <v>1906</v>
      </c>
      <c r="C123" s="40" t="str">
        <f t="array" ref="C123">concatenate(A123,":",CHAR(10),B123)</f>
        <v>Troop - Guard Rate UP (5☆ Awaken x3):
When your troop contains 3 or more battle characters, increases own guard rate by 5% during battle (available in support formation).</v>
      </c>
    </row>
    <row r="124">
      <c r="A124" s="36" t="s">
        <v>1907</v>
      </c>
      <c r="B124" s="36" t="s">
        <v>1908</v>
      </c>
      <c r="C124" s="40" t="str">
        <f t="array" ref="C124">concatenate(A124,":",CHAR(10),B124)</f>
        <v>Troop - Pierce Power UP (5☆ Awaken x1):
When your troop contains 3 or more battle characters, increases own pierce power by 3% during battle (available in support formation).</v>
      </c>
    </row>
    <row r="125">
      <c r="A125" s="36" t="s">
        <v>1909</v>
      </c>
      <c r="B125" s="36" t="s">
        <v>1910</v>
      </c>
      <c r="C125" s="40" t="str">
        <f t="array" ref="C125">concatenate(A125,":",CHAR(10),B125)</f>
        <v>Troop - Pierce Power UP (5☆ Awaken x3):
When your troop contains 3 or more battle characters, increases own pierce power by 5% during battle (available in support formation).</v>
      </c>
    </row>
    <row r="126">
      <c r="A126" s="36" t="s">
        <v>1911</v>
      </c>
      <c r="B126" s="36" t="s">
        <v>1912</v>
      </c>
      <c r="C126" s="40" t="str">
        <f t="array" ref="C126">concatenate(A126,":",CHAR(10),B126)</f>
        <v>Troop - Pierce Rate UP (5☆ Awaken x1):
When your troop contains 3 or more battle characters, increases own pierce rate by 3% during battle (available in support formation).</v>
      </c>
    </row>
    <row r="127">
      <c r="A127" s="36" t="s">
        <v>1913</v>
      </c>
      <c r="B127" s="36" t="s">
        <v>1914</v>
      </c>
      <c r="C127" s="40" t="str">
        <f t="array" ref="C127">concatenate(A127,":",CHAR(10),B127)</f>
        <v>Troop - Pierce Rate UP (5☆ Awaken x3):
When your troop contains 3 or more battle characters, increases own pierce rate by 5% during battle (available in support formation).</v>
      </c>
    </row>
    <row r="128">
      <c r="A128" s="36" t="s">
        <v>1915</v>
      </c>
      <c r="B128" s="36" t="s">
        <v>1916</v>
      </c>
      <c r="C128" s="40" t="str">
        <f t="array" ref="C128">concatenate(A128,":",CHAR(10),B128)</f>
        <v>Troop - Protection UP (5☆ Awaken x1):
When your troop contains 3 or more battle characters, increases protection gauge by 4 every 3 turns (available in support formation).</v>
      </c>
    </row>
    <row r="129">
      <c r="A129" s="36" t="s">
        <v>1917</v>
      </c>
      <c r="B129" s="36" t="s">
        <v>1918</v>
      </c>
      <c r="C129" s="40" t="str">
        <f t="array" ref="C129">concatenate(A129,":",CHAR(10),B129)</f>
        <v>Troop - Protection UP (5☆ Awaken x3):
When your troop contains 3 or more battle characters, increases protection gauge by 6 every 3 turns (available in support formation).</v>
      </c>
    </row>
    <row r="130">
      <c r="A130" s="36" t="s">
        <v>1915</v>
      </c>
      <c r="B130" s="36" t="s">
        <v>1919</v>
      </c>
      <c r="C130" s="40" t="str">
        <f t="array" ref="C130">concatenate(A130,":",CHAR(10),B130)</f>
        <v>Troop - Protection UP (5☆ Awaken x1):
When your troop contains 3 or more battle characters, increases protection gauge by 7 at the start of battle (available in support formation).</v>
      </c>
    </row>
    <row r="131">
      <c r="A131" s="36" t="s">
        <v>1917</v>
      </c>
      <c r="B131" s="36" t="s">
        <v>1920</v>
      </c>
      <c r="C131" s="40" t="str">
        <f t="array" ref="C131">concatenate(A131,":",CHAR(10),B131)</f>
        <v>Troop - Protection UP (5☆ Awaken x3):
When your troop contains 3 or more battle characters, increases protection gauge by 11 at the start of battle (available in support formation).</v>
      </c>
    </row>
    <row r="132">
      <c r="A132" s="36" t="s">
        <v>1921</v>
      </c>
      <c r="B132" s="36" t="s">
        <v>1922</v>
      </c>
      <c r="C132" s="40" t="str">
        <f t="array" ref="C132">concatenate(A132,":",CHAR(10),B132)</f>
        <v>Troop - Protection UP 2 (5☆ Awaken x1):
When your troop contains 3 or more battle characters, increases protection gauge by 7 every 3 turns (available in support formation).</v>
      </c>
    </row>
    <row r="133">
      <c r="A133" s="36" t="s">
        <v>1923</v>
      </c>
      <c r="B133" s="36" t="s">
        <v>1924</v>
      </c>
      <c r="C133" s="40" t="str">
        <f t="array" ref="C133">concatenate(A133,":",CHAR(10),B133)</f>
        <v>Troop - Protection UP 2 (5☆ Awaken x3):
When your troop contains 3 or more battle characters, increases protection gauge by 11 every 3 turns (available in support formation).</v>
      </c>
    </row>
    <row r="134">
      <c r="A134" s="36" t="s">
        <v>1925</v>
      </c>
      <c r="B134" s="36" t="s">
        <v>1926</v>
      </c>
      <c r="C134" s="40" t="str">
        <f t="array" ref="C134">concatenate(A134,":",CHAR(10),B134)</f>
        <v>Troop - Secret Skill UP (5☆ Awaken x1):
When your troop contains 3 or more battle characters, increases own Secret Skill Gauge by 12% at the start of battle (available in support formation).</v>
      </c>
    </row>
    <row r="135">
      <c r="A135" s="36" t="s">
        <v>1927</v>
      </c>
      <c r="B135" s="36" t="s">
        <v>1928</v>
      </c>
      <c r="C135" s="40" t="str">
        <f t="array" ref="C135">concatenate(A135,":",CHAR(10),B135)</f>
        <v>Troop - Secret Skill UP (5☆ Awaken x3):
When your troop contains 3 or more battle characters, increases own Secret Skill Gauge by 18% at the start of battle (available in support formation).</v>
      </c>
    </row>
    <row r="136">
      <c r="A136" s="36" t="s">
        <v>1929</v>
      </c>
      <c r="B136" s="36" t="s">
        <v>1930</v>
      </c>
      <c r="C136" s="40" t="str">
        <f t="array" ref="C136">concatenate(A136,":",CHAR(10),B136)</f>
        <v>Troop - Secret Skill UP 2 (5☆ Awaken x1):
When your troop contains 3 or more battle characters, increases own Secret Skill Gauge by 5% every 3 turns (available in support formation).</v>
      </c>
    </row>
    <row r="137">
      <c r="A137" s="36" t="s">
        <v>1931</v>
      </c>
      <c r="B137" s="36" t="s">
        <v>1932</v>
      </c>
      <c r="C137" s="40" t="str">
        <f t="array" ref="C137">concatenate(A137,":",CHAR(10),B137)</f>
        <v>Troop - Secret Skill UP 2 (5☆ Awaken x3):
When your troop contains 3 or more battle characters, increases own Secret Skill Gauge by 8% every 3 turns (available in support formation).</v>
      </c>
    </row>
    <row r="138">
      <c r="A138" s="36" t="s">
        <v>1933</v>
      </c>
      <c r="B138" s="36" t="s">
        <v>1934</v>
      </c>
      <c r="C138" s="40" t="str">
        <f t="array" ref="C138">concatenate(A138,":",CHAR(10),B138)</f>
        <v>Troop - Secret Skill UP 3 (5☆ Awaken x1):
When your troop contains 3 or more battle characters, increases own Secret Skill Gauge by 5% at start of battle (Turns: 3) (available in support formation).</v>
      </c>
    </row>
    <row r="139">
      <c r="A139" s="36" t="s">
        <v>1935</v>
      </c>
      <c r="B139" s="36" t="s">
        <v>1936</v>
      </c>
      <c r="C139" s="40" t="str">
        <f t="array" ref="C139">concatenate(A139,":",CHAR(10),B139)</f>
        <v>Troop - Secret Skill UP 3 (5☆ Awaken x3):
When your troop contains 3 or more battle characters, increases own Secret Skill Gauge by 8% at start of battle (Turns: 3) (available in support formation).</v>
      </c>
    </row>
    <row r="140">
      <c r="A140" s="36" t="s">
        <v>1937</v>
      </c>
      <c r="B140" s="36" t="s">
        <v>1938</v>
      </c>
      <c r="C140" s="40" t="str">
        <f t="array" ref="C140">concatenate(A140,":",CHAR(10),B140)</f>
        <v>Troop - Skill UP (5☆ Awaken x1):
When your troop contains 3 or more battle characters, increases skill points by 4 at the start of the battle (available in support formation).</v>
      </c>
    </row>
    <row r="141">
      <c r="A141" s="36" t="s">
        <v>1939</v>
      </c>
      <c r="B141" s="36" t="s">
        <v>1940</v>
      </c>
      <c r="C141" s="40" t="str">
        <f t="array" ref="C141">concatenate(A141,":",CHAR(10),B141)</f>
        <v>Troop - Skill UP (5☆ Awaken x3):
When your troop contains 3 or more battle characters, increases skill points by 6 at the start of the battle (available in support formation).</v>
      </c>
    </row>
    <row r="142">
      <c r="A142" s="40"/>
      <c r="B142" s="40"/>
      <c r="C142" s="40" t="str">
        <f t="array" ref="C142">concatenate(A142,":",CHAR(10),B142)</f>
        <v>:
</v>
      </c>
    </row>
    <row r="143">
      <c r="A143" s="40"/>
      <c r="B143" s="40"/>
      <c r="C143" s="40" t="str">
        <f t="array" ref="C143">concatenate(A143,":",CHAR(10),B143)</f>
        <v>:
</v>
      </c>
    </row>
    <row r="144">
      <c r="A144" s="40"/>
      <c r="B144" s="40"/>
      <c r="C144" s="40" t="str">
        <f t="array" ref="C144">concatenate(A144,":",CHAR(10),B144)</f>
        <v>:
</v>
      </c>
    </row>
    <row r="145">
      <c r="A145" s="40"/>
      <c r="B145" s="40"/>
      <c r="C145" s="40" t="str">
        <f t="array" ref="C145">concatenate(A145,":",CHAR(10),B145)</f>
        <v>:
</v>
      </c>
    </row>
    <row r="146">
      <c r="A146" s="40"/>
      <c r="B146" s="40"/>
      <c r="C146" s="40" t="str">
        <f t="array" ref="C146">concatenate(A146,":",CHAR(10),B146)</f>
        <v>:
</v>
      </c>
    </row>
    <row r="147">
      <c r="A147" s="40"/>
      <c r="B147" s="40"/>
      <c r="C147" s="40" t="str">
        <f t="array" ref="C147">concatenate(A147,":",CHAR(10),B147)</f>
        <v>:
</v>
      </c>
    </row>
    <row r="148">
      <c r="A148" s="40"/>
      <c r="B148" s="40"/>
      <c r="C148" s="40" t="str">
        <f t="array" ref="C148">concatenate(A148,":",CHAR(10),B148)</f>
        <v>:
</v>
      </c>
    </row>
    <row r="149">
      <c r="A149" s="40"/>
      <c r="B149" s="40"/>
      <c r="C149" s="40" t="str">
        <f t="array" ref="C149">concatenate(A149,":",CHAR(10),B149)</f>
        <v>:
</v>
      </c>
    </row>
    <row r="150">
      <c r="A150" s="40"/>
      <c r="B150" s="40"/>
      <c r="C150" s="40" t="str">
        <f t="array" ref="C150">concatenate(A150,":",CHAR(10),B150)</f>
        <v>:
</v>
      </c>
    </row>
    <row r="151">
      <c r="A151" s="40"/>
      <c r="B151" s="40"/>
      <c r="C151" s="40" t="str">
        <f t="array" ref="C151">concatenate(A151,":",CHAR(10),B151)</f>
        <v>:
</v>
      </c>
    </row>
    <row r="152">
      <c r="A152" s="40"/>
      <c r="B152" s="40"/>
      <c r="C152" s="40" t="str">
        <f t="array" ref="C152">concatenate(A152,":",CHAR(10),B152)</f>
        <v>:
</v>
      </c>
    </row>
    <row r="153">
      <c r="A153" s="40"/>
      <c r="B153" s="40"/>
      <c r="C153" s="40" t="str">
        <f t="array" ref="C153">concatenate(A153,":",CHAR(10),B153)</f>
        <v>:
</v>
      </c>
    </row>
    <row r="154">
      <c r="A154" s="40"/>
      <c r="B154" s="40"/>
      <c r="C154" s="40" t="str">
        <f t="array" ref="C154">concatenate(A154,":",CHAR(10),B154)</f>
        <v>:
</v>
      </c>
    </row>
    <row r="155">
      <c r="A155" s="40"/>
      <c r="B155" s="40"/>
      <c r="C155" s="40" t="str">
        <f t="array" ref="C155">concatenate(A155,":",CHAR(10),B155)</f>
        <v>:
</v>
      </c>
    </row>
    <row r="156">
      <c r="A156" s="40"/>
      <c r="B156" s="40"/>
      <c r="C156" s="40" t="str">
        <f t="array" ref="C156">concatenate(A156,":",CHAR(10),B156)</f>
        <v>:
</v>
      </c>
    </row>
    <row r="157">
      <c r="A157" s="40"/>
      <c r="B157" s="40"/>
      <c r="C157" s="40" t="str">
        <f t="array" ref="C157">concatenate(A157,":",CHAR(10),B157)</f>
        <v>:
</v>
      </c>
    </row>
    <row r="158">
      <c r="A158" s="40"/>
      <c r="B158" s="40"/>
      <c r="C158" s="40" t="str">
        <f t="array" ref="C158">concatenate(A158,":",CHAR(10),B158)</f>
        <v>:
</v>
      </c>
    </row>
    <row r="159">
      <c r="A159" s="40"/>
      <c r="B159" s="40"/>
      <c r="C159" s="40" t="str">
        <f t="array" ref="C159">concatenate(A159,":",CHAR(10),B159)</f>
        <v>:
</v>
      </c>
    </row>
    <row r="160">
      <c r="A160" s="40"/>
      <c r="B160" s="40"/>
      <c r="C160" s="40" t="str">
        <f t="array" ref="C160">concatenate(A160,":",CHAR(10),B160)</f>
        <v>:
</v>
      </c>
    </row>
    <row r="161">
      <c r="A161" s="40"/>
      <c r="B161" s="40"/>
      <c r="C161" s="40" t="str">
        <f t="array" ref="C161">concatenate(A161,":",CHAR(10),B161)</f>
        <v>:
</v>
      </c>
    </row>
    <row r="162">
      <c r="A162" s="40"/>
      <c r="B162" s="40"/>
      <c r="C162" s="40" t="str">
        <f t="array" ref="C162">concatenate(A162,":",CHAR(10),B162)</f>
        <v>:
</v>
      </c>
    </row>
    <row r="163">
      <c r="A163" s="40"/>
      <c r="B163" s="40"/>
      <c r="C163" s="40" t="str">
        <f t="array" ref="C163">concatenate(A163,":",CHAR(10),B163)</f>
        <v>:
</v>
      </c>
    </row>
    <row r="164">
      <c r="A164" s="40"/>
      <c r="B164" s="40"/>
      <c r="C164" s="40" t="str">
        <f t="array" ref="C164">concatenate(A164,":",CHAR(10),B164)</f>
        <v>:
</v>
      </c>
    </row>
    <row r="165">
      <c r="A165" s="40"/>
      <c r="B165" s="40"/>
      <c r="C165" s="40" t="str">
        <f t="array" ref="C165">concatenate(A165,":",CHAR(10),B165)</f>
        <v>:
</v>
      </c>
    </row>
    <row r="166">
      <c r="A166" s="40"/>
      <c r="B166" s="40"/>
      <c r="C166" s="40" t="str">
        <f t="array" ref="C166">concatenate(A166,":",CHAR(10),B166)</f>
        <v>:
</v>
      </c>
    </row>
    <row r="167">
      <c r="A167" s="40"/>
      <c r="B167" s="40"/>
      <c r="C167" s="40" t="str">
        <f t="array" ref="C167">concatenate(A167,":",CHAR(10),B167)</f>
        <v>:
</v>
      </c>
    </row>
    <row r="168">
      <c r="A168" s="40"/>
      <c r="B168" s="40"/>
      <c r="C168" s="40" t="str">
        <f t="array" ref="C168">concatenate(A168,":",CHAR(10),B168)</f>
        <v>:
</v>
      </c>
    </row>
    <row r="169">
      <c r="A169" s="40"/>
      <c r="B169" s="40"/>
      <c r="C169" s="40" t="str">
        <f t="array" ref="C169">concatenate(A169,":",CHAR(10),B169)</f>
        <v>:
</v>
      </c>
    </row>
    <row r="170">
      <c r="A170" s="40"/>
      <c r="B170" s="40"/>
      <c r="C170" s="40" t="str">
        <f t="array" ref="C170">concatenate(A170,":",CHAR(10),B170)</f>
        <v>:
</v>
      </c>
    </row>
    <row r="171">
      <c r="A171" s="40"/>
      <c r="B171" s="40"/>
      <c r="C171" s="40" t="str">
        <f t="array" ref="C171">concatenate(A171,":",CHAR(10),B171)</f>
        <v>:
</v>
      </c>
    </row>
    <row r="172">
      <c r="A172" s="40"/>
      <c r="B172" s="40"/>
      <c r="C172" s="40" t="str">
        <f t="array" ref="C172">concatenate(A172,":",CHAR(10),B172)</f>
        <v>:
</v>
      </c>
    </row>
    <row r="173">
      <c r="A173" s="40"/>
      <c r="B173" s="40"/>
      <c r="C173" s="40" t="str">
        <f t="array" ref="C173">concatenate(A173,":",CHAR(10),B173)</f>
        <v>:
</v>
      </c>
    </row>
    <row r="174">
      <c r="A174" s="40"/>
      <c r="B174" s="40"/>
      <c r="C174" s="40" t="str">
        <f t="array" ref="C174">concatenate(A174,":",CHAR(10),B174)</f>
        <v>:
</v>
      </c>
    </row>
    <row r="175">
      <c r="A175" s="40"/>
      <c r="B175" s="40"/>
      <c r="C175" s="40" t="str">
        <f t="array" ref="C175">concatenate(A175,":",CHAR(10),B175)</f>
        <v>:
</v>
      </c>
    </row>
    <row r="176">
      <c r="A176" s="40"/>
      <c r="B176" s="40"/>
      <c r="C176" s="40" t="str">
        <f t="array" ref="C176">concatenate(A176,":",CHAR(10),B176)</f>
        <v>:
</v>
      </c>
    </row>
    <row r="177">
      <c r="A177" s="40"/>
      <c r="B177" s="40"/>
      <c r="C177" s="40" t="str">
        <f t="array" ref="C177">concatenate(A177,":",CHAR(10),B177)</f>
        <v>:
</v>
      </c>
    </row>
    <row r="178">
      <c r="A178" s="40"/>
      <c r="B178" s="40"/>
      <c r="C178" s="40" t="str">
        <f t="array" ref="C178">concatenate(A178,":",CHAR(10),B178)</f>
        <v>:
</v>
      </c>
    </row>
    <row r="179">
      <c r="A179" s="40"/>
      <c r="B179" s="40"/>
      <c r="C179" s="40" t="str">
        <f t="array" ref="C179">concatenate(A179,":",CHAR(10),B179)</f>
        <v>:
</v>
      </c>
    </row>
    <row r="180">
      <c r="A180" s="40"/>
      <c r="B180" s="40"/>
      <c r="C180" s="40" t="str">
        <f t="array" ref="C180">concatenate(A180,":",CHAR(10),B180)</f>
        <v>:
</v>
      </c>
    </row>
    <row r="181">
      <c r="A181" s="40"/>
      <c r="B181" s="40"/>
      <c r="C181" s="40" t="str">
        <f t="array" ref="C181">concatenate(A181,":",CHAR(10),B181)</f>
        <v>:
</v>
      </c>
    </row>
    <row r="182">
      <c r="A182" s="40"/>
      <c r="B182" s="40"/>
      <c r="C182" s="40" t="str">
        <f t="array" ref="C182">concatenate(A182,":",CHAR(10),B182)</f>
        <v>:
</v>
      </c>
    </row>
    <row r="183">
      <c r="A183" s="40"/>
      <c r="B183" s="40"/>
      <c r="C183" s="40" t="str">
        <f t="array" ref="C183">concatenate(A183,":",CHAR(10),B183)</f>
        <v>:
</v>
      </c>
    </row>
    <row r="184">
      <c r="A184" s="40"/>
      <c r="B184" s="40"/>
      <c r="C184" s="40" t="str">
        <f t="array" ref="C184">concatenate(A184,":",CHAR(10),B184)</f>
        <v>:
</v>
      </c>
    </row>
    <row r="185">
      <c r="A185" s="40"/>
      <c r="B185" s="40"/>
      <c r="C185" s="40" t="str">
        <f t="array" ref="C185">concatenate(A185,":",CHAR(10),B185)</f>
        <v>:
</v>
      </c>
    </row>
    <row r="186">
      <c r="A186" s="40"/>
      <c r="B186" s="40"/>
      <c r="C186" s="40" t="str">
        <f t="array" ref="C186">concatenate(A186,":",CHAR(10),B186)</f>
        <v>:
</v>
      </c>
    </row>
    <row r="187">
      <c r="A187" s="40"/>
      <c r="B187" s="40"/>
      <c r="C187" s="40" t="str">
        <f t="array" ref="C187">concatenate(A187,":",CHAR(10),B187)</f>
        <v>:
</v>
      </c>
    </row>
    <row r="188">
      <c r="A188" s="40"/>
      <c r="B188" s="40"/>
      <c r="C188" s="40" t="str">
        <f t="array" ref="C188">concatenate(A188,":",CHAR(10),B188)</f>
        <v>:
</v>
      </c>
    </row>
    <row r="189">
      <c r="A189" s="40"/>
      <c r="B189" s="40"/>
      <c r="C189" s="40" t="str">
        <f t="array" ref="C189">concatenate(A189,":",CHAR(10),B189)</f>
        <v>:
</v>
      </c>
    </row>
    <row r="190">
      <c r="A190" s="40"/>
      <c r="B190" s="40"/>
      <c r="C190" s="40" t="str">
        <f t="array" ref="C190">concatenate(A190,":",CHAR(10),B190)</f>
        <v>:
</v>
      </c>
    </row>
    <row r="191">
      <c r="A191" s="40"/>
      <c r="B191" s="40"/>
      <c r="C191" s="40" t="str">
        <f t="array" ref="C191">concatenate(A191,":",CHAR(10),B191)</f>
        <v>:
</v>
      </c>
    </row>
    <row r="192">
      <c r="A192" s="40"/>
      <c r="B192" s="40"/>
      <c r="C192" s="40" t="str">
        <f t="array" ref="C192">concatenate(A192,":",CHAR(10),B192)</f>
        <v>:
</v>
      </c>
    </row>
    <row r="193">
      <c r="A193" s="40"/>
      <c r="B193" s="40"/>
      <c r="C193" s="40" t="str">
        <f t="array" ref="C193">concatenate(A193,":",CHAR(10),B193)</f>
        <v>:
</v>
      </c>
    </row>
    <row r="194">
      <c r="A194" s="40"/>
      <c r="B194" s="40"/>
      <c r="C194" s="40" t="str">
        <f t="array" ref="C194">concatenate(A194,":",CHAR(10),B194)</f>
        <v>:
</v>
      </c>
    </row>
    <row r="195">
      <c r="A195" s="40"/>
      <c r="B195" s="40"/>
      <c r="C195" s="40" t="str">
        <f t="array" ref="C195">concatenate(A195,":",CHAR(10),B195)</f>
        <v>:
</v>
      </c>
    </row>
    <row r="196">
      <c r="A196" s="40"/>
      <c r="B196" s="40"/>
      <c r="C196" s="40" t="str">
        <f t="array" ref="C196">concatenate(A196,":",CHAR(10),B196)</f>
        <v>:
</v>
      </c>
    </row>
    <row r="197">
      <c r="A197" s="40"/>
      <c r="B197" s="40"/>
      <c r="C197" s="40" t="str">
        <f t="array" ref="C197">concatenate(A197,":",CHAR(10),B197)</f>
        <v>:
</v>
      </c>
    </row>
    <row r="198">
      <c r="A198" s="40"/>
      <c r="B198" s="40"/>
      <c r="C198" s="40" t="str">
        <f t="array" ref="C198">concatenate(A198,":",CHAR(10),B198)</f>
        <v>:
</v>
      </c>
    </row>
    <row r="199">
      <c r="A199" s="40"/>
      <c r="B199" s="40"/>
      <c r="C199" s="40" t="str">
        <f t="array" ref="C199">concatenate(A199,":",CHAR(10),B199)</f>
        <v>:
</v>
      </c>
    </row>
    <row r="200">
      <c r="A200" s="40"/>
      <c r="B200" s="40"/>
      <c r="C200" s="40" t="str">
        <f t="array" ref="C200">concatenate(A200,":",CHAR(10),B200)</f>
        <v>:
</v>
      </c>
    </row>
    <row r="201">
      <c r="A201" s="40"/>
      <c r="B201" s="40"/>
      <c r="C201" s="40" t="str">
        <f t="array" ref="C201">concatenate(A201,":",CHAR(10),B201)</f>
        <v>:
</v>
      </c>
    </row>
    <row r="202">
      <c r="A202" s="40"/>
      <c r="B202" s="40"/>
      <c r="C202" s="40" t="str">
        <f t="array" ref="C202">concatenate(A202,":",CHAR(10),B202)</f>
        <v>:
</v>
      </c>
    </row>
    <row r="203">
      <c r="A203" s="40"/>
      <c r="B203" s="40"/>
      <c r="C203" s="40" t="str">
        <f t="array" ref="C203">concatenate(A203,":",CHAR(10),B203)</f>
        <v>:
</v>
      </c>
    </row>
    <row r="204">
      <c r="A204" s="40"/>
      <c r="B204" s="40"/>
      <c r="C204" s="40" t="str">
        <f t="array" ref="C204">concatenate(A204,":",CHAR(10),B204)</f>
        <v>:
</v>
      </c>
    </row>
    <row r="205">
      <c r="A205" s="40"/>
      <c r="B205" s="40"/>
      <c r="C205" s="40" t="str">
        <f t="array" ref="C205">concatenate(A205,":",CHAR(10),B205)</f>
        <v>:
</v>
      </c>
    </row>
    <row r="206">
      <c r="A206" s="40"/>
      <c r="B206" s="40"/>
      <c r="C206" s="40" t="str">
        <f t="array" ref="C206">concatenate(A206,":",CHAR(10),B206)</f>
        <v>:
</v>
      </c>
    </row>
    <row r="207">
      <c r="A207" s="40"/>
      <c r="B207" s="40"/>
      <c r="C207" s="40" t="str">
        <f t="array" ref="C207">concatenate(A207,":",CHAR(10),B207)</f>
        <v>:
</v>
      </c>
    </row>
    <row r="208">
      <c r="A208" s="40"/>
      <c r="B208" s="40"/>
      <c r="C208" s="40" t="str">
        <f t="array" ref="C208">concatenate(A208,":",CHAR(10),B208)</f>
        <v>:
</v>
      </c>
    </row>
    <row r="209">
      <c r="A209" s="40"/>
      <c r="B209" s="40"/>
      <c r="C209" s="40" t="str">
        <f t="array" ref="C209">concatenate(A209,":",CHAR(10),B209)</f>
        <v>:
</v>
      </c>
    </row>
    <row r="210">
      <c r="A210" s="40"/>
      <c r="B210" s="40"/>
      <c r="C210" s="40" t="str">
        <f t="array" ref="C210">concatenate(A210,":",CHAR(10),B210)</f>
        <v>:
</v>
      </c>
    </row>
    <row r="211">
      <c r="A211" s="40"/>
      <c r="B211" s="40"/>
      <c r="C211" s="40" t="str">
        <f t="array" ref="C211">concatenate(A211,":",CHAR(10),B211)</f>
        <v>:
</v>
      </c>
    </row>
    <row r="212">
      <c r="A212" s="40"/>
      <c r="B212" s="40"/>
      <c r="C212" s="40" t="str">
        <f t="array" ref="C212">concatenate(A212,":",CHAR(10),B212)</f>
        <v>:
</v>
      </c>
    </row>
    <row r="213">
      <c r="A213" s="40"/>
      <c r="B213" s="40"/>
      <c r="C213" s="40" t="str">
        <f t="array" ref="C213">concatenate(A213,":",CHAR(10),B213)</f>
        <v>:
</v>
      </c>
    </row>
    <row r="214">
      <c r="A214" s="40"/>
      <c r="B214" s="40"/>
      <c r="C214" s="40" t="str">
        <f t="array" ref="C214">concatenate(A214,":",CHAR(10),B214)</f>
        <v>:
</v>
      </c>
    </row>
    <row r="215">
      <c r="A215" s="40"/>
      <c r="B215" s="40"/>
      <c r="C215" s="40" t="str">
        <f t="array" ref="C215">concatenate(A215,":",CHAR(10),B215)</f>
        <v>:
</v>
      </c>
    </row>
    <row r="216">
      <c r="A216" s="40"/>
      <c r="B216" s="40"/>
      <c r="C216" s="40" t="str">
        <f t="array" ref="C216">concatenate(A216,":",CHAR(10),B216)</f>
        <v>:
</v>
      </c>
    </row>
    <row r="217">
      <c r="A217" s="40"/>
      <c r="B217" s="40"/>
      <c r="C217" s="40" t="str">
        <f t="array" ref="C217">concatenate(A217,":",CHAR(10),B217)</f>
        <v>:
</v>
      </c>
    </row>
    <row r="218">
      <c r="A218" s="40"/>
      <c r="B218" s="40"/>
      <c r="C218" s="40" t="str">
        <f t="array" ref="C218">concatenate(A218,":",CHAR(10),B218)</f>
        <v>:
</v>
      </c>
    </row>
    <row r="219">
      <c r="A219" s="40"/>
      <c r="B219" s="40"/>
      <c r="C219" s="40" t="str">
        <f t="array" ref="C219">concatenate(A219,":",CHAR(10),B219)</f>
        <v>:
</v>
      </c>
    </row>
    <row r="220">
      <c r="A220" s="40"/>
      <c r="B220" s="40"/>
      <c r="C220" s="40" t="str">
        <f t="array" ref="C220">concatenate(A220,":",CHAR(10),B220)</f>
        <v>:
</v>
      </c>
    </row>
    <row r="221">
      <c r="A221" s="40"/>
      <c r="B221" s="40"/>
      <c r="C221" s="40" t="str">
        <f t="array" ref="C221">concatenate(A221,":",CHAR(10),B221)</f>
        <v>:
</v>
      </c>
    </row>
    <row r="222">
      <c r="A222" s="40"/>
      <c r="B222" s="40"/>
      <c r="C222" s="40" t="str">
        <f t="array" ref="C222">concatenate(A222,":",CHAR(10),B222)</f>
        <v>:
</v>
      </c>
    </row>
    <row r="223">
      <c r="A223" s="40"/>
      <c r="B223" s="40"/>
      <c r="C223" s="40" t="str">
        <f t="array" ref="C223">concatenate(A223,":",CHAR(10),B223)</f>
        <v>:
</v>
      </c>
    </row>
    <row r="224">
      <c r="A224" s="40"/>
      <c r="B224" s="40"/>
      <c r="C224" s="40" t="str">
        <f t="array" ref="C224">concatenate(A224,":",CHAR(10),B224)</f>
        <v>:
</v>
      </c>
    </row>
    <row r="225">
      <c r="A225" s="40"/>
      <c r="B225" s="40"/>
      <c r="C225" s="40" t="str">
        <f t="array" ref="C225">concatenate(A225,":",CHAR(10),B225)</f>
        <v>:
</v>
      </c>
    </row>
    <row r="226">
      <c r="A226" s="40"/>
      <c r="B226" s="40"/>
      <c r="C226" s="40" t="str">
        <f t="array" ref="C226">concatenate(A226,":",CHAR(10),B226)</f>
        <v>:
</v>
      </c>
    </row>
    <row r="227">
      <c r="A227" s="40"/>
      <c r="B227" s="40"/>
      <c r="C227" s="40" t="str">
        <f t="array" ref="C227">concatenate(A227,":",CHAR(10),B227)</f>
        <v>:
</v>
      </c>
    </row>
    <row r="228">
      <c r="A228" s="40"/>
      <c r="B228" s="40"/>
      <c r="C228" s="40" t="str">
        <f t="array" ref="C228">concatenate(A228,":",CHAR(10),B228)</f>
        <v>:
</v>
      </c>
    </row>
    <row r="229">
      <c r="A229" s="40"/>
      <c r="B229" s="40"/>
      <c r="C229" s="40" t="str">
        <f t="array" ref="C229">concatenate(A229,":",CHAR(10),B229)</f>
        <v>:
</v>
      </c>
    </row>
    <row r="230">
      <c r="A230" s="40"/>
      <c r="B230" s="40"/>
      <c r="C230" s="40" t="str">
        <f t="array" ref="C230">concatenate(A230,":",CHAR(10),B230)</f>
        <v>:
</v>
      </c>
    </row>
    <row r="231">
      <c r="A231" s="40"/>
      <c r="B231" s="40"/>
      <c r="C231" s="40" t="str">
        <f t="array" ref="C231">concatenate(A231,":",CHAR(10),B231)</f>
        <v>:
</v>
      </c>
    </row>
    <row r="232">
      <c r="A232" s="40"/>
      <c r="B232" s="40"/>
      <c r="C232" s="40" t="str">
        <f t="array" ref="C232">concatenate(A232,":",CHAR(10),B232)</f>
        <v>:
</v>
      </c>
    </row>
    <row r="233">
      <c r="A233" s="40"/>
      <c r="B233" s="40"/>
      <c r="C233" s="40" t="str">
        <f t="array" ref="C233">concatenate(A233,":",CHAR(10),B233)</f>
        <v>:
</v>
      </c>
    </row>
    <row r="234">
      <c r="A234" s="40"/>
      <c r="B234" s="40"/>
      <c r="C234" s="40" t="str">
        <f t="array" ref="C234">concatenate(A234,":",CHAR(10),B234)</f>
        <v>:
</v>
      </c>
    </row>
    <row r="235">
      <c r="A235" s="40"/>
      <c r="B235" s="40"/>
      <c r="C235" s="40" t="str">
        <f t="array" ref="C235">concatenate(A235,":",CHAR(10),B235)</f>
        <v>:
</v>
      </c>
    </row>
    <row r="236">
      <c r="A236" s="40"/>
      <c r="B236" s="40"/>
      <c r="C236" s="40" t="str">
        <f t="array" ref="C236">concatenate(A236,":",CHAR(10),B236)</f>
        <v>:
</v>
      </c>
    </row>
    <row r="237">
      <c r="A237" s="40"/>
      <c r="B237" s="40"/>
      <c r="C237" s="40" t="str">
        <f t="array" ref="C237">concatenate(A237,":",CHAR(10),B237)</f>
        <v>:
</v>
      </c>
    </row>
    <row r="238">
      <c r="A238" s="40"/>
      <c r="B238" s="40"/>
      <c r="C238" s="40" t="str">
        <f t="array" ref="C238">concatenate(A238,":",CHAR(10),B238)</f>
        <v>:
</v>
      </c>
    </row>
    <row r="239">
      <c r="A239" s="40"/>
      <c r="B239" s="40"/>
      <c r="C239" s="40" t="str">
        <f t="array" ref="C239">concatenate(A239,":",CHAR(10),B239)</f>
        <v>:
</v>
      </c>
    </row>
    <row r="240">
      <c r="A240" s="40"/>
      <c r="B240" s="40"/>
      <c r="C240" s="40" t="str">
        <f t="array" ref="C240">concatenate(A240,":",CHAR(10),B240)</f>
        <v>:
</v>
      </c>
    </row>
    <row r="241">
      <c r="A241" s="40"/>
      <c r="B241" s="40"/>
      <c r="C241" s="40" t="str">
        <f t="array" ref="C241">concatenate(A241,":",CHAR(10),B241)</f>
        <v>:
</v>
      </c>
    </row>
    <row r="242">
      <c r="A242" s="40"/>
      <c r="B242" s="40"/>
      <c r="C242" s="40" t="str">
        <f t="array" ref="C242">concatenate(A242,":",CHAR(10),B242)</f>
        <v>:
</v>
      </c>
    </row>
    <row r="243">
      <c r="A243" s="40"/>
      <c r="B243" s="40"/>
      <c r="C243" s="40" t="str">
        <f t="array" ref="C243">concatenate(A243,":",CHAR(10),B243)</f>
        <v>:
</v>
      </c>
    </row>
    <row r="244">
      <c r="A244" s="40"/>
      <c r="B244" s="40"/>
      <c r="C244" s="40" t="str">
        <f t="array" ref="C244">concatenate(A244,":",CHAR(10),B244)</f>
        <v>:
</v>
      </c>
    </row>
    <row r="245">
      <c r="A245" s="40"/>
      <c r="B245" s="40"/>
      <c r="C245" s="40" t="str">
        <f t="array" ref="C245">concatenate(A245,":",CHAR(10),B245)</f>
        <v>:
</v>
      </c>
    </row>
    <row r="246">
      <c r="A246" s="40"/>
      <c r="B246" s="40"/>
      <c r="C246" s="40" t="str">
        <f t="array" ref="C246">concatenate(A246,":",CHAR(10),B246)</f>
        <v>:
</v>
      </c>
    </row>
    <row r="247">
      <c r="A247" s="40"/>
      <c r="B247" s="40"/>
      <c r="C247" s="40" t="str">
        <f t="array" ref="C247">concatenate(A247,":",CHAR(10),B247)</f>
        <v>:
</v>
      </c>
    </row>
    <row r="248">
      <c r="A248" s="40"/>
      <c r="B248" s="40"/>
      <c r="C248" s="40" t="str">
        <f t="array" ref="C248">concatenate(A248,":",CHAR(10),B248)</f>
        <v>:
</v>
      </c>
    </row>
    <row r="249">
      <c r="A249" s="40"/>
      <c r="B249" s="40"/>
      <c r="C249" s="40" t="str">
        <f t="array" ref="C249">concatenate(A249,":",CHAR(10),B249)</f>
        <v>:
</v>
      </c>
    </row>
    <row r="250">
      <c r="A250" s="40"/>
      <c r="B250" s="40"/>
      <c r="C250" s="40" t="str">
        <f t="array" ref="C250">concatenate(A250,":",CHAR(10),B250)</f>
        <v>:
</v>
      </c>
    </row>
    <row r="251">
      <c r="A251" s="40"/>
      <c r="B251" s="40"/>
      <c r="C251" s="40" t="str">
        <f t="array" ref="C251">concatenate(A251,":",CHAR(10),B251)</f>
        <v>:
</v>
      </c>
    </row>
    <row r="252">
      <c r="A252" s="40"/>
      <c r="B252" s="40"/>
      <c r="C252" s="40" t="str">
        <f t="array" ref="C252">concatenate(A252,":",CHAR(10),B252)</f>
        <v>:
</v>
      </c>
    </row>
    <row r="253">
      <c r="A253" s="40"/>
      <c r="B253" s="40"/>
      <c r="C253" s="40" t="str">
        <f t="array" ref="C253">concatenate(A253,":",CHAR(10),B253)</f>
        <v>:
</v>
      </c>
    </row>
    <row r="254">
      <c r="A254" s="40"/>
      <c r="B254" s="40"/>
      <c r="C254" s="40" t="str">
        <f t="array" ref="C254">concatenate(A254,":",CHAR(10),B254)</f>
        <v>:
</v>
      </c>
    </row>
    <row r="255">
      <c r="A255" s="40"/>
      <c r="B255" s="40"/>
      <c r="C255" s="40" t="str">
        <f t="array" ref="C255">concatenate(A255,":",CHAR(10),B255)</f>
        <v>:
</v>
      </c>
    </row>
    <row r="256">
      <c r="A256" s="40"/>
      <c r="B256" s="40"/>
      <c r="C256" s="40" t="str">
        <f t="array" ref="C256">concatenate(A256,":",CHAR(10),B256)</f>
        <v>:
</v>
      </c>
    </row>
    <row r="257">
      <c r="A257" s="40"/>
      <c r="B257" s="40"/>
      <c r="C257" s="40" t="str">
        <f t="array" ref="C257">concatenate(A257,":",CHAR(10),B257)</f>
        <v>:
</v>
      </c>
    </row>
    <row r="258">
      <c r="A258" s="40"/>
      <c r="B258" s="40"/>
      <c r="C258" s="40" t="str">
        <f t="array" ref="C258">concatenate(A258,":",CHAR(10),B258)</f>
        <v>:
</v>
      </c>
    </row>
    <row r="259">
      <c r="A259" s="40"/>
      <c r="B259" s="40"/>
      <c r="C259" s="40" t="str">
        <f t="array" ref="C259">concatenate(A259,":",CHAR(10),B259)</f>
        <v>:
</v>
      </c>
    </row>
    <row r="260">
      <c r="A260" s="40"/>
      <c r="B260" s="40"/>
      <c r="C260" s="40" t="str">
        <f t="array" ref="C260">concatenate(A260,":",CHAR(10),B260)</f>
        <v>:
</v>
      </c>
    </row>
    <row r="261">
      <c r="A261" s="40"/>
      <c r="B261" s="40"/>
      <c r="C261" s="40" t="str">
        <f t="array" ref="C261">concatenate(A261,":",CHAR(10),B261)</f>
        <v>:
</v>
      </c>
    </row>
    <row r="262">
      <c r="A262" s="40"/>
      <c r="B262" s="40"/>
      <c r="C262" s="40" t="str">
        <f t="array" ref="C262">concatenate(A262,":",CHAR(10),B262)</f>
        <v>:
</v>
      </c>
    </row>
    <row r="263">
      <c r="A263" s="40"/>
      <c r="B263" s="40"/>
      <c r="C263" s="40" t="str">
        <f t="array" ref="C263">concatenate(A263,":",CHAR(10),B263)</f>
        <v>:
</v>
      </c>
    </row>
    <row r="264">
      <c r="A264" s="40"/>
      <c r="B264" s="40"/>
      <c r="C264" s="40" t="str">
        <f t="array" ref="C264">concatenate(A264,":",CHAR(10),B264)</f>
        <v>:
</v>
      </c>
    </row>
    <row r="265">
      <c r="A265" s="40"/>
      <c r="B265" s="40"/>
      <c r="C265" s="40" t="str">
        <f t="array" ref="C265">concatenate(A265,":",CHAR(10),B265)</f>
        <v>:
</v>
      </c>
    </row>
    <row r="266">
      <c r="A266" s="40"/>
      <c r="B266" s="40"/>
      <c r="C266" s="40" t="str">
        <f t="array" ref="C266">concatenate(A266,":",CHAR(10),B266)</f>
        <v>:
</v>
      </c>
    </row>
    <row r="267">
      <c r="A267" s="40"/>
      <c r="B267" s="40"/>
      <c r="C267" s="40" t="str">
        <f t="array" ref="C267">concatenate(A267,":",CHAR(10),B267)</f>
        <v>:
</v>
      </c>
    </row>
    <row r="268">
      <c r="A268" s="40"/>
      <c r="B268" s="40"/>
      <c r="C268" s="40" t="str">
        <f t="array" ref="C268">concatenate(A268,":",CHAR(10),B268)</f>
        <v>:
</v>
      </c>
    </row>
    <row r="269">
      <c r="A269" s="40"/>
      <c r="B269" s="40"/>
      <c r="C269" s="40" t="str">
        <f t="array" ref="C269">concatenate(A269,":",CHAR(10),B269)</f>
        <v>:
</v>
      </c>
    </row>
    <row r="270">
      <c r="A270" s="40"/>
      <c r="B270" s="40"/>
      <c r="C270" s="40" t="str">
        <f t="array" ref="C270">concatenate(A270,":",CHAR(10),B270)</f>
        <v>:
</v>
      </c>
    </row>
    <row r="271">
      <c r="A271" s="40"/>
      <c r="B271" s="40"/>
      <c r="C271" s="40" t="str">
        <f t="array" ref="C271">concatenate(A271,":",CHAR(10),B271)</f>
        <v>:
</v>
      </c>
    </row>
    <row r="272">
      <c r="A272" s="40"/>
      <c r="B272" s="40"/>
      <c r="C272" s="40" t="str">
        <f t="array" ref="C272">concatenate(A272,":",CHAR(10),B272)</f>
        <v>:
</v>
      </c>
    </row>
    <row r="273">
      <c r="A273" s="40"/>
      <c r="B273" s="40"/>
      <c r="C273" s="40" t="str">
        <f t="array" ref="C273">concatenate(A273,":",CHAR(10),B273)</f>
        <v>:
</v>
      </c>
    </row>
    <row r="274">
      <c r="A274" s="40"/>
      <c r="B274" s="40"/>
      <c r="C274" s="40" t="str">
        <f t="array" ref="C274">concatenate(A274,":",CHAR(10),B274)</f>
        <v>:
</v>
      </c>
    </row>
    <row r="275">
      <c r="A275" s="40"/>
      <c r="B275" s="40"/>
      <c r="C275" s="40" t="str">
        <f t="array" ref="C275">concatenate(A275,":",CHAR(10),B275)</f>
        <v>:
</v>
      </c>
    </row>
    <row r="276">
      <c r="A276" s="40"/>
      <c r="B276" s="40"/>
      <c r="C276" s="40" t="str">
        <f t="array" ref="C276">concatenate(A276,":",CHAR(10),B276)</f>
        <v>:
</v>
      </c>
    </row>
    <row r="277">
      <c r="A277" s="40"/>
      <c r="B277" s="40"/>
      <c r="C277" s="40" t="str">
        <f t="array" ref="C277">concatenate(A277,":",CHAR(10),B277)</f>
        <v>:
</v>
      </c>
    </row>
    <row r="278">
      <c r="A278" s="40"/>
      <c r="B278" s="40"/>
      <c r="C278" s="40" t="str">
        <f t="array" ref="C278">concatenate(A278,":",CHAR(10),B278)</f>
        <v>:
</v>
      </c>
    </row>
    <row r="279">
      <c r="A279" s="40"/>
      <c r="B279" s="40"/>
      <c r="C279" s="40" t="str">
        <f t="array" ref="C279">concatenate(A279,":",CHAR(10),B279)</f>
        <v>:
</v>
      </c>
    </row>
    <row r="280">
      <c r="A280" s="40"/>
      <c r="B280" s="40"/>
      <c r="C280" s="40" t="str">
        <f t="array" ref="C280">concatenate(A280,":",CHAR(10),B280)</f>
        <v>:
</v>
      </c>
    </row>
    <row r="281">
      <c r="A281" s="40"/>
      <c r="B281" s="40"/>
      <c r="C281" s="40" t="str">
        <f t="array" ref="C281">concatenate(A281,":",CHAR(10),B281)</f>
        <v>:
</v>
      </c>
    </row>
    <row r="282">
      <c r="A282" s="40"/>
      <c r="B282" s="40"/>
      <c r="C282" s="40" t="str">
        <f t="array" ref="C282">concatenate(A282,":",CHAR(10),B282)</f>
        <v>:
</v>
      </c>
    </row>
    <row r="283">
      <c r="A283" s="40"/>
      <c r="B283" s="40"/>
      <c r="C283" s="40" t="str">
        <f t="array" ref="C283">concatenate(A283,":",CHAR(10),B283)</f>
        <v>:
</v>
      </c>
    </row>
    <row r="284">
      <c r="A284" s="40"/>
      <c r="B284" s="40"/>
      <c r="C284" s="40" t="str">
        <f t="array" ref="C284">concatenate(A284,":",CHAR(10),B284)</f>
        <v>:
</v>
      </c>
    </row>
    <row r="285">
      <c r="A285" s="40"/>
      <c r="B285" s="40"/>
      <c r="C285" s="40" t="str">
        <f t="array" ref="C285">concatenate(A285,":",CHAR(10),B285)</f>
        <v>:
</v>
      </c>
    </row>
    <row r="286">
      <c r="A286" s="40"/>
      <c r="B286" s="40"/>
      <c r="C286" s="40" t="str">
        <f t="array" ref="C286">concatenate(A286,":",CHAR(10),B286)</f>
        <v>:
</v>
      </c>
    </row>
    <row r="287">
      <c r="A287" s="40"/>
      <c r="B287" s="40"/>
      <c r="C287" s="40" t="str">
        <f t="array" ref="C287">concatenate(A287,":",CHAR(10),B287)</f>
        <v>:
</v>
      </c>
    </row>
    <row r="288">
      <c r="A288" s="40"/>
      <c r="B288" s="40"/>
      <c r="C288" s="40" t="str">
        <f t="array" ref="C288">concatenate(A288,":",CHAR(10),B288)</f>
        <v>:
</v>
      </c>
    </row>
    <row r="289">
      <c r="A289" s="40"/>
      <c r="B289" s="40"/>
      <c r="C289" s="40" t="str">
        <f t="array" ref="C289">concatenate(A289,":",CHAR(10),B289)</f>
        <v>:
</v>
      </c>
    </row>
    <row r="290">
      <c r="A290" s="40"/>
      <c r="B290" s="40"/>
      <c r="C290" s="40" t="str">
        <f t="array" ref="C290">concatenate(A290,":",CHAR(10),B290)</f>
        <v>:
</v>
      </c>
    </row>
    <row r="291">
      <c r="A291" s="40"/>
      <c r="B291" s="40"/>
      <c r="C291" s="40" t="str">
        <f t="array" ref="C291">concatenate(A291,":",CHAR(10),B291)</f>
        <v>:
</v>
      </c>
    </row>
    <row r="292">
      <c r="A292" s="40"/>
      <c r="B292" s="40"/>
      <c r="C292" s="40" t="str">
        <f t="array" ref="C292">concatenate(A292,":",CHAR(10),B292)</f>
        <v>:
</v>
      </c>
    </row>
    <row r="293">
      <c r="A293" s="40"/>
      <c r="B293" s="40"/>
      <c r="C293" s="40" t="str">
        <f t="array" ref="C293">concatenate(A293,":",CHAR(10),B293)</f>
        <v>:
</v>
      </c>
    </row>
    <row r="294">
      <c r="A294" s="40"/>
      <c r="B294" s="40"/>
      <c r="C294" s="40" t="str">
        <f t="array" ref="C294">concatenate(A294,":",CHAR(10),B294)</f>
        <v>:
</v>
      </c>
    </row>
    <row r="295">
      <c r="A295" s="40"/>
      <c r="B295" s="40"/>
      <c r="C295" s="40" t="str">
        <f t="array" ref="C295">concatenate(A295,":",CHAR(10),B295)</f>
        <v>:
</v>
      </c>
    </row>
    <row r="296">
      <c r="A296" s="40"/>
      <c r="B296" s="40"/>
      <c r="C296" s="40" t="str">
        <f t="array" ref="C296">concatenate(A296,":",CHAR(10),B296)</f>
        <v>:
</v>
      </c>
    </row>
    <row r="297">
      <c r="A297" s="40"/>
      <c r="B297" s="40"/>
      <c r="C297" s="40" t="str">
        <f t="array" ref="C297">concatenate(A297,":",CHAR(10),B297)</f>
        <v>:
</v>
      </c>
    </row>
    <row r="298">
      <c r="A298" s="40"/>
      <c r="B298" s="40"/>
      <c r="C298" s="40" t="str">
        <f t="array" ref="C298">concatenate(A298,":",CHAR(10),B298)</f>
        <v>:
</v>
      </c>
    </row>
    <row r="299">
      <c r="A299" s="40"/>
      <c r="B299" s="40"/>
      <c r="C299" s="40" t="str">
        <f t="array" ref="C299">concatenate(A299,":",CHAR(10),B299)</f>
        <v>:
</v>
      </c>
    </row>
    <row r="300">
      <c r="A300" s="40"/>
      <c r="B300" s="40"/>
      <c r="C300" s="40" t="str">
        <f t="array" ref="C300">concatenate(A300,":",CHAR(10),B300)</f>
        <v>:
</v>
      </c>
    </row>
    <row r="301">
      <c r="A301" s="40"/>
      <c r="B301" s="40"/>
      <c r="C301" s="40" t="str">
        <f t="array" ref="C301">concatenate(A301,":",CHAR(10),B301)</f>
        <v>:
</v>
      </c>
    </row>
    <row r="302">
      <c r="A302" s="40"/>
      <c r="B302" s="40"/>
      <c r="C302" s="40" t="str">
        <f t="array" ref="C302">concatenate(A302,":",CHAR(10),B302)</f>
        <v>:
</v>
      </c>
    </row>
    <row r="303">
      <c r="A303" s="40"/>
      <c r="B303" s="40"/>
      <c r="C303" s="40" t="str">
        <f t="array" ref="C303">concatenate(A303,":",CHAR(10),B303)</f>
        <v>:
</v>
      </c>
    </row>
    <row r="304">
      <c r="A304" s="40"/>
      <c r="B304" s="40"/>
      <c r="C304" s="40" t="str">
        <f t="array" ref="C304">concatenate(A304,":",CHAR(10),B304)</f>
        <v>:
</v>
      </c>
    </row>
    <row r="305">
      <c r="A305" s="40"/>
      <c r="B305" s="40"/>
      <c r="C305" s="40" t="str">
        <f t="array" ref="C305">concatenate(A305,":",CHAR(10),B305)</f>
        <v>:
</v>
      </c>
    </row>
    <row r="306">
      <c r="A306" s="40"/>
      <c r="B306" s="40"/>
      <c r="C306" s="40" t="str">
        <f t="array" ref="C306">concatenate(A306,":",CHAR(10),B306)</f>
        <v>:
</v>
      </c>
    </row>
    <row r="307">
      <c r="A307" s="40"/>
      <c r="B307" s="40"/>
      <c r="C307" s="40" t="str">
        <f t="array" ref="C307">concatenate(A307,":",CHAR(10),B307)</f>
        <v>:
</v>
      </c>
    </row>
    <row r="308">
      <c r="A308" s="40"/>
      <c r="B308" s="40"/>
      <c r="C308" s="40" t="str">
        <f t="array" ref="C308">concatenate(A308,":",CHAR(10),B308)</f>
        <v>:
</v>
      </c>
    </row>
    <row r="309">
      <c r="A309" s="40"/>
      <c r="B309" s="40"/>
      <c r="C309" s="40" t="str">
        <f t="array" ref="C309">concatenate(A309,":",CHAR(10),B309)</f>
        <v>:
</v>
      </c>
    </row>
    <row r="310">
      <c r="A310" s="40"/>
      <c r="B310" s="40"/>
      <c r="C310" s="40" t="str">
        <f t="array" ref="C310">concatenate(A310,":",CHAR(10),B310)</f>
        <v>:
</v>
      </c>
    </row>
    <row r="311">
      <c r="A311" s="40"/>
      <c r="B311" s="40"/>
      <c r="C311" s="40" t="str">
        <f t="array" ref="C311">concatenate(A311,":",CHAR(10),B311)</f>
        <v>:
</v>
      </c>
    </row>
    <row r="312">
      <c r="A312" s="40"/>
      <c r="B312" s="40"/>
      <c r="C312" s="40" t="str">
        <f t="array" ref="C312">concatenate(A312,":",CHAR(10),B312)</f>
        <v>:
</v>
      </c>
    </row>
    <row r="313">
      <c r="A313" s="40"/>
      <c r="B313" s="40"/>
      <c r="C313" s="40" t="str">
        <f t="array" ref="C313">concatenate(A313,":",CHAR(10),B313)</f>
        <v>:
</v>
      </c>
    </row>
    <row r="314">
      <c r="A314" s="40"/>
      <c r="B314" s="40"/>
      <c r="C314" s="40" t="str">
        <f t="array" ref="C314">concatenate(A314,":",CHAR(10),B314)</f>
        <v>:
</v>
      </c>
    </row>
    <row r="315">
      <c r="A315" s="40"/>
      <c r="B315" s="40"/>
      <c r="C315" s="40" t="str">
        <f t="array" ref="C315">concatenate(A315,":",CHAR(10),B315)</f>
        <v>:
</v>
      </c>
    </row>
    <row r="316">
      <c r="A316" s="40"/>
      <c r="B316" s="40"/>
      <c r="C316" s="40" t="str">
        <f t="array" ref="C316">concatenate(A316,":",CHAR(10),B316)</f>
        <v>:
</v>
      </c>
    </row>
    <row r="317">
      <c r="A317" s="40"/>
      <c r="B317" s="40"/>
      <c r="C317" s="40" t="str">
        <f t="array" ref="C317">concatenate(A317,":",CHAR(10),B317)</f>
        <v>:
</v>
      </c>
    </row>
    <row r="318">
      <c r="A318" s="40"/>
      <c r="B318" s="40"/>
      <c r="C318" s="40" t="str">
        <f t="array" ref="C318">concatenate(A318,":",CHAR(10),B318)</f>
        <v>:
</v>
      </c>
    </row>
    <row r="319">
      <c r="A319" s="40"/>
      <c r="B319" s="40"/>
      <c r="C319" s="40" t="str">
        <f t="array" ref="C319">concatenate(A319,":",CHAR(10),B319)</f>
        <v>:
</v>
      </c>
    </row>
    <row r="320">
      <c r="A320" s="40"/>
      <c r="B320" s="40"/>
      <c r="C320" s="40" t="str">
        <f t="array" ref="C320">concatenate(A320,":",CHAR(10),B320)</f>
        <v>:
</v>
      </c>
    </row>
    <row r="321">
      <c r="A321" s="40"/>
      <c r="B321" s="40"/>
      <c r="C321" s="40" t="str">
        <f t="array" ref="C321">concatenate(A321,":",CHAR(10),B321)</f>
        <v>:
</v>
      </c>
    </row>
    <row r="322">
      <c r="A322" s="40"/>
      <c r="B322" s="40"/>
      <c r="C322" s="40" t="str">
        <f t="array" ref="C322">concatenate(A322,":",CHAR(10),B322)</f>
        <v>:
</v>
      </c>
    </row>
    <row r="323">
      <c r="A323" s="40"/>
      <c r="B323" s="40"/>
      <c r="C323" s="40" t="str">
        <f t="array" ref="C323">concatenate(A323,":",CHAR(10),B323)</f>
        <v>:
</v>
      </c>
    </row>
    <row r="324">
      <c r="A324" s="40"/>
      <c r="B324" s="40"/>
      <c r="C324" s="40" t="str">
        <f t="array" ref="C324">concatenate(A324,":",CHAR(10),B324)</f>
        <v>:
</v>
      </c>
    </row>
    <row r="325">
      <c r="A325" s="40"/>
      <c r="B325" s="40"/>
      <c r="C325" s="40" t="str">
        <f t="array" ref="C325">concatenate(A325,":",CHAR(10),B325)</f>
        <v>:
</v>
      </c>
    </row>
    <row r="326">
      <c r="A326" s="40"/>
      <c r="B326" s="40"/>
      <c r="C326" s="40" t="str">
        <f t="array" ref="C326">concatenate(A326,":",CHAR(10),B326)</f>
        <v>:
</v>
      </c>
    </row>
    <row r="327">
      <c r="A327" s="40"/>
      <c r="B327" s="40"/>
      <c r="C327" s="40" t="str">
        <f t="array" ref="C327">concatenate(A327,":",CHAR(10),B327)</f>
        <v>:
</v>
      </c>
    </row>
    <row r="328">
      <c r="A328" s="40"/>
      <c r="B328" s="40"/>
      <c r="C328" s="40" t="str">
        <f t="array" ref="C328">concatenate(A328,":",CHAR(10),B328)</f>
        <v>:
</v>
      </c>
    </row>
    <row r="329">
      <c r="A329" s="40"/>
      <c r="B329" s="40"/>
      <c r="C329" s="40" t="str">
        <f t="array" ref="C329">concatenate(A329,":",CHAR(10),B329)</f>
        <v>:
</v>
      </c>
    </row>
    <row r="330">
      <c r="A330" s="40"/>
      <c r="B330" s="40"/>
      <c r="C330" s="40" t="str">
        <f t="array" ref="C330">concatenate(A330,":",CHAR(10),B330)</f>
        <v>:
</v>
      </c>
    </row>
    <row r="331">
      <c r="A331" s="40"/>
      <c r="B331" s="40"/>
      <c r="C331" s="40" t="str">
        <f t="array" ref="C331">concatenate(A331,":",CHAR(10),B331)</f>
        <v>:
</v>
      </c>
    </row>
    <row r="332">
      <c r="A332" s="40"/>
      <c r="B332" s="40"/>
      <c r="C332" s="40" t="str">
        <f t="array" ref="C332">concatenate(A332,":",CHAR(10),B332)</f>
        <v>:
</v>
      </c>
    </row>
    <row r="333">
      <c r="A333" s="40"/>
      <c r="B333" s="40"/>
      <c r="C333" s="40" t="str">
        <f t="array" ref="C333">concatenate(A333,":",CHAR(10),B333)</f>
        <v>:
</v>
      </c>
    </row>
    <row r="334">
      <c r="A334" s="40"/>
      <c r="B334" s="40"/>
      <c r="C334" s="40" t="str">
        <f t="array" ref="C334">concatenate(A334,":",CHAR(10),B334)</f>
        <v>:
</v>
      </c>
    </row>
    <row r="335">
      <c r="A335" s="40"/>
      <c r="B335" s="40"/>
      <c r="C335" s="40" t="str">
        <f t="array" ref="C335">concatenate(A335,":",CHAR(10),B335)</f>
        <v>:
</v>
      </c>
    </row>
    <row r="336">
      <c r="A336" s="40"/>
      <c r="B336" s="40"/>
      <c r="C336" s="40" t="str">
        <f t="array" ref="C336">concatenate(A336,":",CHAR(10),B336)</f>
        <v>:
</v>
      </c>
    </row>
    <row r="337">
      <c r="A337" s="40"/>
      <c r="B337" s="40"/>
      <c r="C337" s="40" t="str">
        <f t="array" ref="C337">concatenate(A337,":",CHAR(10),B337)</f>
        <v>:
</v>
      </c>
    </row>
    <row r="338">
      <c r="A338" s="40"/>
      <c r="B338" s="40"/>
      <c r="C338" s="40" t="str">
        <f t="array" ref="C338">concatenate(A338,":",CHAR(10),B338)</f>
        <v>:
</v>
      </c>
    </row>
    <row r="339">
      <c r="A339" s="40"/>
      <c r="B339" s="40"/>
      <c r="C339" s="40" t="str">
        <f t="array" ref="C339">concatenate(A339,":",CHAR(10),B339)</f>
        <v>:
</v>
      </c>
    </row>
    <row r="340">
      <c r="A340" s="40"/>
      <c r="B340" s="40"/>
      <c r="C340" s="40" t="str">
        <f t="array" ref="C340">concatenate(A340,":",CHAR(10),B340)</f>
        <v>:
</v>
      </c>
    </row>
    <row r="341">
      <c r="A341" s="40"/>
      <c r="B341" s="40"/>
      <c r="C341" s="40" t="str">
        <f t="array" ref="C341">concatenate(A341,":",CHAR(10),B341)</f>
        <v>:
</v>
      </c>
    </row>
    <row r="342">
      <c r="A342" s="40"/>
      <c r="B342" s="40"/>
      <c r="C342" s="40" t="str">
        <f t="array" ref="C342">concatenate(A342,":",CHAR(10),B342)</f>
        <v>:
</v>
      </c>
    </row>
    <row r="343">
      <c r="A343" s="40"/>
      <c r="B343" s="40"/>
      <c r="C343" s="40" t="str">
        <f t="array" ref="C343">concatenate(A343,":",CHAR(10),B343)</f>
        <v>:
</v>
      </c>
    </row>
    <row r="344">
      <c r="A344" s="40"/>
      <c r="B344" s="40"/>
      <c r="C344" s="40" t="str">
        <f t="array" ref="C344">concatenate(A344,":",CHAR(10),B344)</f>
        <v>:
</v>
      </c>
    </row>
    <row r="345">
      <c r="A345" s="40"/>
      <c r="B345" s="40"/>
      <c r="C345" s="40" t="str">
        <f t="array" ref="C345">concatenate(A345,":",CHAR(10),B345)</f>
        <v>:
</v>
      </c>
    </row>
    <row r="346">
      <c r="A346" s="40"/>
      <c r="B346" s="40"/>
      <c r="C346" s="40" t="str">
        <f t="array" ref="C346">concatenate(A346,":",CHAR(10),B346)</f>
        <v>:
</v>
      </c>
    </row>
    <row r="347">
      <c r="A347" s="40"/>
      <c r="B347" s="40"/>
      <c r="C347" s="40" t="str">
        <f t="array" ref="C347">concatenate(A347,":",CHAR(10),B347)</f>
        <v>:
</v>
      </c>
    </row>
    <row r="348">
      <c r="A348" s="40"/>
      <c r="B348" s="40"/>
      <c r="C348" s="40" t="str">
        <f t="array" ref="C348">concatenate(A348,":",CHAR(10),B348)</f>
        <v>:
</v>
      </c>
    </row>
    <row r="349">
      <c r="A349" s="40"/>
      <c r="B349" s="40"/>
      <c r="C349" s="40" t="str">
        <f t="array" ref="C349">concatenate(A349,":",CHAR(10),B349)</f>
        <v>:
</v>
      </c>
    </row>
    <row r="350">
      <c r="A350" s="40"/>
      <c r="B350" s="40"/>
      <c r="C350" s="40" t="str">
        <f t="array" ref="C350">concatenate(A350,":",CHAR(10),B350)</f>
        <v>:
</v>
      </c>
    </row>
    <row r="351">
      <c r="A351" s="40"/>
      <c r="B351" s="40"/>
      <c r="C351" s="40" t="str">
        <f t="array" ref="C351">concatenate(A351,":",CHAR(10),B351)</f>
        <v>:
</v>
      </c>
    </row>
    <row r="352">
      <c r="A352" s="40"/>
      <c r="B352" s="40"/>
      <c r="C352" s="40" t="str">
        <f t="array" ref="C352">concatenate(A352,":",CHAR(10),B352)</f>
        <v>:
</v>
      </c>
    </row>
    <row r="353">
      <c r="A353" s="40"/>
      <c r="B353" s="40"/>
      <c r="C353" s="40" t="str">
        <f t="array" ref="C353">concatenate(A353,":",CHAR(10),B353)</f>
        <v>:
</v>
      </c>
    </row>
    <row r="354">
      <c r="A354" s="40"/>
      <c r="B354" s="40"/>
      <c r="C354" s="40" t="str">
        <f t="array" ref="C354">concatenate(A354,":",CHAR(10),B354)</f>
        <v>:
</v>
      </c>
    </row>
    <row r="355">
      <c r="A355" s="40"/>
      <c r="B355" s="40"/>
      <c r="C355" s="40" t="str">
        <f t="array" ref="C355">concatenate(A355,":",CHAR(10),B355)</f>
        <v>:
</v>
      </c>
    </row>
    <row r="356">
      <c r="A356" s="40"/>
      <c r="B356" s="40"/>
      <c r="C356" s="40" t="str">
        <f t="array" ref="C356">concatenate(A356,":",CHAR(10),B356)</f>
        <v>:
</v>
      </c>
    </row>
    <row r="357">
      <c r="A357" s="40"/>
      <c r="B357" s="40"/>
      <c r="C357" s="40" t="str">
        <f t="array" ref="C357">concatenate(A357,":",CHAR(10),B357)</f>
        <v>:
</v>
      </c>
    </row>
    <row r="358">
      <c r="A358" s="40"/>
      <c r="B358" s="40"/>
      <c r="C358" s="40" t="str">
        <f t="array" ref="C358">concatenate(A358,":",CHAR(10),B358)</f>
        <v>:
</v>
      </c>
    </row>
    <row r="359">
      <c r="A359" s="40"/>
      <c r="B359" s="40"/>
      <c r="C359" s="40" t="str">
        <f t="array" ref="C359">concatenate(A359,":",CHAR(10),B359)</f>
        <v>:
</v>
      </c>
    </row>
    <row r="360">
      <c r="A360" s="40"/>
      <c r="B360" s="40"/>
      <c r="C360" s="40" t="str">
        <f t="array" ref="C360">concatenate(A360,":",CHAR(10),B360)</f>
        <v>:
</v>
      </c>
    </row>
    <row r="361">
      <c r="A361" s="40"/>
      <c r="B361" s="40"/>
      <c r="C361" s="40" t="str">
        <f t="array" ref="C361">concatenate(A361,":",CHAR(10),B361)</f>
        <v>:
</v>
      </c>
    </row>
    <row r="362">
      <c r="A362" s="40"/>
      <c r="B362" s="40"/>
      <c r="C362" s="40" t="str">
        <f t="array" ref="C362">concatenate(A362,":",CHAR(10),B362)</f>
        <v>:
</v>
      </c>
    </row>
    <row r="363">
      <c r="A363" s="40"/>
      <c r="B363" s="40"/>
      <c r="C363" s="40" t="str">
        <f t="array" ref="C363">concatenate(A363,":",CHAR(10),B363)</f>
        <v>:
</v>
      </c>
    </row>
    <row r="364">
      <c r="A364" s="40"/>
      <c r="B364" s="40"/>
      <c r="C364" s="40" t="str">
        <f t="array" ref="C364">concatenate(A364,":",CHAR(10),B364)</f>
        <v>:
</v>
      </c>
    </row>
    <row r="365">
      <c r="A365" s="40"/>
      <c r="B365" s="40"/>
      <c r="C365" s="40" t="str">
        <f t="array" ref="C365">concatenate(A365,":",CHAR(10),B365)</f>
        <v>:
</v>
      </c>
    </row>
    <row r="366">
      <c r="A366" s="40"/>
      <c r="B366" s="40"/>
      <c r="C366" s="40" t="str">
        <f t="array" ref="C366">concatenate(A366,":",CHAR(10),B366)</f>
        <v>:
</v>
      </c>
    </row>
    <row r="367">
      <c r="A367" s="40"/>
      <c r="B367" s="40"/>
      <c r="C367" s="40" t="str">
        <f t="array" ref="C367">concatenate(A367,":",CHAR(10),B367)</f>
        <v>:
</v>
      </c>
    </row>
    <row r="368">
      <c r="A368" s="40"/>
      <c r="B368" s="40"/>
      <c r="C368" s="40" t="str">
        <f t="array" ref="C368">concatenate(A368,":",CHAR(10),B368)</f>
        <v>:
</v>
      </c>
    </row>
    <row r="369">
      <c r="A369" s="40"/>
      <c r="B369" s="40"/>
      <c r="C369" s="40" t="str">
        <f t="array" ref="C369">concatenate(A369,":",CHAR(10),B369)</f>
        <v>:
</v>
      </c>
    </row>
    <row r="370">
      <c r="A370" s="40"/>
      <c r="B370" s="40"/>
      <c r="C370" s="40" t="str">
        <f t="array" ref="C370">concatenate(A370,":",CHAR(10),B370)</f>
        <v>:
</v>
      </c>
    </row>
    <row r="371">
      <c r="A371" s="40"/>
      <c r="B371" s="40"/>
      <c r="C371" s="40" t="str">
        <f t="array" ref="C371">concatenate(A371,":",CHAR(10),B371)</f>
        <v>:
</v>
      </c>
    </row>
    <row r="372">
      <c r="A372" s="40"/>
      <c r="B372" s="40"/>
      <c r="C372" s="40" t="str">
        <f t="array" ref="C372">concatenate(A372,":",CHAR(10),B372)</f>
        <v>:
</v>
      </c>
    </row>
    <row r="373">
      <c r="A373" s="40"/>
      <c r="B373" s="40"/>
      <c r="C373" s="40" t="str">
        <f t="array" ref="C373">concatenate(A373,":",CHAR(10),B373)</f>
        <v>:
</v>
      </c>
    </row>
    <row r="374">
      <c r="A374" s="40"/>
      <c r="B374" s="40"/>
      <c r="C374" s="40" t="str">
        <f t="array" ref="C374">concatenate(A374,":",CHAR(10),B374)</f>
        <v>:
</v>
      </c>
    </row>
    <row r="375">
      <c r="A375" s="40"/>
      <c r="B375" s="40"/>
      <c r="C375" s="40" t="str">
        <f t="array" ref="C375">concatenate(A375,":",CHAR(10),B375)</f>
        <v>:
</v>
      </c>
    </row>
    <row r="376">
      <c r="A376" s="40"/>
      <c r="B376" s="40"/>
      <c r="C376" s="40" t="str">
        <f t="array" ref="C376">concatenate(A376,":",CHAR(10),B376)</f>
        <v>:
</v>
      </c>
    </row>
    <row r="377">
      <c r="A377" s="40"/>
      <c r="B377" s="40"/>
      <c r="C377" s="40" t="str">
        <f t="array" ref="C377">concatenate(A377,":",CHAR(10),B377)</f>
        <v>:
</v>
      </c>
    </row>
    <row r="378">
      <c r="A378" s="40"/>
      <c r="B378" s="40"/>
      <c r="C378" s="40" t="str">
        <f t="array" ref="C378">concatenate(A378,":",CHAR(10),B378)</f>
        <v>:
</v>
      </c>
    </row>
    <row r="379">
      <c r="A379" s="40"/>
      <c r="B379" s="40"/>
      <c r="C379" s="40" t="str">
        <f t="array" ref="C379">concatenate(A379,":",CHAR(10),B379)</f>
        <v>:
</v>
      </c>
    </row>
    <row r="380">
      <c r="A380" s="40"/>
      <c r="B380" s="40"/>
      <c r="C380" s="40" t="str">
        <f t="array" ref="C380">concatenate(A380,":",CHAR(10),B380)</f>
        <v>:
</v>
      </c>
    </row>
    <row r="381">
      <c r="A381" s="40"/>
      <c r="B381" s="40"/>
      <c r="C381" s="40" t="str">
        <f t="array" ref="C381">concatenate(A381,":",CHAR(10),B381)</f>
        <v>:
</v>
      </c>
    </row>
    <row r="382">
      <c r="A382" s="40"/>
      <c r="B382" s="40"/>
      <c r="C382" s="40" t="str">
        <f t="array" ref="C382">concatenate(A382,":",CHAR(10),B382)</f>
        <v>:
</v>
      </c>
    </row>
    <row r="383">
      <c r="A383" s="40"/>
      <c r="B383" s="40"/>
      <c r="C383" s="40" t="str">
        <f t="array" ref="C383">concatenate(A383,":",CHAR(10),B383)</f>
        <v>:
</v>
      </c>
    </row>
    <row r="384">
      <c r="A384" s="40"/>
      <c r="B384" s="40"/>
      <c r="C384" s="40" t="str">
        <f t="array" ref="C384">concatenate(A384,":",CHAR(10),B384)</f>
        <v>:
</v>
      </c>
    </row>
    <row r="385">
      <c r="A385" s="40"/>
      <c r="B385" s="40"/>
      <c r="C385" s="40" t="str">
        <f t="array" ref="C385">concatenate(A385,":",CHAR(10),B385)</f>
        <v>:
</v>
      </c>
    </row>
    <row r="386">
      <c r="A386" s="40"/>
      <c r="B386" s="40"/>
      <c r="C386" s="40" t="str">
        <f t="array" ref="C386">concatenate(A386,":",CHAR(10),B386)</f>
        <v>:
</v>
      </c>
    </row>
    <row r="387">
      <c r="A387" s="40"/>
      <c r="B387" s="40"/>
      <c r="C387" s="40" t="str">
        <f t="array" ref="C387">concatenate(A387,":",CHAR(10),B387)</f>
        <v>:
</v>
      </c>
    </row>
    <row r="388">
      <c r="A388" s="40"/>
      <c r="B388" s="40"/>
      <c r="C388" s="40" t="str">
        <f t="array" ref="C388">concatenate(A388,":",CHAR(10),B388)</f>
        <v>:
</v>
      </c>
    </row>
    <row r="389">
      <c r="A389" s="40"/>
      <c r="B389" s="40"/>
      <c r="C389" s="40" t="str">
        <f t="array" ref="C389">concatenate(A389,":",CHAR(10),B389)</f>
        <v>:
</v>
      </c>
    </row>
    <row r="390">
      <c r="A390" s="40"/>
      <c r="B390" s="40"/>
      <c r="C390" s="40" t="str">
        <f t="array" ref="C390">concatenate(A390,":",CHAR(10),B390)</f>
        <v>:
</v>
      </c>
    </row>
    <row r="391">
      <c r="A391" s="40"/>
      <c r="B391" s="40"/>
      <c r="C391" s="40" t="str">
        <f t="array" ref="C391">concatenate(A391,":",CHAR(10),B391)</f>
        <v>:
</v>
      </c>
    </row>
    <row r="392">
      <c r="A392" s="40"/>
      <c r="B392" s="40"/>
      <c r="C392" s="40" t="str">
        <f t="array" ref="C392">concatenate(A392,":",CHAR(10),B392)</f>
        <v>:
</v>
      </c>
    </row>
    <row r="393">
      <c r="A393" s="40"/>
      <c r="B393" s="40"/>
      <c r="C393" s="40" t="str">
        <f t="array" ref="C393">concatenate(A393,":",CHAR(10),B393)</f>
        <v>:
</v>
      </c>
    </row>
    <row r="394">
      <c r="A394" s="40"/>
      <c r="B394" s="40"/>
      <c r="C394" s="40" t="str">
        <f t="array" ref="C394">concatenate(A394,":",CHAR(10),B394)</f>
        <v>:
</v>
      </c>
    </row>
    <row r="395">
      <c r="A395" s="40"/>
      <c r="B395" s="40"/>
      <c r="C395" s="40" t="str">
        <f t="array" ref="C395">concatenate(A395,":",CHAR(10),B395)</f>
        <v>:
</v>
      </c>
    </row>
    <row r="396">
      <c r="A396" s="40"/>
      <c r="B396" s="40"/>
      <c r="C396" s="40" t="str">
        <f t="array" ref="C396">concatenate(A396,":",CHAR(10),B396)</f>
        <v>:
</v>
      </c>
    </row>
    <row r="397">
      <c r="A397" s="40"/>
      <c r="B397" s="40"/>
      <c r="C397" s="40" t="str">
        <f t="array" ref="C397">concatenate(A397,":",CHAR(10),B397)</f>
        <v>:
</v>
      </c>
    </row>
    <row r="398">
      <c r="A398" s="40"/>
      <c r="B398" s="40"/>
      <c r="C398" s="40" t="str">
        <f t="array" ref="C398">concatenate(A398,":",CHAR(10),B398)</f>
        <v>:
</v>
      </c>
    </row>
    <row r="399">
      <c r="A399" s="40"/>
      <c r="B399" s="40"/>
      <c r="C399" s="40" t="str">
        <f t="array" ref="C399">concatenate(A399,":",CHAR(10),B399)</f>
        <v>:
</v>
      </c>
    </row>
    <row r="400">
      <c r="A400" s="40"/>
      <c r="B400" s="40"/>
      <c r="C400" s="40" t="str">
        <f t="array" ref="C400">concatenate(A400,":",CHAR(10),B400)</f>
        <v>:
</v>
      </c>
    </row>
    <row r="401">
      <c r="A401" s="40"/>
      <c r="B401" s="40"/>
      <c r="C401" s="40" t="str">
        <f t="array" ref="C401">concatenate(A401,":",CHAR(10),B401)</f>
        <v>:
</v>
      </c>
    </row>
    <row r="402">
      <c r="A402" s="40"/>
      <c r="B402" s="40"/>
      <c r="C402" s="40" t="str">
        <f t="array" ref="C402">concatenate(A402,":",CHAR(10),B402)</f>
        <v>:
</v>
      </c>
    </row>
    <row r="403">
      <c r="A403" s="40"/>
      <c r="B403" s="40"/>
      <c r="C403" s="40" t="str">
        <f t="array" ref="C403">concatenate(A403,":",CHAR(10),B403)</f>
        <v>:
</v>
      </c>
    </row>
    <row r="404">
      <c r="A404" s="40"/>
      <c r="B404" s="40"/>
      <c r="C404" s="40" t="str">
        <f t="array" ref="C404">concatenate(A404,":",CHAR(10),B404)</f>
        <v>:
</v>
      </c>
    </row>
    <row r="405">
      <c r="A405" s="40"/>
      <c r="B405" s="40"/>
      <c r="C405" s="40" t="str">
        <f t="array" ref="C405">concatenate(A405,":",CHAR(10),B405)</f>
        <v>:
</v>
      </c>
    </row>
    <row r="406">
      <c r="A406" s="40"/>
      <c r="B406" s="40"/>
      <c r="C406" s="40" t="str">
        <f t="array" ref="C406">concatenate(A406,":",CHAR(10),B406)</f>
        <v>:
</v>
      </c>
    </row>
    <row r="407">
      <c r="A407" s="40"/>
      <c r="B407" s="40"/>
      <c r="C407" s="40" t="str">
        <f t="array" ref="C407">concatenate(A407,":",CHAR(10),B407)</f>
        <v>:
</v>
      </c>
    </row>
    <row r="408">
      <c r="A408" s="40"/>
      <c r="B408" s="40"/>
      <c r="C408" s="40" t="str">
        <f t="array" ref="C408">concatenate(A408,":",CHAR(10),B408)</f>
        <v>:
</v>
      </c>
    </row>
    <row r="409">
      <c r="A409" s="40"/>
      <c r="B409" s="40"/>
      <c r="C409" s="40" t="str">
        <f t="array" ref="C409">concatenate(A409,":",CHAR(10),B409)</f>
        <v>:
</v>
      </c>
    </row>
    <row r="410">
      <c r="A410" s="40"/>
      <c r="B410" s="40"/>
      <c r="C410" s="40" t="str">
        <f t="array" ref="C410">concatenate(A410,":",CHAR(10),B410)</f>
        <v>:
</v>
      </c>
    </row>
    <row r="411">
      <c r="A411" s="40"/>
      <c r="B411" s="40"/>
      <c r="C411" s="40" t="str">
        <f t="array" ref="C411">concatenate(A411,":",CHAR(10),B411)</f>
        <v>:
</v>
      </c>
    </row>
    <row r="412">
      <c r="A412" s="40"/>
      <c r="B412" s="40"/>
      <c r="C412" s="40" t="str">
        <f t="array" ref="C412">concatenate(A412,":",CHAR(10),B412)</f>
        <v>:
</v>
      </c>
    </row>
    <row r="413">
      <c r="A413" s="40"/>
      <c r="B413" s="40"/>
      <c r="C413" s="40" t="str">
        <f t="array" ref="C413">concatenate(A413,":",CHAR(10),B413)</f>
        <v>:
</v>
      </c>
    </row>
    <row r="414">
      <c r="A414" s="40"/>
      <c r="B414" s="40"/>
      <c r="C414" s="40" t="str">
        <f t="array" ref="C414">concatenate(A414,":",CHAR(10),B414)</f>
        <v>:
</v>
      </c>
    </row>
    <row r="415">
      <c r="A415" s="40"/>
      <c r="B415" s="40"/>
      <c r="C415" s="40" t="str">
        <f t="array" ref="C415">concatenate(A415,":",CHAR(10),B415)</f>
        <v>:
</v>
      </c>
    </row>
    <row r="416">
      <c r="A416" s="40"/>
      <c r="B416" s="40"/>
      <c r="C416" s="40" t="str">
        <f t="array" ref="C416">concatenate(A416,":",CHAR(10),B416)</f>
        <v>:
</v>
      </c>
    </row>
    <row r="417">
      <c r="A417" s="40"/>
      <c r="B417" s="40"/>
      <c r="C417" s="40" t="str">
        <f t="array" ref="C417">concatenate(A417,":",CHAR(10),B417)</f>
        <v>:
</v>
      </c>
    </row>
    <row r="418">
      <c r="A418" s="40"/>
      <c r="B418" s="40"/>
      <c r="C418" s="40" t="str">
        <f t="array" ref="C418">concatenate(A418,":",CHAR(10),B418)</f>
        <v>:
</v>
      </c>
    </row>
    <row r="419">
      <c r="A419" s="40"/>
      <c r="B419" s="40"/>
      <c r="C419" s="40" t="str">
        <f t="array" ref="C419">concatenate(A419,":",CHAR(10),B419)</f>
        <v>:
</v>
      </c>
    </row>
    <row r="420">
      <c r="A420" s="40"/>
      <c r="B420" s="40"/>
      <c r="C420" s="40" t="str">
        <f t="array" ref="C420">concatenate(A420,":",CHAR(10),B420)</f>
        <v>:
</v>
      </c>
    </row>
    <row r="421">
      <c r="A421" s="40"/>
      <c r="B421" s="40"/>
      <c r="C421" s="40" t="str">
        <f t="array" ref="C421">concatenate(A421,":",CHAR(10),B421)</f>
        <v>:
</v>
      </c>
    </row>
    <row r="422">
      <c r="A422" s="40"/>
      <c r="B422" s="40"/>
      <c r="C422" s="40" t="str">
        <f t="array" ref="C422">concatenate(A422,":",CHAR(10),B422)</f>
        <v>:
</v>
      </c>
    </row>
    <row r="423">
      <c r="A423" s="40"/>
      <c r="B423" s="40"/>
      <c r="C423" s="40" t="str">
        <f t="array" ref="C423">concatenate(A423,":",CHAR(10),B423)</f>
        <v>:
</v>
      </c>
    </row>
    <row r="424">
      <c r="A424" s="40"/>
      <c r="B424" s="40"/>
      <c r="C424" s="40" t="str">
        <f t="array" ref="C424">concatenate(A424,":",CHAR(10),B424)</f>
        <v>:
</v>
      </c>
    </row>
    <row r="425">
      <c r="A425" s="40"/>
      <c r="B425" s="40"/>
      <c r="C425" s="40" t="str">
        <f t="array" ref="C425">concatenate(A425,":",CHAR(10),B425)</f>
        <v>:
</v>
      </c>
    </row>
    <row r="426">
      <c r="A426" s="40"/>
      <c r="B426" s="40"/>
      <c r="C426" s="40" t="str">
        <f t="array" ref="C426">concatenate(A426,":",CHAR(10),B426)</f>
        <v>:
</v>
      </c>
    </row>
    <row r="427">
      <c r="A427" s="40"/>
      <c r="B427" s="40"/>
      <c r="C427" s="40" t="str">
        <f t="array" ref="C427">concatenate(A427,":",CHAR(10),B427)</f>
        <v>:
</v>
      </c>
    </row>
    <row r="428">
      <c r="A428" s="40"/>
      <c r="B428" s="40"/>
      <c r="C428" s="40" t="str">
        <f t="array" ref="C428">concatenate(A428,":",CHAR(10),B428)</f>
        <v>:
</v>
      </c>
    </row>
    <row r="429">
      <c r="A429" s="40"/>
      <c r="B429" s="40"/>
      <c r="C429" s="40" t="str">
        <f t="array" ref="C429">concatenate(A429,":",CHAR(10),B429)</f>
        <v>:
</v>
      </c>
    </row>
    <row r="430">
      <c r="A430" s="40"/>
      <c r="B430" s="40"/>
      <c r="C430" s="40" t="str">
        <f t="array" ref="C430">concatenate(A430,":",CHAR(10),B430)</f>
        <v>:
</v>
      </c>
    </row>
    <row r="431">
      <c r="A431" s="40"/>
      <c r="B431" s="40"/>
      <c r="C431" s="40" t="str">
        <f t="array" ref="C431">concatenate(A431,":",CHAR(10),B431)</f>
        <v>:
</v>
      </c>
    </row>
    <row r="432">
      <c r="A432" s="40"/>
      <c r="B432" s="40"/>
      <c r="C432" s="40" t="str">
        <f t="array" ref="C432">concatenate(A432,":",CHAR(10),B432)</f>
        <v>:
</v>
      </c>
    </row>
    <row r="433">
      <c r="A433" s="40"/>
      <c r="B433" s="40"/>
      <c r="C433" s="40" t="str">
        <f t="array" ref="C433">concatenate(A433,":",CHAR(10),B433)</f>
        <v>:
</v>
      </c>
    </row>
    <row r="434">
      <c r="A434" s="40"/>
      <c r="B434" s="40"/>
      <c r="C434" s="40" t="str">
        <f t="array" ref="C434">concatenate(A434,":",CHAR(10),B434)</f>
        <v>:
</v>
      </c>
    </row>
    <row r="435">
      <c r="A435" s="40"/>
      <c r="B435" s="40"/>
      <c r="C435" s="40" t="str">
        <f t="array" ref="C435">concatenate(A435,":",CHAR(10),B435)</f>
        <v>:
</v>
      </c>
    </row>
    <row r="436">
      <c r="A436" s="40"/>
      <c r="B436" s="40"/>
      <c r="C436" s="40" t="str">
        <f t="array" ref="C436">concatenate(A436,":",CHAR(10),B436)</f>
        <v>:
</v>
      </c>
    </row>
    <row r="437">
      <c r="A437" s="40"/>
      <c r="B437" s="40"/>
      <c r="C437" s="40" t="str">
        <f t="array" ref="C437">concatenate(A437,":",CHAR(10),B437)</f>
        <v>:
</v>
      </c>
    </row>
    <row r="438">
      <c r="A438" s="40"/>
      <c r="B438" s="40"/>
      <c r="C438" s="40" t="str">
        <f t="array" ref="C438">concatenate(A438,":",CHAR(10),B438)</f>
        <v>:
</v>
      </c>
    </row>
    <row r="439">
      <c r="A439" s="40"/>
      <c r="B439" s="40"/>
      <c r="C439" s="40" t="str">
        <f t="array" ref="C439">concatenate(A439,":",CHAR(10),B439)</f>
        <v>:
</v>
      </c>
    </row>
    <row r="440">
      <c r="A440" s="40"/>
      <c r="B440" s="40"/>
      <c r="C440" s="40" t="str">
        <f t="array" ref="C440">concatenate(A440,":",CHAR(10),B440)</f>
        <v>:
</v>
      </c>
    </row>
    <row r="441">
      <c r="A441" s="40"/>
      <c r="B441" s="40"/>
      <c r="C441" s="40" t="str">
        <f t="array" ref="C441">concatenate(A441,":",CHAR(10),B441)</f>
        <v>:
</v>
      </c>
    </row>
    <row r="442">
      <c r="A442" s="40"/>
      <c r="B442" s="40"/>
      <c r="C442" s="40" t="str">
        <f t="array" ref="C442">concatenate(A442,":",CHAR(10),B442)</f>
        <v>:
</v>
      </c>
    </row>
    <row r="443">
      <c r="A443" s="40"/>
      <c r="B443" s="40"/>
      <c r="C443" s="40" t="str">
        <f t="array" ref="C443">concatenate(A443,":",CHAR(10),B443)</f>
        <v>:
</v>
      </c>
    </row>
    <row r="444">
      <c r="A444" s="40"/>
      <c r="B444" s="40"/>
      <c r="C444" s="40" t="str">
        <f t="array" ref="C444">concatenate(A444,":",CHAR(10),B444)</f>
        <v>:
</v>
      </c>
    </row>
    <row r="445">
      <c r="A445" s="40"/>
      <c r="B445" s="40"/>
      <c r="C445" s="40" t="str">
        <f t="array" ref="C445">concatenate(A445,":",CHAR(10),B445)</f>
        <v>:
</v>
      </c>
    </row>
    <row r="446">
      <c r="A446" s="40"/>
      <c r="B446" s="40"/>
      <c r="C446" s="40" t="str">
        <f t="array" ref="C446">concatenate(A446,":",CHAR(10),B446)</f>
        <v>:
</v>
      </c>
    </row>
    <row r="447">
      <c r="A447" s="40"/>
      <c r="B447" s="40"/>
      <c r="C447" s="40" t="str">
        <f t="array" ref="C447">concatenate(A447,":",CHAR(10),B447)</f>
        <v>:
</v>
      </c>
    </row>
    <row r="448">
      <c r="A448" s="40"/>
      <c r="B448" s="40"/>
      <c r="C448" s="40" t="str">
        <f t="array" ref="C448">concatenate(A448,":",CHAR(10),B448)</f>
        <v>:
</v>
      </c>
    </row>
    <row r="449">
      <c r="A449" s="40"/>
      <c r="B449" s="40"/>
      <c r="C449" s="40" t="str">
        <f t="array" ref="C449">concatenate(A449,":",CHAR(10),B449)</f>
        <v>:
</v>
      </c>
    </row>
    <row r="450">
      <c r="A450" s="40"/>
      <c r="B450" s="40"/>
      <c r="C450" s="40" t="str">
        <f t="array" ref="C450">concatenate(A450,":",CHAR(10),B450)</f>
        <v>:
</v>
      </c>
    </row>
    <row r="451">
      <c r="A451" s="40"/>
      <c r="B451" s="40"/>
      <c r="C451" s="40" t="str">
        <f t="array" ref="C451">concatenate(A451,":",CHAR(10),B451)</f>
        <v>:
</v>
      </c>
    </row>
    <row r="452">
      <c r="A452" s="40"/>
      <c r="B452" s="40"/>
      <c r="C452" s="40" t="str">
        <f t="array" ref="C452">concatenate(A452,":",CHAR(10),B452)</f>
        <v>:
</v>
      </c>
    </row>
    <row r="453">
      <c r="A453" s="40"/>
      <c r="B453" s="40"/>
      <c r="C453" s="40" t="str">
        <f t="array" ref="C453">concatenate(A453,":",CHAR(10),B453)</f>
        <v>:
</v>
      </c>
    </row>
    <row r="454">
      <c r="A454" s="40"/>
      <c r="B454" s="40"/>
      <c r="C454" s="40" t="str">
        <f t="array" ref="C454">concatenate(A454,":",CHAR(10),B454)</f>
        <v>:
</v>
      </c>
    </row>
    <row r="455">
      <c r="A455" s="40"/>
      <c r="B455" s="40"/>
      <c r="C455" s="40" t="str">
        <f t="array" ref="C455">concatenate(A455,":",CHAR(10),B455)</f>
        <v>:
</v>
      </c>
    </row>
    <row r="456">
      <c r="A456" s="40"/>
      <c r="B456" s="40"/>
      <c r="C456" s="40" t="str">
        <f t="array" ref="C456">concatenate(A456,":",CHAR(10),B456)</f>
        <v>:
</v>
      </c>
    </row>
    <row r="457">
      <c r="A457" s="40"/>
      <c r="B457" s="40"/>
      <c r="C457" s="40" t="str">
        <f t="array" ref="C457">concatenate(A457,":",CHAR(10),B457)</f>
        <v>:
</v>
      </c>
    </row>
    <row r="458">
      <c r="A458" s="40"/>
      <c r="B458" s="40"/>
      <c r="C458" s="40" t="str">
        <f t="array" ref="C458">concatenate(A458,":",CHAR(10),B458)</f>
        <v>:
</v>
      </c>
    </row>
    <row r="459">
      <c r="A459" s="40"/>
      <c r="B459" s="40"/>
      <c r="C459" s="40" t="str">
        <f t="array" ref="C459">concatenate(A459,":",CHAR(10),B459)</f>
        <v>:
</v>
      </c>
    </row>
    <row r="460">
      <c r="A460" s="40"/>
      <c r="B460" s="40"/>
      <c r="C460" s="40" t="str">
        <f t="array" ref="C460">concatenate(A460,":",CHAR(10),B460)</f>
        <v>:
</v>
      </c>
    </row>
    <row r="461">
      <c r="A461" s="40"/>
      <c r="B461" s="40"/>
      <c r="C461" s="40" t="str">
        <f t="array" ref="C461">concatenate(A461,":",CHAR(10),B461)</f>
        <v>:
</v>
      </c>
    </row>
    <row r="462">
      <c r="A462" s="40"/>
      <c r="B462" s="40"/>
      <c r="C462" s="40" t="str">
        <f t="array" ref="C462">concatenate(A462,":",CHAR(10),B462)</f>
        <v>:
</v>
      </c>
    </row>
    <row r="463">
      <c r="A463" s="40"/>
      <c r="B463" s="40"/>
      <c r="C463" s="40" t="str">
        <f t="array" ref="C463">concatenate(A463,":",CHAR(10),B463)</f>
        <v>:
</v>
      </c>
    </row>
    <row r="464">
      <c r="A464" s="40"/>
      <c r="B464" s="40"/>
      <c r="C464" s="40" t="str">
        <f t="array" ref="C464">concatenate(A464,":",CHAR(10),B464)</f>
        <v>:
</v>
      </c>
    </row>
    <row r="465">
      <c r="A465" s="40"/>
      <c r="B465" s="40"/>
      <c r="C465" s="40" t="str">
        <f t="array" ref="C465">concatenate(A465,":",CHAR(10),B465)</f>
        <v>:
</v>
      </c>
    </row>
    <row r="466">
      <c r="A466" s="40"/>
      <c r="B466" s="40"/>
      <c r="C466" s="40" t="str">
        <f t="array" ref="C466">concatenate(A466,":",CHAR(10),B466)</f>
        <v>:
</v>
      </c>
    </row>
    <row r="467">
      <c r="A467" s="40"/>
      <c r="B467" s="40"/>
      <c r="C467" s="40" t="str">
        <f t="array" ref="C467">concatenate(A467,":",CHAR(10),B467)</f>
        <v>:
</v>
      </c>
    </row>
    <row r="468">
      <c r="A468" s="40"/>
      <c r="B468" s="40"/>
      <c r="C468" s="40" t="str">
        <f t="array" ref="C468">concatenate(A468,":",CHAR(10),B468)</f>
        <v>:
</v>
      </c>
    </row>
    <row r="469">
      <c r="A469" s="40"/>
      <c r="B469" s="40"/>
      <c r="C469" s="40" t="str">
        <f t="array" ref="C469">concatenate(A469,":",CHAR(10),B469)</f>
        <v>:
</v>
      </c>
    </row>
    <row r="470">
      <c r="A470" s="40"/>
      <c r="B470" s="40"/>
      <c r="C470" s="40" t="str">
        <f t="array" ref="C470">concatenate(A470,":",CHAR(10),B470)</f>
        <v>:
</v>
      </c>
    </row>
    <row r="471">
      <c r="A471" s="40"/>
      <c r="B471" s="40"/>
      <c r="C471" s="40" t="str">
        <f t="array" ref="C471">concatenate(A471,":",CHAR(10),B471)</f>
        <v>:
</v>
      </c>
    </row>
    <row r="472">
      <c r="A472" s="40"/>
      <c r="B472" s="40"/>
      <c r="C472" s="40" t="str">
        <f t="array" ref="C472">concatenate(A472,":",CHAR(10),B472)</f>
        <v>:
</v>
      </c>
    </row>
    <row r="473">
      <c r="A473" s="40"/>
      <c r="B473" s="40"/>
      <c r="C473" s="40" t="str">
        <f t="array" ref="C473">concatenate(A473,":",CHAR(10),B473)</f>
        <v>:
</v>
      </c>
    </row>
    <row r="474">
      <c r="A474" s="40"/>
      <c r="B474" s="40"/>
      <c r="C474" s="40" t="str">
        <f t="array" ref="C474">concatenate(A474,":",CHAR(10),B474)</f>
        <v>:
</v>
      </c>
    </row>
    <row r="475">
      <c r="A475" s="40"/>
      <c r="B475" s="40"/>
      <c r="C475" s="40" t="str">
        <f t="array" ref="C475">concatenate(A475,":",CHAR(10),B475)</f>
        <v>:
</v>
      </c>
    </row>
    <row r="476">
      <c r="A476" s="40"/>
      <c r="B476" s="40"/>
      <c r="C476" s="40" t="str">
        <f t="array" ref="C476">concatenate(A476,":",CHAR(10),B476)</f>
        <v>:
</v>
      </c>
    </row>
    <row r="477">
      <c r="A477" s="40"/>
      <c r="B477" s="40"/>
      <c r="C477" s="40" t="str">
        <f t="array" ref="C477">concatenate(A477,":",CHAR(10),B477)</f>
        <v>:
</v>
      </c>
    </row>
    <row r="478">
      <c r="A478" s="40"/>
      <c r="B478" s="40"/>
      <c r="C478" s="40" t="str">
        <f t="array" ref="C478">concatenate(A478,":",CHAR(10),B478)</f>
        <v>:
</v>
      </c>
    </row>
    <row r="479">
      <c r="A479" s="40"/>
      <c r="B479" s="40"/>
      <c r="C479" s="40" t="str">
        <f t="array" ref="C479">concatenate(A479,":",CHAR(10),B479)</f>
        <v>:
</v>
      </c>
    </row>
    <row r="480">
      <c r="A480" s="40"/>
      <c r="B480" s="40"/>
      <c r="C480" s="40" t="str">
        <f t="array" ref="C480">concatenate(A480,":",CHAR(10),B480)</f>
        <v>:
</v>
      </c>
    </row>
    <row r="481">
      <c r="A481" s="40"/>
      <c r="B481" s="40"/>
      <c r="C481" s="40" t="str">
        <f t="array" ref="C481">concatenate(A481,":",CHAR(10),B481)</f>
        <v>:
</v>
      </c>
    </row>
    <row r="482">
      <c r="A482" s="40"/>
      <c r="B482" s="40"/>
      <c r="C482" s="40" t="str">
        <f t="array" ref="C482">concatenate(A482,":",CHAR(10),B482)</f>
        <v>:
</v>
      </c>
    </row>
    <row r="483">
      <c r="A483" s="40"/>
      <c r="B483" s="40"/>
      <c r="C483" s="40" t="str">
        <f t="array" ref="C483">concatenate(A483,":",CHAR(10),B483)</f>
        <v>:
</v>
      </c>
    </row>
    <row r="484">
      <c r="A484" s="40"/>
      <c r="B484" s="40"/>
      <c r="C484" s="40" t="str">
        <f t="array" ref="C484">concatenate(A484,":",CHAR(10),B484)</f>
        <v>:
</v>
      </c>
    </row>
    <row r="485">
      <c r="A485" s="40"/>
      <c r="B485" s="40"/>
      <c r="C485" s="40" t="str">
        <f t="array" ref="C485">concatenate(A485,":",CHAR(10),B485)</f>
        <v>:
</v>
      </c>
    </row>
    <row r="486">
      <c r="A486" s="40"/>
      <c r="B486" s="40"/>
      <c r="C486" s="40" t="str">
        <f t="array" ref="C486">concatenate(A486,":",CHAR(10),B486)</f>
        <v>:
</v>
      </c>
    </row>
    <row r="487">
      <c r="A487" s="40"/>
      <c r="B487" s="40"/>
      <c r="C487" s="40" t="str">
        <f t="array" ref="C487">concatenate(A487,":",CHAR(10),B487)</f>
        <v>:
</v>
      </c>
    </row>
    <row r="488">
      <c r="A488" s="40"/>
      <c r="B488" s="40"/>
      <c r="C488" s="40" t="str">
        <f t="array" ref="C488">concatenate(A488,":",CHAR(10),B488)</f>
        <v>:
</v>
      </c>
    </row>
    <row r="489">
      <c r="A489" s="40"/>
      <c r="B489" s="40"/>
      <c r="C489" s="40" t="str">
        <f t="array" ref="C489">concatenate(A489,":",CHAR(10),B489)</f>
        <v>:
</v>
      </c>
    </row>
    <row r="490">
      <c r="A490" s="40"/>
      <c r="B490" s="40"/>
      <c r="C490" s="40" t="str">
        <f t="array" ref="C490">concatenate(A490,":",CHAR(10),B490)</f>
        <v>:
</v>
      </c>
    </row>
    <row r="491">
      <c r="A491" s="40"/>
      <c r="B491" s="40"/>
      <c r="C491" s="40" t="str">
        <f t="array" ref="C491">concatenate(A491,":",CHAR(10),B491)</f>
        <v>:
</v>
      </c>
    </row>
    <row r="492">
      <c r="A492" s="40"/>
      <c r="B492" s="40"/>
      <c r="C492" s="40" t="str">
        <f t="array" ref="C492">concatenate(A492,":",CHAR(10),B492)</f>
        <v>:
</v>
      </c>
    </row>
    <row r="493">
      <c r="A493" s="40"/>
      <c r="B493" s="40"/>
      <c r="C493" s="40" t="str">
        <f t="array" ref="C493">concatenate(A493,":",CHAR(10),B493)</f>
        <v>:
</v>
      </c>
    </row>
    <row r="494">
      <c r="A494" s="40"/>
      <c r="B494" s="40"/>
      <c r="C494" s="40" t="str">
        <f t="array" ref="C494">concatenate(A494,":",CHAR(10),B494)</f>
        <v>:
</v>
      </c>
    </row>
    <row r="495">
      <c r="A495" s="40"/>
      <c r="B495" s="40"/>
      <c r="C495" s="40" t="str">
        <f t="array" ref="C495">concatenate(A495,":",CHAR(10),B495)</f>
        <v>:
</v>
      </c>
    </row>
    <row r="496">
      <c r="A496" s="40"/>
      <c r="B496" s="40"/>
      <c r="C496" s="40" t="str">
        <f t="array" ref="C496">concatenate(A496,":",CHAR(10),B496)</f>
        <v>:
</v>
      </c>
    </row>
    <row r="497">
      <c r="A497" s="40"/>
      <c r="B497" s="40"/>
      <c r="C497" s="40" t="str">
        <f t="array" ref="C497">concatenate(A497,":",CHAR(10),B497)</f>
        <v>:
</v>
      </c>
    </row>
    <row r="498">
      <c r="A498" s="40"/>
      <c r="B498" s="40"/>
      <c r="C498" s="40" t="str">
        <f t="array" ref="C498">concatenate(A498,":",CHAR(10),B498)</f>
        <v>:
</v>
      </c>
    </row>
    <row r="499">
      <c r="A499" s="40"/>
      <c r="B499" s="40"/>
      <c r="C499" s="40" t="str">
        <f t="array" ref="C499">concatenate(A499,":",CHAR(10),B499)</f>
        <v>:
</v>
      </c>
    </row>
    <row r="500">
      <c r="A500" s="40"/>
      <c r="B500" s="40"/>
      <c r="C500" s="40" t="str">
        <f t="array" ref="C500">concatenate(A500,":",CHAR(10),B500)</f>
        <v>:
</v>
      </c>
    </row>
    <row r="501">
      <c r="A501" s="40"/>
      <c r="B501" s="40"/>
      <c r="C501" s="40" t="str">
        <f t="array" ref="C501">concatenate(A501,":",CHAR(10),B501)</f>
        <v>:
</v>
      </c>
    </row>
    <row r="502">
      <c r="A502" s="40"/>
      <c r="B502" s="40"/>
      <c r="C502" s="40" t="str">
        <f t="array" ref="C502">concatenate(A502,":",CHAR(10),B502)</f>
        <v>:
</v>
      </c>
    </row>
    <row r="503">
      <c r="A503" s="40"/>
      <c r="B503" s="40"/>
      <c r="C503" s="40" t="str">
        <f t="array" ref="C503">concatenate(A503,":",CHAR(10),B503)</f>
        <v>:
</v>
      </c>
    </row>
    <row r="504">
      <c r="A504" s="40"/>
      <c r="B504" s="40"/>
      <c r="C504" s="40" t="str">
        <f t="array" ref="C504">concatenate(A504,":",CHAR(10),B504)</f>
        <v>:
</v>
      </c>
    </row>
    <row r="505">
      <c r="A505" s="40"/>
      <c r="B505" s="40"/>
      <c r="C505" s="40" t="str">
        <f t="array" ref="C505">concatenate(A505,":",CHAR(10),B505)</f>
        <v>:
</v>
      </c>
    </row>
    <row r="506">
      <c r="A506" s="40"/>
      <c r="B506" s="40"/>
      <c r="C506" s="40" t="str">
        <f t="array" ref="C506">concatenate(A506,":",CHAR(10),B506)</f>
        <v>:
</v>
      </c>
    </row>
    <row r="507">
      <c r="A507" s="40"/>
      <c r="B507" s="40"/>
      <c r="C507" s="40" t="str">
        <f t="array" ref="C507">concatenate(A507,":",CHAR(10),B507)</f>
        <v>:
</v>
      </c>
    </row>
    <row r="508">
      <c r="A508" s="40"/>
      <c r="B508" s="40"/>
      <c r="C508" s="40" t="str">
        <f t="array" ref="C508">concatenate(A508,":",CHAR(10),B508)</f>
        <v>:
</v>
      </c>
    </row>
    <row r="509">
      <c r="A509" s="40"/>
      <c r="B509" s="40"/>
      <c r="C509" s="40" t="str">
        <f t="array" ref="C509">concatenate(A509,":",CHAR(10),B509)</f>
        <v>:
</v>
      </c>
    </row>
    <row r="510">
      <c r="A510" s="40"/>
      <c r="B510" s="40"/>
      <c r="C510" s="40" t="str">
        <f t="array" ref="C510">concatenate(A510,":",CHAR(10),B510)</f>
        <v>:
</v>
      </c>
    </row>
    <row r="511">
      <c r="A511" s="40"/>
      <c r="B511" s="40"/>
      <c r="C511" s="40" t="str">
        <f t="array" ref="C511">concatenate(A511,":",CHAR(10),B511)</f>
        <v>:
</v>
      </c>
    </row>
    <row r="512">
      <c r="A512" s="40"/>
      <c r="B512" s="40"/>
      <c r="C512" s="40" t="str">
        <f t="array" ref="C512">concatenate(A512,":",CHAR(10),B512)</f>
        <v>:
</v>
      </c>
    </row>
    <row r="513">
      <c r="A513" s="40"/>
      <c r="B513" s="40"/>
      <c r="C513" s="40" t="str">
        <f t="array" ref="C513">concatenate(A513,":",CHAR(10),B513)</f>
        <v>:
</v>
      </c>
    </row>
    <row r="514">
      <c r="A514" s="40"/>
      <c r="B514" s="40"/>
      <c r="C514" s="40" t="str">
        <f t="array" ref="C514">concatenate(A514,":",CHAR(10),B514)</f>
        <v>:
</v>
      </c>
    </row>
    <row r="515">
      <c r="A515" s="40"/>
      <c r="B515" s="40"/>
      <c r="C515" s="40" t="str">
        <f t="array" ref="C515">concatenate(A515,":",CHAR(10),B515)</f>
        <v>:
</v>
      </c>
    </row>
    <row r="516">
      <c r="A516" s="40"/>
      <c r="B516" s="40"/>
      <c r="C516" s="40" t="str">
        <f t="array" ref="C516">concatenate(A516,":",CHAR(10),B516)</f>
        <v>:
</v>
      </c>
    </row>
    <row r="517">
      <c r="A517" s="40"/>
      <c r="B517" s="40"/>
      <c r="C517" s="40" t="str">
        <f t="array" ref="C517">concatenate(A517,":",CHAR(10),B517)</f>
        <v>:
</v>
      </c>
    </row>
    <row r="518">
      <c r="A518" s="40"/>
      <c r="B518" s="40"/>
      <c r="C518" s="40" t="str">
        <f t="array" ref="C518">concatenate(A518,":",CHAR(10),B518)</f>
        <v>:
</v>
      </c>
    </row>
    <row r="519">
      <c r="A519" s="40"/>
      <c r="B519" s="40"/>
      <c r="C519" s="40" t="str">
        <f t="array" ref="C519">concatenate(A519,":",CHAR(10),B519)</f>
        <v>:
</v>
      </c>
    </row>
    <row r="520">
      <c r="A520" s="40"/>
      <c r="B520" s="40"/>
      <c r="C520" s="40" t="str">
        <f t="array" ref="C520">concatenate(A520,":",CHAR(10),B520)</f>
        <v>:
</v>
      </c>
    </row>
    <row r="521">
      <c r="A521" s="40"/>
      <c r="B521" s="40"/>
      <c r="C521" s="40" t="str">
        <f t="array" ref="C521">concatenate(A521,":",CHAR(10),B521)</f>
        <v>:
</v>
      </c>
    </row>
    <row r="522">
      <c r="A522" s="40"/>
      <c r="B522" s="40"/>
      <c r="C522" s="40" t="str">
        <f t="array" ref="C522">concatenate(A522,":",CHAR(10),B522)</f>
        <v>:
</v>
      </c>
    </row>
    <row r="523">
      <c r="A523" s="40"/>
      <c r="B523" s="40"/>
      <c r="C523" s="40" t="str">
        <f t="array" ref="C523">concatenate(A523,":",CHAR(10),B523)</f>
        <v>:
</v>
      </c>
    </row>
    <row r="524">
      <c r="A524" s="40"/>
      <c r="B524" s="40"/>
      <c r="C524" s="40" t="str">
        <f t="array" ref="C524">concatenate(A524,":",CHAR(10),B524)</f>
        <v>:
</v>
      </c>
    </row>
    <row r="525">
      <c r="A525" s="40"/>
      <c r="B525" s="40"/>
      <c r="C525" s="40" t="str">
        <f t="array" ref="C525">concatenate(A525,":",CHAR(10),B525)</f>
        <v>:
</v>
      </c>
    </row>
    <row r="526">
      <c r="A526" s="40"/>
      <c r="B526" s="40"/>
      <c r="C526" s="40" t="str">
        <f t="array" ref="C526">concatenate(A526,":",CHAR(10),B526)</f>
        <v>:
</v>
      </c>
    </row>
    <row r="527">
      <c r="A527" s="40"/>
      <c r="B527" s="40"/>
      <c r="C527" s="40" t="str">
        <f t="array" ref="C527">concatenate(A527,":",CHAR(10),B527)</f>
        <v>:
</v>
      </c>
    </row>
    <row r="528">
      <c r="A528" s="40"/>
      <c r="B528" s="40"/>
      <c r="C528" s="40" t="str">
        <f t="array" ref="C528">concatenate(A528,":",CHAR(10),B528)</f>
        <v>:
</v>
      </c>
    </row>
    <row r="529">
      <c r="A529" s="40"/>
      <c r="B529" s="40"/>
      <c r="C529" s="40" t="str">
        <f t="array" ref="C529">concatenate(A529,":",CHAR(10),B529)</f>
        <v>:
</v>
      </c>
    </row>
    <row r="530">
      <c r="A530" s="40"/>
      <c r="B530" s="40"/>
      <c r="C530" s="40" t="str">
        <f t="array" ref="C530">concatenate(A530,":",CHAR(10),B530)</f>
        <v>:
</v>
      </c>
    </row>
    <row r="531">
      <c r="A531" s="40"/>
      <c r="B531" s="40"/>
      <c r="C531" s="40" t="str">
        <f t="array" ref="C531">concatenate(A531,":",CHAR(10),B531)</f>
        <v>:
</v>
      </c>
    </row>
    <row r="532">
      <c r="A532" s="40"/>
      <c r="B532" s="40"/>
      <c r="C532" s="40" t="str">
        <f t="array" ref="C532">concatenate(A532,":",CHAR(10),B532)</f>
        <v>:
</v>
      </c>
    </row>
    <row r="533">
      <c r="A533" s="40"/>
      <c r="B533" s="40"/>
      <c r="C533" s="40" t="str">
        <f t="array" ref="C533">concatenate(A533,":",CHAR(10),B533)</f>
        <v>:
</v>
      </c>
    </row>
    <row r="534">
      <c r="A534" s="40"/>
      <c r="B534" s="40"/>
      <c r="C534" s="40" t="str">
        <f t="array" ref="C534">concatenate(A534,":",CHAR(10),B534)</f>
        <v>:
</v>
      </c>
    </row>
    <row r="535">
      <c r="A535" s="40"/>
      <c r="B535" s="40"/>
      <c r="C535" s="40" t="str">
        <f t="array" ref="C535">concatenate(A535,":",CHAR(10),B535)</f>
        <v>:
</v>
      </c>
    </row>
    <row r="536">
      <c r="A536" s="40"/>
      <c r="B536" s="40"/>
      <c r="C536" s="40" t="str">
        <f t="array" ref="C536">concatenate(A536,":",CHAR(10),B536)</f>
        <v>:
</v>
      </c>
    </row>
    <row r="537">
      <c r="A537" s="40"/>
      <c r="B537" s="40"/>
      <c r="C537" s="40" t="str">
        <f t="array" ref="C537">concatenate(A537,":",CHAR(10),B537)</f>
        <v>:
</v>
      </c>
    </row>
    <row r="538">
      <c r="A538" s="40"/>
      <c r="B538" s="40"/>
      <c r="C538" s="40" t="str">
        <f t="array" ref="C538">concatenate(A538,":",CHAR(10),B538)</f>
        <v>:
</v>
      </c>
    </row>
    <row r="539">
      <c r="A539" s="40"/>
      <c r="B539" s="40"/>
      <c r="C539" s="40" t="str">
        <f t="array" ref="C539">concatenate(A539,":",CHAR(10),B539)</f>
        <v>:
</v>
      </c>
    </row>
    <row r="540">
      <c r="A540" s="40"/>
      <c r="B540" s="40"/>
      <c r="C540" s="40" t="str">
        <f t="array" ref="C540">concatenate(A540,":",CHAR(10),B540)</f>
        <v>:
</v>
      </c>
    </row>
    <row r="541">
      <c r="A541" s="40"/>
      <c r="B541" s="40"/>
      <c r="C541" s="40" t="str">
        <f t="array" ref="C541">concatenate(A541,":",CHAR(10),B541)</f>
        <v>:
</v>
      </c>
    </row>
    <row r="542">
      <c r="A542" s="40"/>
      <c r="B542" s="40"/>
      <c r="C542" s="40" t="str">
        <f t="array" ref="C542">concatenate(A542,":",CHAR(10),B542)</f>
        <v>:
</v>
      </c>
    </row>
    <row r="543">
      <c r="A543" s="40"/>
      <c r="B543" s="40"/>
      <c r="C543" s="40" t="str">
        <f t="array" ref="C543">concatenate(A543,":",CHAR(10),B543)</f>
        <v>:
</v>
      </c>
    </row>
    <row r="544">
      <c r="A544" s="40"/>
      <c r="B544" s="40"/>
      <c r="C544" s="40" t="str">
        <f t="array" ref="C544">concatenate(A544,":",CHAR(10),B544)</f>
        <v>:
</v>
      </c>
    </row>
    <row r="545">
      <c r="A545" s="40"/>
      <c r="B545" s="40"/>
      <c r="C545" s="40" t="str">
        <f t="array" ref="C545">concatenate(A545,":",CHAR(10),B545)</f>
        <v>:
</v>
      </c>
    </row>
    <row r="546">
      <c r="A546" s="40"/>
      <c r="B546" s="40"/>
      <c r="C546" s="40" t="str">
        <f t="array" ref="C546">concatenate(A546,":",CHAR(10),B546)</f>
        <v>:
</v>
      </c>
    </row>
    <row r="547">
      <c r="A547" s="40"/>
      <c r="B547" s="40"/>
      <c r="C547" s="40" t="str">
        <f t="array" ref="C547">concatenate(A547,":",CHAR(10),B547)</f>
        <v>:
</v>
      </c>
    </row>
    <row r="548">
      <c r="A548" s="40"/>
      <c r="B548" s="40"/>
      <c r="C548" s="40" t="str">
        <f t="array" ref="C548">concatenate(A548,":",CHAR(10),B548)</f>
        <v>:
</v>
      </c>
    </row>
    <row r="549">
      <c r="A549" s="40"/>
      <c r="B549" s="40"/>
      <c r="C549" s="40" t="str">
        <f t="array" ref="C549">concatenate(A549,":",CHAR(10),B549)</f>
        <v>:
</v>
      </c>
    </row>
    <row r="550">
      <c r="A550" s="40"/>
      <c r="B550" s="40"/>
      <c r="C550" s="40" t="str">
        <f t="array" ref="C550">concatenate(A550,":",CHAR(10),B550)</f>
        <v>:
</v>
      </c>
    </row>
    <row r="551">
      <c r="A551" s="40"/>
      <c r="B551" s="40"/>
      <c r="C551" s="40" t="str">
        <f t="array" ref="C551">concatenate(A551,":",CHAR(10),B551)</f>
        <v>:
</v>
      </c>
    </row>
    <row r="552">
      <c r="A552" s="40"/>
      <c r="B552" s="40"/>
      <c r="C552" s="40" t="str">
        <f t="array" ref="C552">concatenate(A552,":",CHAR(10),B552)</f>
        <v>:
</v>
      </c>
    </row>
    <row r="553">
      <c r="A553" s="40"/>
      <c r="B553" s="40"/>
      <c r="C553" s="40" t="str">
        <f t="array" ref="C553">concatenate(A553,":",CHAR(10),B553)</f>
        <v>:
</v>
      </c>
    </row>
    <row r="554">
      <c r="A554" s="40"/>
      <c r="B554" s="40"/>
      <c r="C554" s="40" t="str">
        <f t="array" ref="C554">concatenate(A554,":",CHAR(10),B554)</f>
        <v>:
</v>
      </c>
    </row>
    <row r="555">
      <c r="A555" s="40"/>
      <c r="B555" s="40"/>
      <c r="C555" s="40" t="str">
        <f t="array" ref="C555">concatenate(A555,":",CHAR(10),B555)</f>
        <v>:
</v>
      </c>
    </row>
    <row r="556">
      <c r="A556" s="40"/>
      <c r="B556" s="40"/>
      <c r="C556" s="40" t="str">
        <f t="array" ref="C556">concatenate(A556,":",CHAR(10),B556)</f>
        <v>:
</v>
      </c>
    </row>
    <row r="557">
      <c r="A557" s="40"/>
      <c r="B557" s="40"/>
      <c r="C557" s="40" t="str">
        <f t="array" ref="C557">concatenate(A557,":",CHAR(10),B557)</f>
        <v>:
</v>
      </c>
    </row>
    <row r="558">
      <c r="A558" s="40"/>
      <c r="B558" s="40"/>
      <c r="C558" s="40" t="str">
        <f t="array" ref="C558">concatenate(A558,":",CHAR(10),B558)</f>
        <v>:
</v>
      </c>
    </row>
    <row r="559">
      <c r="A559" s="40"/>
      <c r="B559" s="40"/>
      <c r="C559" s="40" t="str">
        <f t="array" ref="C559">concatenate(A559,":",CHAR(10),B559)</f>
        <v>:
</v>
      </c>
    </row>
    <row r="560">
      <c r="A560" s="40"/>
      <c r="B560" s="40"/>
      <c r="C560" s="40" t="str">
        <f t="array" ref="C560">concatenate(A560,":",CHAR(10),B560)</f>
        <v>:
</v>
      </c>
    </row>
    <row r="561">
      <c r="A561" s="40"/>
      <c r="B561" s="40"/>
      <c r="C561" s="40" t="str">
        <f t="array" ref="C561">concatenate(A561,":",CHAR(10),B561)</f>
        <v>:
</v>
      </c>
    </row>
    <row r="562">
      <c r="A562" s="40"/>
      <c r="B562" s="40"/>
      <c r="C562" s="40" t="str">
        <f t="array" ref="C562">concatenate(A562,":",CHAR(10),B562)</f>
        <v>:
</v>
      </c>
    </row>
    <row r="563">
      <c r="A563" s="40"/>
      <c r="B563" s="40"/>
      <c r="C563" s="40" t="str">
        <f t="array" ref="C563">concatenate(A563,":",CHAR(10),B563)</f>
        <v>:
</v>
      </c>
    </row>
    <row r="564">
      <c r="A564" s="40"/>
      <c r="B564" s="40"/>
      <c r="C564" s="40" t="str">
        <f t="array" ref="C564">concatenate(A564,":",CHAR(10),B564)</f>
        <v>:
</v>
      </c>
    </row>
    <row r="565">
      <c r="A565" s="40"/>
      <c r="B565" s="40"/>
      <c r="C565" s="40" t="str">
        <f t="array" ref="C565">concatenate(A565,":",CHAR(10),B565)</f>
        <v>:
</v>
      </c>
    </row>
    <row r="566">
      <c r="A566" s="40"/>
      <c r="B566" s="40"/>
      <c r="C566" s="40" t="str">
        <f t="array" ref="C566">concatenate(A566,":",CHAR(10),B566)</f>
        <v>:
</v>
      </c>
    </row>
    <row r="567">
      <c r="A567" s="40"/>
      <c r="B567" s="40"/>
      <c r="C567" s="40" t="str">
        <f t="array" ref="C567">concatenate(A567,":",CHAR(10),B567)</f>
        <v>:
</v>
      </c>
    </row>
    <row r="568">
      <c r="A568" s="40"/>
      <c r="B568" s="40"/>
      <c r="C568" s="40" t="str">
        <f t="array" ref="C568">concatenate(A568,":",CHAR(10),B568)</f>
        <v>:
</v>
      </c>
    </row>
    <row r="569">
      <c r="A569" s="40"/>
      <c r="B569" s="40"/>
      <c r="C569" s="40" t="str">
        <f t="array" ref="C569">concatenate(A569,":",CHAR(10),B569)</f>
        <v>:
</v>
      </c>
    </row>
    <row r="570">
      <c r="A570" s="40"/>
      <c r="B570" s="40"/>
      <c r="C570" s="40" t="str">
        <f t="array" ref="C570">concatenate(A570,":",CHAR(10),B570)</f>
        <v>:
</v>
      </c>
    </row>
    <row r="571">
      <c r="A571" s="40"/>
      <c r="B571" s="40"/>
      <c r="C571" s="40" t="str">
        <f t="array" ref="C571">concatenate(A571,":",CHAR(10),B571)</f>
        <v>:
</v>
      </c>
    </row>
    <row r="572">
      <c r="A572" s="40"/>
      <c r="B572" s="40"/>
      <c r="C572" s="40" t="str">
        <f t="array" ref="C572">concatenate(A572,":",CHAR(10),B572)</f>
        <v>:
</v>
      </c>
    </row>
    <row r="573">
      <c r="A573" s="40"/>
      <c r="B573" s="40"/>
      <c r="C573" s="40" t="str">
        <f t="array" ref="C573">concatenate(A573,":",CHAR(10),B573)</f>
        <v>:
</v>
      </c>
    </row>
    <row r="574">
      <c r="A574" s="40"/>
      <c r="B574" s="40"/>
      <c r="C574" s="40" t="str">
        <f t="array" ref="C574">concatenate(A574,":",CHAR(10),B574)</f>
        <v>:
</v>
      </c>
    </row>
    <row r="575">
      <c r="A575" s="40"/>
      <c r="B575" s="40"/>
      <c r="C575" s="40" t="str">
        <f t="array" ref="C575">concatenate(A575,":",CHAR(10),B575)</f>
        <v>:
</v>
      </c>
    </row>
    <row r="576">
      <c r="A576" s="40"/>
      <c r="B576" s="40"/>
      <c r="C576" s="40" t="str">
        <f t="array" ref="C576">concatenate(A576,":",CHAR(10),B576)</f>
        <v>:
</v>
      </c>
    </row>
    <row r="577">
      <c r="A577" s="40"/>
      <c r="B577" s="40"/>
      <c r="C577" s="40" t="str">
        <f t="array" ref="C577">concatenate(A577,":",CHAR(10),B577)</f>
        <v>:
</v>
      </c>
    </row>
    <row r="578">
      <c r="A578" s="40"/>
      <c r="B578" s="40"/>
      <c r="C578" s="40" t="str">
        <f t="array" ref="C578">concatenate(A578,":",CHAR(10),B578)</f>
        <v>:
</v>
      </c>
    </row>
    <row r="579">
      <c r="A579" s="40"/>
      <c r="B579" s="40"/>
      <c r="C579" s="40" t="str">
        <f t="array" ref="C579">concatenate(A579,":",CHAR(10),B579)</f>
        <v>:
</v>
      </c>
    </row>
    <row r="580">
      <c r="A580" s="40"/>
      <c r="B580" s="40"/>
      <c r="C580" s="40" t="str">
        <f t="array" ref="C580">concatenate(A580,":",CHAR(10),B580)</f>
        <v>:
</v>
      </c>
    </row>
    <row r="581">
      <c r="A581" s="40"/>
      <c r="B581" s="40"/>
      <c r="C581" s="40" t="str">
        <f t="array" ref="C581">concatenate(A581,":",CHAR(10),B581)</f>
        <v>:
</v>
      </c>
    </row>
    <row r="582">
      <c r="A582" s="40"/>
      <c r="B582" s="40"/>
      <c r="C582" s="40" t="str">
        <f t="array" ref="C582">concatenate(A582,":",CHAR(10),B582)</f>
        <v>:
</v>
      </c>
    </row>
    <row r="583">
      <c r="A583" s="40"/>
      <c r="B583" s="40"/>
      <c r="C583" s="40" t="str">
        <f t="array" ref="C583">concatenate(A583,":",CHAR(10),B583)</f>
        <v>:
</v>
      </c>
    </row>
    <row r="584">
      <c r="A584" s="40"/>
      <c r="B584" s="40"/>
      <c r="C584" s="40" t="str">
        <f t="array" ref="C584">concatenate(A584,":",CHAR(10),B584)</f>
        <v>:
</v>
      </c>
    </row>
    <row r="585">
      <c r="A585" s="40"/>
      <c r="B585" s="40"/>
      <c r="C585" s="40" t="str">
        <f t="array" ref="C585">concatenate(A585,":",CHAR(10),B585)</f>
        <v>:
</v>
      </c>
    </row>
    <row r="586">
      <c r="A586" s="40"/>
      <c r="B586" s="40"/>
      <c r="C586" s="40" t="str">
        <f t="array" ref="C586">concatenate(A586,":",CHAR(10),B586)</f>
        <v>:
</v>
      </c>
    </row>
    <row r="587">
      <c r="A587" s="40"/>
      <c r="B587" s="40"/>
      <c r="C587" s="40" t="str">
        <f t="array" ref="C587">concatenate(A587,":",CHAR(10),B587)</f>
        <v>:
</v>
      </c>
    </row>
    <row r="588">
      <c r="A588" s="40"/>
      <c r="B588" s="40"/>
      <c r="C588" s="40" t="str">
        <f t="array" ref="C588">concatenate(A588,":",CHAR(10),B588)</f>
        <v>:
</v>
      </c>
    </row>
    <row r="589">
      <c r="A589" s="40"/>
      <c r="B589" s="40"/>
      <c r="C589" s="40" t="str">
        <f t="array" ref="C589">concatenate(A589,":",CHAR(10),B589)</f>
        <v>:
</v>
      </c>
    </row>
    <row r="590">
      <c r="A590" s="40"/>
      <c r="B590" s="40"/>
      <c r="C590" s="40" t="str">
        <f t="array" ref="C590">concatenate(A590,":",CHAR(10),B590)</f>
        <v>:
</v>
      </c>
    </row>
    <row r="591">
      <c r="A591" s="40"/>
      <c r="B591" s="40"/>
      <c r="C591" s="40" t="str">
        <f t="array" ref="C591">concatenate(A591,":",CHAR(10),B591)</f>
        <v>:
</v>
      </c>
    </row>
    <row r="592">
      <c r="A592" s="40"/>
      <c r="B592" s="40"/>
      <c r="C592" s="40" t="str">
        <f t="array" ref="C592">concatenate(A592,":",CHAR(10),B592)</f>
        <v>:
</v>
      </c>
    </row>
    <row r="593">
      <c r="A593" s="40"/>
      <c r="B593" s="40"/>
      <c r="C593" s="40" t="str">
        <f t="array" ref="C593">concatenate(A593,":",CHAR(10),B593)</f>
        <v>:
</v>
      </c>
    </row>
    <row r="594">
      <c r="A594" s="40"/>
      <c r="B594" s="40"/>
      <c r="C594" s="40" t="str">
        <f t="array" ref="C594">concatenate(A594,":",CHAR(10),B594)</f>
        <v>:
</v>
      </c>
    </row>
    <row r="595">
      <c r="A595" s="40"/>
      <c r="B595" s="40"/>
      <c r="C595" s="40" t="str">
        <f t="array" ref="C595">concatenate(A595,":",CHAR(10),B595)</f>
        <v>:
</v>
      </c>
    </row>
    <row r="596">
      <c r="A596" s="40"/>
      <c r="B596" s="40"/>
      <c r="C596" s="40" t="str">
        <f t="array" ref="C596">concatenate(A596,":",CHAR(10),B596)</f>
        <v>:
</v>
      </c>
    </row>
    <row r="597">
      <c r="A597" s="40"/>
      <c r="B597" s="40"/>
      <c r="C597" s="40" t="str">
        <f t="array" ref="C597">concatenate(A597,":",CHAR(10),B597)</f>
        <v>:
</v>
      </c>
    </row>
    <row r="598">
      <c r="A598" s="40"/>
      <c r="B598" s="40"/>
      <c r="C598" s="40" t="str">
        <f t="array" ref="C598">concatenate(A598,":",CHAR(10),B598)</f>
        <v>:
</v>
      </c>
    </row>
    <row r="599">
      <c r="A599" s="40"/>
      <c r="B599" s="40"/>
      <c r="C599" s="40" t="str">
        <f t="array" ref="C599">concatenate(A599,":",CHAR(10),B599)</f>
        <v>:
</v>
      </c>
    </row>
    <row r="600">
      <c r="A600" s="40"/>
      <c r="B600" s="40"/>
      <c r="C600" s="40" t="str">
        <f t="array" ref="C600">concatenate(A600,":",CHAR(10),B600)</f>
        <v>:
</v>
      </c>
    </row>
    <row r="601">
      <c r="A601" s="40"/>
      <c r="B601" s="40"/>
      <c r="C601" s="40" t="str">
        <f t="array" ref="C601">concatenate(A601,":",CHAR(10),B601)</f>
        <v>:
</v>
      </c>
    </row>
    <row r="602">
      <c r="A602" s="40"/>
      <c r="B602" s="40"/>
      <c r="C602" s="40" t="str">
        <f t="array" ref="C602">concatenate(A602,":",CHAR(10),B602)</f>
        <v>:
</v>
      </c>
    </row>
    <row r="603">
      <c r="A603" s="40"/>
      <c r="B603" s="40"/>
      <c r="C603" s="40" t="str">
        <f t="array" ref="C603">concatenate(A603,":",CHAR(10),B603)</f>
        <v>:
</v>
      </c>
    </row>
    <row r="604">
      <c r="A604" s="40"/>
      <c r="B604" s="40"/>
      <c r="C604" s="40" t="str">
        <f t="array" ref="C604">concatenate(A604,":",CHAR(10),B604)</f>
        <v>:
</v>
      </c>
    </row>
    <row r="605">
      <c r="A605" s="40"/>
      <c r="B605" s="40"/>
      <c r="C605" s="40" t="str">
        <f t="array" ref="C605">concatenate(A605,":",CHAR(10),B605)</f>
        <v>:
</v>
      </c>
    </row>
    <row r="606">
      <c r="A606" s="40"/>
      <c r="B606" s="40"/>
      <c r="C606" s="40" t="str">
        <f t="array" ref="C606">concatenate(A606,":",CHAR(10),B606)</f>
        <v>:
</v>
      </c>
    </row>
    <row r="607">
      <c r="A607" s="40"/>
      <c r="B607" s="40"/>
      <c r="C607" s="40" t="str">
        <f t="array" ref="C607">concatenate(A607,":",CHAR(10),B607)</f>
        <v>:
</v>
      </c>
    </row>
    <row r="608">
      <c r="A608" s="40"/>
      <c r="B608" s="40"/>
      <c r="C608" s="40" t="str">
        <f t="array" ref="C608">concatenate(A608,":",CHAR(10),B608)</f>
        <v>:
</v>
      </c>
    </row>
    <row r="609">
      <c r="A609" s="40"/>
      <c r="B609" s="40"/>
      <c r="C609" s="40" t="str">
        <f t="array" ref="C609">concatenate(A609,":",CHAR(10),B609)</f>
        <v>:
</v>
      </c>
    </row>
    <row r="610">
      <c r="A610" s="40"/>
      <c r="B610" s="40"/>
      <c r="C610" s="40" t="str">
        <f t="array" ref="C610">concatenate(A610,":",CHAR(10),B610)</f>
        <v>:
</v>
      </c>
    </row>
    <row r="611">
      <c r="A611" s="40"/>
      <c r="B611" s="40"/>
      <c r="C611" s="40" t="str">
        <f t="array" ref="C611">concatenate(A611,":",CHAR(10),B611)</f>
        <v>:
</v>
      </c>
    </row>
    <row r="612">
      <c r="A612" s="40"/>
      <c r="B612" s="40"/>
      <c r="C612" s="40" t="str">
        <f t="array" ref="C612">concatenate(A612,":",CHAR(10),B612)</f>
        <v>:
</v>
      </c>
    </row>
    <row r="613">
      <c r="A613" s="40"/>
      <c r="B613" s="40"/>
      <c r="C613" s="40" t="str">
        <f t="array" ref="C613">concatenate(A613,":",CHAR(10),B613)</f>
        <v>:
</v>
      </c>
    </row>
    <row r="614">
      <c r="A614" s="40"/>
      <c r="B614" s="40"/>
      <c r="C614" s="40" t="str">
        <f t="array" ref="C614">concatenate(A614,":",CHAR(10),B614)</f>
        <v>:
</v>
      </c>
    </row>
    <row r="615">
      <c r="A615" s="40"/>
      <c r="B615" s="40"/>
      <c r="C615" s="40" t="str">
        <f t="array" ref="C615">concatenate(A615,":",CHAR(10),B615)</f>
        <v>:
</v>
      </c>
    </row>
    <row r="616">
      <c r="A616" s="40"/>
      <c r="B616" s="40"/>
      <c r="C616" s="40" t="str">
        <f t="array" ref="C616">concatenate(A616,":",CHAR(10),B616)</f>
        <v>:
</v>
      </c>
    </row>
    <row r="617">
      <c r="A617" s="40"/>
      <c r="B617" s="40"/>
      <c r="C617" s="40" t="str">
        <f t="array" ref="C617">concatenate(A617,":",CHAR(10),B617)</f>
        <v>:
</v>
      </c>
    </row>
    <row r="618">
      <c r="A618" s="40"/>
      <c r="B618" s="40"/>
      <c r="C618" s="40" t="str">
        <f t="array" ref="C618">concatenate(A618,":",CHAR(10),B618)</f>
        <v>:
</v>
      </c>
    </row>
    <row r="619">
      <c r="A619" s="40"/>
      <c r="B619" s="40"/>
      <c r="C619" s="40" t="str">
        <f t="array" ref="C619">concatenate(A619,":",CHAR(10),B619)</f>
        <v>:
</v>
      </c>
    </row>
    <row r="620">
      <c r="A620" s="40"/>
      <c r="B620" s="40"/>
      <c r="C620" s="40" t="str">
        <f t="array" ref="C620">concatenate(A620,":",CHAR(10),B620)</f>
        <v>:
</v>
      </c>
    </row>
    <row r="621">
      <c r="A621" s="40"/>
      <c r="B621" s="40"/>
      <c r="C621" s="40" t="str">
        <f t="array" ref="C621">concatenate(A621,":",CHAR(10),B621)</f>
        <v>:
</v>
      </c>
    </row>
    <row r="622">
      <c r="A622" s="40"/>
      <c r="B622" s="40"/>
      <c r="C622" s="40" t="str">
        <f t="array" ref="C622">concatenate(A622,":",CHAR(10),B622)</f>
        <v>:
</v>
      </c>
    </row>
    <row r="623">
      <c r="A623" s="40"/>
      <c r="B623" s="40"/>
      <c r="C623" s="40" t="str">
        <f t="array" ref="C623">concatenate(A623,":",CHAR(10),B623)</f>
        <v>:
</v>
      </c>
    </row>
    <row r="624">
      <c r="A624" s="40"/>
      <c r="B624" s="40"/>
      <c r="C624" s="40" t="str">
        <f t="array" ref="C624">concatenate(A624,":",CHAR(10),B624)</f>
        <v>:
</v>
      </c>
    </row>
    <row r="625">
      <c r="A625" s="40"/>
      <c r="B625" s="40"/>
      <c r="C625" s="40" t="str">
        <f t="array" ref="C625">concatenate(A625,":",CHAR(10),B625)</f>
        <v>:
</v>
      </c>
    </row>
    <row r="626">
      <c r="A626" s="40"/>
      <c r="B626" s="40"/>
      <c r="C626" s="40" t="str">
        <f t="array" ref="C626">concatenate(A626,":",CHAR(10),B626)</f>
        <v>:
</v>
      </c>
    </row>
    <row r="627">
      <c r="A627" s="40"/>
      <c r="B627" s="40"/>
      <c r="C627" s="40" t="str">
        <f t="array" ref="C627">concatenate(A627,":",CHAR(10),B627)</f>
        <v>:
</v>
      </c>
    </row>
    <row r="628">
      <c r="A628" s="40"/>
      <c r="B628" s="40"/>
      <c r="C628" s="40" t="str">
        <f t="array" ref="C628">concatenate(A628,":",CHAR(10),B628)</f>
        <v>:
</v>
      </c>
    </row>
    <row r="629">
      <c r="A629" s="40"/>
      <c r="B629" s="40"/>
      <c r="C629" s="40" t="str">
        <f t="array" ref="C629">concatenate(A629,":",CHAR(10),B629)</f>
        <v>:
</v>
      </c>
    </row>
    <row r="630">
      <c r="A630" s="40"/>
      <c r="B630" s="40"/>
      <c r="C630" s="40" t="str">
        <f t="array" ref="C630">concatenate(A630,":",CHAR(10),B630)</f>
        <v>:
</v>
      </c>
    </row>
    <row r="631">
      <c r="A631" s="40"/>
      <c r="B631" s="40"/>
      <c r="C631" s="40" t="str">
        <f t="array" ref="C631">concatenate(A631,":",CHAR(10),B631)</f>
        <v>:
</v>
      </c>
    </row>
    <row r="632">
      <c r="A632" s="40"/>
      <c r="B632" s="40"/>
      <c r="C632" s="40" t="str">
        <f t="array" ref="C632">concatenate(A632,":",CHAR(10),B632)</f>
        <v>:
</v>
      </c>
    </row>
    <row r="633">
      <c r="A633" s="40"/>
      <c r="B633" s="40"/>
      <c r="C633" s="40" t="str">
        <f t="array" ref="C633">concatenate(A633,":",CHAR(10),B633)</f>
        <v>:
</v>
      </c>
    </row>
    <row r="634">
      <c r="A634" s="40"/>
      <c r="B634" s="40"/>
      <c r="C634" s="40" t="str">
        <f t="array" ref="C634">concatenate(A634,":",CHAR(10),B634)</f>
        <v>:
</v>
      </c>
    </row>
    <row r="635">
      <c r="A635" s="40"/>
      <c r="B635" s="40"/>
      <c r="C635" s="40" t="str">
        <f t="array" ref="C635">concatenate(A635,":",CHAR(10),B635)</f>
        <v>:
</v>
      </c>
    </row>
    <row r="636">
      <c r="A636" s="40"/>
      <c r="B636" s="40"/>
      <c r="C636" s="40" t="str">
        <f t="array" ref="C636">concatenate(A636,":",CHAR(10),B636)</f>
        <v>:
</v>
      </c>
    </row>
    <row r="637">
      <c r="A637" s="40"/>
      <c r="B637" s="40"/>
      <c r="C637" s="40" t="str">
        <f t="array" ref="C637">concatenate(A637,":",CHAR(10),B637)</f>
        <v>:
</v>
      </c>
    </row>
    <row r="638">
      <c r="A638" s="40"/>
      <c r="B638" s="40"/>
      <c r="C638" s="40" t="str">
        <f t="array" ref="C638">concatenate(A638,":",CHAR(10),B638)</f>
        <v>:
</v>
      </c>
    </row>
    <row r="639">
      <c r="A639" s="40"/>
      <c r="B639" s="40"/>
      <c r="C639" s="40" t="str">
        <f t="array" ref="C639">concatenate(A639,":",CHAR(10),B639)</f>
        <v>:
</v>
      </c>
    </row>
    <row r="640">
      <c r="A640" s="40"/>
      <c r="B640" s="40"/>
      <c r="C640" s="40" t="str">
        <f t="array" ref="C640">concatenate(A640,":",CHAR(10),B640)</f>
        <v>:
</v>
      </c>
    </row>
    <row r="641">
      <c r="A641" s="40"/>
      <c r="B641" s="40"/>
      <c r="C641" s="40" t="str">
        <f t="array" ref="C641">concatenate(A641,":",CHAR(10),B641)</f>
        <v>:
</v>
      </c>
    </row>
    <row r="642">
      <c r="A642" s="40"/>
      <c r="B642" s="40"/>
      <c r="C642" s="40" t="str">
        <f t="array" ref="C642">concatenate(A642,":",CHAR(10),B642)</f>
        <v>:
</v>
      </c>
    </row>
    <row r="643">
      <c r="A643" s="40"/>
      <c r="B643" s="40"/>
      <c r="C643" s="40" t="str">
        <f t="array" ref="C643">concatenate(A643,":",CHAR(10),B643)</f>
        <v>:
</v>
      </c>
    </row>
    <row r="644">
      <c r="A644" s="40"/>
      <c r="B644" s="40"/>
      <c r="C644" s="40" t="str">
        <f t="array" ref="C644">concatenate(A644,":",CHAR(10),B644)</f>
        <v>:
</v>
      </c>
    </row>
    <row r="645">
      <c r="A645" s="40"/>
      <c r="B645" s="40"/>
      <c r="C645" s="40" t="str">
        <f t="array" ref="C645">concatenate(A645,":",CHAR(10),B645)</f>
        <v>:
</v>
      </c>
    </row>
    <row r="646">
      <c r="A646" s="40"/>
      <c r="B646" s="40"/>
      <c r="C646" s="40" t="str">
        <f t="array" ref="C646">concatenate(A646,":",CHAR(10),B646)</f>
        <v>:
</v>
      </c>
    </row>
    <row r="647">
      <c r="A647" s="40"/>
      <c r="B647" s="40"/>
      <c r="C647" s="40" t="str">
        <f t="array" ref="C647">concatenate(A647,":",CHAR(10),B647)</f>
        <v>:
</v>
      </c>
    </row>
    <row r="648">
      <c r="A648" s="40"/>
      <c r="B648" s="40"/>
      <c r="C648" s="40" t="str">
        <f t="array" ref="C648">concatenate(A648,":",CHAR(10),B648)</f>
        <v>:
</v>
      </c>
    </row>
    <row r="649">
      <c r="A649" s="40"/>
      <c r="B649" s="40"/>
      <c r="C649" s="40" t="str">
        <f t="array" ref="C649">concatenate(A649,":",CHAR(10),B649)</f>
        <v>:
</v>
      </c>
    </row>
    <row r="650">
      <c r="A650" s="40"/>
      <c r="B650" s="40"/>
      <c r="C650" s="40" t="str">
        <f t="array" ref="C650">concatenate(A650,":",CHAR(10),B650)</f>
        <v>:
</v>
      </c>
    </row>
    <row r="651">
      <c r="A651" s="40"/>
      <c r="B651" s="40"/>
      <c r="C651" s="40" t="str">
        <f t="array" ref="C651">concatenate(A651,":",CHAR(10),B651)</f>
        <v>:
</v>
      </c>
    </row>
    <row r="652">
      <c r="A652" s="40"/>
      <c r="B652" s="40"/>
      <c r="C652" s="40" t="str">
        <f t="array" ref="C652">concatenate(A652,":",CHAR(10),B652)</f>
        <v>:
</v>
      </c>
    </row>
    <row r="653">
      <c r="A653" s="40"/>
      <c r="B653" s="40"/>
      <c r="C653" s="40" t="str">
        <f t="array" ref="C653">concatenate(A653,":",CHAR(10),B653)</f>
        <v>:
</v>
      </c>
    </row>
    <row r="654">
      <c r="A654" s="40"/>
      <c r="B654" s="40"/>
      <c r="C654" s="40" t="str">
        <f t="array" ref="C654">concatenate(A654,":",CHAR(10),B654)</f>
        <v>:
</v>
      </c>
    </row>
    <row r="655">
      <c r="A655" s="40"/>
      <c r="B655" s="40"/>
      <c r="C655" s="40" t="str">
        <f t="array" ref="C655">concatenate(A655,":",CHAR(10),B655)</f>
        <v>:
</v>
      </c>
    </row>
    <row r="656">
      <c r="A656" s="40"/>
      <c r="B656" s="40"/>
      <c r="C656" s="40" t="str">
        <f t="array" ref="C656">concatenate(A656,":",CHAR(10),B656)</f>
        <v>:
</v>
      </c>
    </row>
    <row r="657">
      <c r="A657" s="40"/>
      <c r="B657" s="40"/>
      <c r="C657" s="40" t="str">
        <f t="array" ref="C657">concatenate(A657,":",CHAR(10),B657)</f>
        <v>:
</v>
      </c>
    </row>
    <row r="658">
      <c r="A658" s="40"/>
      <c r="B658" s="40"/>
      <c r="C658" s="40" t="str">
        <f t="array" ref="C658">concatenate(A658,":",CHAR(10),B658)</f>
        <v>:
</v>
      </c>
    </row>
    <row r="659">
      <c r="A659" s="40"/>
      <c r="B659" s="40"/>
      <c r="C659" s="40" t="str">
        <f t="array" ref="C659">concatenate(A659,":",CHAR(10),B659)</f>
        <v>:
</v>
      </c>
    </row>
    <row r="660">
      <c r="A660" s="40"/>
      <c r="B660" s="40"/>
      <c r="C660" s="40" t="str">
        <f t="array" ref="C660">concatenate(A660,":",CHAR(10),B660)</f>
        <v>:
</v>
      </c>
    </row>
    <row r="661">
      <c r="A661" s="40"/>
      <c r="B661" s="40"/>
      <c r="C661" s="40" t="str">
        <f t="array" ref="C661">concatenate(A661,":",CHAR(10),B661)</f>
        <v>:
</v>
      </c>
    </row>
    <row r="662">
      <c r="A662" s="40"/>
      <c r="B662" s="40"/>
      <c r="C662" s="40" t="str">
        <f t="array" ref="C662">concatenate(A662,":",CHAR(10),B662)</f>
        <v>:
</v>
      </c>
    </row>
    <row r="663">
      <c r="A663" s="40"/>
      <c r="B663" s="40"/>
      <c r="C663" s="40" t="str">
        <f t="array" ref="C663">concatenate(A663,":",CHAR(10),B663)</f>
        <v>:
</v>
      </c>
    </row>
    <row r="664">
      <c r="A664" s="40"/>
      <c r="B664" s="40"/>
      <c r="C664" s="40" t="str">
        <f t="array" ref="C664">concatenate(A664,":",CHAR(10),B664)</f>
        <v>:
</v>
      </c>
    </row>
    <row r="665">
      <c r="A665" s="40"/>
      <c r="B665" s="40"/>
      <c r="C665" s="40" t="str">
        <f t="array" ref="C665">concatenate(A665,":",CHAR(10),B665)</f>
        <v>:
</v>
      </c>
    </row>
    <row r="666">
      <c r="A666" s="40"/>
      <c r="B666" s="40"/>
      <c r="C666" s="40" t="str">
        <f t="array" ref="C666">concatenate(A666,":",CHAR(10),B666)</f>
        <v>:
</v>
      </c>
    </row>
    <row r="667">
      <c r="A667" s="40"/>
      <c r="B667" s="40"/>
      <c r="C667" s="40" t="str">
        <f t="array" ref="C667">concatenate(A667,":",CHAR(10),B667)</f>
        <v>:
</v>
      </c>
    </row>
    <row r="668">
      <c r="A668" s="40"/>
      <c r="B668" s="40"/>
      <c r="C668" s="40" t="str">
        <f t="array" ref="C668">concatenate(A668,":",CHAR(10),B668)</f>
        <v>:
</v>
      </c>
    </row>
    <row r="669">
      <c r="A669" s="40"/>
      <c r="B669" s="40"/>
      <c r="C669" s="40" t="str">
        <f t="array" ref="C669">concatenate(A669,":",CHAR(10),B669)</f>
        <v>:
</v>
      </c>
    </row>
    <row r="670">
      <c r="A670" s="40"/>
      <c r="B670" s="40"/>
      <c r="C670" s="40" t="str">
        <f t="array" ref="C670">concatenate(A670,":",CHAR(10),B670)</f>
        <v>:
</v>
      </c>
    </row>
    <row r="671">
      <c r="A671" s="40"/>
      <c r="B671" s="40"/>
      <c r="C671" s="40" t="str">
        <f t="array" ref="C671">concatenate(A671,":",CHAR(10),B671)</f>
        <v>:
</v>
      </c>
    </row>
    <row r="672">
      <c r="A672" s="40"/>
      <c r="B672" s="40"/>
      <c r="C672" s="40" t="str">
        <f t="array" ref="C672">concatenate(A672,":",CHAR(10),B672)</f>
        <v>:
</v>
      </c>
    </row>
    <row r="673">
      <c r="A673" s="40"/>
      <c r="B673" s="40"/>
      <c r="C673" s="40" t="str">
        <f t="array" ref="C673">concatenate(A673,":",CHAR(10),B673)</f>
        <v>:
</v>
      </c>
    </row>
    <row r="674">
      <c r="A674" s="40"/>
      <c r="B674" s="40"/>
      <c r="C674" s="40" t="str">
        <f t="array" ref="C674">concatenate(A674,":",CHAR(10),B674)</f>
        <v>:
</v>
      </c>
    </row>
    <row r="675">
      <c r="A675" s="40"/>
      <c r="B675" s="40"/>
      <c r="C675" s="40" t="str">
        <f t="array" ref="C675">concatenate(A675,":",CHAR(10),B675)</f>
        <v>:
</v>
      </c>
    </row>
    <row r="676">
      <c r="A676" s="40"/>
      <c r="B676" s="40"/>
      <c r="C676" s="40" t="str">
        <f t="array" ref="C676">concatenate(A676,":",CHAR(10),B676)</f>
        <v>:
</v>
      </c>
    </row>
    <row r="677">
      <c r="A677" s="40"/>
      <c r="B677" s="40"/>
      <c r="C677" s="40" t="str">
        <f t="array" ref="C677">concatenate(A677,":",CHAR(10),B677)</f>
        <v>:
</v>
      </c>
    </row>
    <row r="678">
      <c r="A678" s="40"/>
      <c r="B678" s="40"/>
      <c r="C678" s="40" t="str">
        <f t="array" ref="C678">concatenate(A678,":",CHAR(10),B678)</f>
        <v>:
</v>
      </c>
    </row>
    <row r="679">
      <c r="A679" s="40"/>
      <c r="B679" s="40"/>
      <c r="C679" s="40" t="str">
        <f t="array" ref="C679">concatenate(A679,":",CHAR(10),B679)</f>
        <v>:
</v>
      </c>
    </row>
    <row r="680">
      <c r="A680" s="40"/>
      <c r="B680" s="40"/>
      <c r="C680" s="40" t="str">
        <f t="array" ref="C680">concatenate(A680,":",CHAR(10),B680)</f>
        <v>:
</v>
      </c>
    </row>
    <row r="681">
      <c r="A681" s="40"/>
      <c r="B681" s="40"/>
      <c r="C681" s="40" t="str">
        <f t="array" ref="C681">concatenate(A681,":",CHAR(10),B681)</f>
        <v>:
</v>
      </c>
    </row>
    <row r="682">
      <c r="A682" s="40"/>
      <c r="B682" s="40"/>
      <c r="C682" s="40" t="str">
        <f t="array" ref="C682">concatenate(A682,":",CHAR(10),B682)</f>
        <v>:
</v>
      </c>
    </row>
    <row r="683">
      <c r="A683" s="40"/>
      <c r="B683" s="40"/>
      <c r="C683" s="40" t="str">
        <f t="array" ref="C683">concatenate(A683,":",CHAR(10),B683)</f>
        <v>:
</v>
      </c>
    </row>
    <row r="684">
      <c r="A684" s="40"/>
      <c r="B684" s="40"/>
      <c r="C684" s="40" t="str">
        <f t="array" ref="C684">concatenate(A684,":",CHAR(10),B684)</f>
        <v>:
</v>
      </c>
    </row>
    <row r="685">
      <c r="A685" s="40"/>
      <c r="B685" s="40"/>
      <c r="C685" s="40" t="str">
        <f t="array" ref="C685">concatenate(A685,":",CHAR(10),B685)</f>
        <v>:
</v>
      </c>
    </row>
    <row r="686">
      <c r="A686" s="40"/>
      <c r="B686" s="40"/>
      <c r="C686" s="40" t="str">
        <f t="array" ref="C686">concatenate(A686,":",CHAR(10),B686)</f>
        <v>:
</v>
      </c>
    </row>
    <row r="687">
      <c r="A687" s="40"/>
      <c r="B687" s="40"/>
      <c r="C687" s="40" t="str">
        <f t="array" ref="C687">concatenate(A687,":",CHAR(10),B687)</f>
        <v>:
</v>
      </c>
    </row>
    <row r="688">
      <c r="A688" s="40"/>
      <c r="B688" s="40"/>
      <c r="C688" s="40" t="str">
        <f t="array" ref="C688">concatenate(A688,":",CHAR(10),B688)</f>
        <v>:
</v>
      </c>
    </row>
    <row r="689">
      <c r="A689" s="40"/>
      <c r="B689" s="40"/>
      <c r="C689" s="40" t="str">
        <f t="array" ref="C689">concatenate(A689,":",CHAR(10),B689)</f>
        <v>:
</v>
      </c>
    </row>
    <row r="690">
      <c r="A690" s="40"/>
      <c r="B690" s="40"/>
      <c r="C690" s="40" t="str">
        <f t="array" ref="C690">concatenate(A690,":",CHAR(10),B690)</f>
        <v>:
</v>
      </c>
    </row>
    <row r="691">
      <c r="A691" s="40"/>
      <c r="B691" s="40"/>
      <c r="C691" s="40" t="str">
        <f t="array" ref="C691">concatenate(A691,":",CHAR(10),B691)</f>
        <v>:
</v>
      </c>
    </row>
    <row r="692">
      <c r="A692" s="40"/>
      <c r="B692" s="40"/>
      <c r="C692" s="40" t="str">
        <f t="array" ref="C692">concatenate(A692,":",CHAR(10),B692)</f>
        <v>:
</v>
      </c>
    </row>
    <row r="693">
      <c r="A693" s="40"/>
      <c r="B693" s="40"/>
      <c r="C693" s="40" t="str">
        <f t="array" ref="C693">concatenate(A693,":",CHAR(10),B693)</f>
        <v>:
</v>
      </c>
    </row>
    <row r="694">
      <c r="A694" s="40"/>
      <c r="B694" s="40"/>
      <c r="C694" s="40" t="str">
        <f t="array" ref="C694">concatenate(A694,":",CHAR(10),B694)</f>
        <v>:
</v>
      </c>
    </row>
    <row r="695">
      <c r="A695" s="40"/>
      <c r="B695" s="40"/>
      <c r="C695" s="40" t="str">
        <f t="array" ref="C695">concatenate(A695,":",CHAR(10),B695)</f>
        <v>:
</v>
      </c>
    </row>
    <row r="696">
      <c r="A696" s="40"/>
      <c r="B696" s="40"/>
      <c r="C696" s="40" t="str">
        <f t="array" ref="C696">concatenate(A696,":",CHAR(10),B696)</f>
        <v>:
</v>
      </c>
    </row>
    <row r="697">
      <c r="A697" s="40"/>
      <c r="B697" s="40"/>
      <c r="C697" s="40" t="str">
        <f t="array" ref="C697">concatenate(A697,":",CHAR(10),B697)</f>
        <v>:
</v>
      </c>
    </row>
    <row r="698">
      <c r="A698" s="40"/>
      <c r="B698" s="40"/>
      <c r="C698" s="40" t="str">
        <f t="array" ref="C698">concatenate(A698,":",CHAR(10),B698)</f>
        <v>:
</v>
      </c>
    </row>
    <row r="699">
      <c r="A699" s="40"/>
      <c r="B699" s="40"/>
      <c r="C699" s="40" t="str">
        <f t="array" ref="C699">concatenate(A699,":",CHAR(10),B699)</f>
        <v>:
</v>
      </c>
    </row>
    <row r="700">
      <c r="A700" s="40"/>
      <c r="B700" s="40"/>
      <c r="C700" s="40" t="str">
        <f t="array" ref="C700">concatenate(A700,":",CHAR(10),B700)</f>
        <v>:
</v>
      </c>
    </row>
    <row r="701">
      <c r="A701" s="40"/>
      <c r="B701" s="40"/>
      <c r="C701" s="40" t="str">
        <f t="array" ref="C701">concatenate(A701,":",CHAR(10),B701)</f>
        <v>:
</v>
      </c>
    </row>
    <row r="702">
      <c r="A702" s="40"/>
      <c r="B702" s="40"/>
      <c r="C702" s="40" t="str">
        <f t="array" ref="C702">concatenate(A702,":",CHAR(10),B702)</f>
        <v>:
</v>
      </c>
    </row>
    <row r="703">
      <c r="A703" s="40"/>
      <c r="B703" s="40"/>
      <c r="C703" s="40" t="str">
        <f t="array" ref="C703">concatenate(A703,":",CHAR(10),B703)</f>
        <v>:
</v>
      </c>
    </row>
    <row r="704">
      <c r="A704" s="40"/>
      <c r="B704" s="40"/>
      <c r="C704" s="40" t="str">
        <f t="array" ref="C704">concatenate(A704,":",CHAR(10),B704)</f>
        <v>:
</v>
      </c>
    </row>
    <row r="705">
      <c r="A705" s="40"/>
      <c r="B705" s="40"/>
      <c r="C705" s="40" t="str">
        <f t="array" ref="C705">concatenate(A705,":",CHAR(10),B705)</f>
        <v>:
</v>
      </c>
    </row>
    <row r="706">
      <c r="A706" s="40"/>
      <c r="B706" s="40"/>
      <c r="C706" s="40" t="str">
        <f t="array" ref="C706">concatenate(A706,":",CHAR(10),B706)</f>
        <v>:
</v>
      </c>
    </row>
    <row r="707">
      <c r="A707" s="40"/>
      <c r="B707" s="40"/>
      <c r="C707" s="40" t="str">
        <f t="array" ref="C707">concatenate(A707,":",CHAR(10),B707)</f>
        <v>:
</v>
      </c>
    </row>
    <row r="708">
      <c r="A708" s="40"/>
      <c r="B708" s="40"/>
      <c r="C708" s="40" t="str">
        <f t="array" ref="C708">concatenate(A708,":",CHAR(10),B708)</f>
        <v>:
</v>
      </c>
    </row>
    <row r="709">
      <c r="A709" s="40"/>
      <c r="B709" s="40"/>
      <c r="C709" s="40" t="str">
        <f t="array" ref="C709">concatenate(A709,":",CHAR(10),B709)</f>
        <v>:
</v>
      </c>
    </row>
    <row r="710">
      <c r="A710" s="40"/>
      <c r="B710" s="40"/>
      <c r="C710" s="40" t="str">
        <f t="array" ref="C710">concatenate(A710,":",CHAR(10),B710)</f>
        <v>:
</v>
      </c>
    </row>
    <row r="711">
      <c r="A711" s="40"/>
      <c r="B711" s="40"/>
      <c r="C711" s="40" t="str">
        <f t="array" ref="C711">concatenate(A711,":",CHAR(10),B711)</f>
        <v>:
</v>
      </c>
    </row>
    <row r="712">
      <c r="A712" s="40"/>
      <c r="B712" s="40"/>
      <c r="C712" s="40" t="str">
        <f t="array" ref="C712">concatenate(A712,":",CHAR(10),B712)</f>
        <v>:
</v>
      </c>
    </row>
    <row r="713">
      <c r="A713" s="40"/>
      <c r="B713" s="40"/>
      <c r="C713" s="40" t="str">
        <f t="array" ref="C713">concatenate(A713,":",CHAR(10),B713)</f>
        <v>:
</v>
      </c>
    </row>
    <row r="714">
      <c r="A714" s="40"/>
      <c r="B714" s="40"/>
      <c r="C714" s="40" t="str">
        <f t="array" ref="C714">concatenate(A714,":",CHAR(10),B714)</f>
        <v>:
</v>
      </c>
    </row>
    <row r="715">
      <c r="A715" s="40"/>
      <c r="B715" s="40"/>
      <c r="C715" s="40" t="str">
        <f t="array" ref="C715">concatenate(A715,":",CHAR(10),B715)</f>
        <v>:
</v>
      </c>
    </row>
    <row r="716">
      <c r="A716" s="40"/>
      <c r="B716" s="40"/>
      <c r="C716" s="40" t="str">
        <f t="array" ref="C716">concatenate(A716,":",CHAR(10),B716)</f>
        <v>:
</v>
      </c>
    </row>
    <row r="717">
      <c r="A717" s="40"/>
      <c r="B717" s="40"/>
      <c r="C717" s="40" t="str">
        <f t="array" ref="C717">concatenate(A717,":",CHAR(10),B717)</f>
        <v>:
</v>
      </c>
    </row>
    <row r="718">
      <c r="A718" s="40"/>
      <c r="B718" s="40"/>
      <c r="C718" s="40" t="str">
        <f t="array" ref="C718">concatenate(A718,":",CHAR(10),B718)</f>
        <v>:
</v>
      </c>
    </row>
    <row r="719">
      <c r="A719" s="40"/>
      <c r="B719" s="40"/>
      <c r="C719" s="40" t="str">
        <f t="array" ref="C719">concatenate(A719,":",CHAR(10),B719)</f>
        <v>:
</v>
      </c>
    </row>
    <row r="720">
      <c r="A720" s="40"/>
      <c r="B720" s="40"/>
      <c r="C720" s="40" t="str">
        <f t="array" ref="C720">concatenate(A720,":",CHAR(10),B720)</f>
        <v>:
</v>
      </c>
    </row>
    <row r="721">
      <c r="A721" s="40"/>
      <c r="B721" s="40"/>
      <c r="C721" s="40" t="str">
        <f t="array" ref="C721">concatenate(A721,":",CHAR(10),B721)</f>
        <v>:
</v>
      </c>
    </row>
    <row r="722">
      <c r="A722" s="40"/>
      <c r="B722" s="40"/>
      <c r="C722" s="40" t="str">
        <f t="array" ref="C722">concatenate(A722,":",CHAR(10),B722)</f>
        <v>:
</v>
      </c>
    </row>
    <row r="723">
      <c r="A723" s="40"/>
      <c r="B723" s="40"/>
      <c r="C723" s="40" t="str">
        <f t="array" ref="C723">concatenate(A723,":",CHAR(10),B723)</f>
        <v>:
</v>
      </c>
    </row>
    <row r="724">
      <c r="A724" s="40"/>
      <c r="B724" s="40"/>
      <c r="C724" s="40" t="str">
        <f t="array" ref="C724">concatenate(A724,":",CHAR(10),B724)</f>
        <v>:
</v>
      </c>
    </row>
    <row r="725">
      <c r="A725" s="40"/>
      <c r="B725" s="40"/>
      <c r="C725" s="40" t="str">
        <f t="array" ref="C725">concatenate(A725,":",CHAR(10),B725)</f>
        <v>:
</v>
      </c>
    </row>
    <row r="726">
      <c r="A726" s="40"/>
      <c r="B726" s="40"/>
      <c r="C726" s="40" t="str">
        <f t="array" ref="C726">concatenate(A726,":",CHAR(10),B726)</f>
        <v>:
</v>
      </c>
    </row>
    <row r="727">
      <c r="A727" s="40"/>
      <c r="B727" s="40"/>
      <c r="C727" s="40" t="str">
        <f t="array" ref="C727">concatenate(A727,":",CHAR(10),B727)</f>
        <v>:
</v>
      </c>
    </row>
    <row r="728">
      <c r="A728" s="40"/>
      <c r="B728" s="40"/>
      <c r="C728" s="40" t="str">
        <f t="array" ref="C728">concatenate(A728,":",CHAR(10),B728)</f>
        <v>:
</v>
      </c>
    </row>
    <row r="729">
      <c r="A729" s="40"/>
      <c r="B729" s="40"/>
      <c r="C729" s="40" t="str">
        <f t="array" ref="C729">concatenate(A729,":",CHAR(10),B729)</f>
        <v>:
</v>
      </c>
    </row>
    <row r="730">
      <c r="A730" s="40"/>
      <c r="B730" s="40"/>
      <c r="C730" s="40" t="str">
        <f t="array" ref="C730">concatenate(A730,":",CHAR(10),B730)</f>
        <v>:
</v>
      </c>
    </row>
    <row r="731">
      <c r="A731" s="40"/>
      <c r="B731" s="40"/>
      <c r="C731" s="40" t="str">
        <f t="array" ref="C731">concatenate(A731,":",CHAR(10),B731)</f>
        <v>:
</v>
      </c>
    </row>
    <row r="732">
      <c r="A732" s="40"/>
      <c r="B732" s="40"/>
      <c r="C732" s="40" t="str">
        <f t="array" ref="C732">concatenate(A732,":",CHAR(10),B732)</f>
        <v>:
</v>
      </c>
    </row>
    <row r="733">
      <c r="A733" s="40"/>
      <c r="B733" s="40"/>
      <c r="C733" s="40" t="str">
        <f t="array" ref="C733">concatenate(A733,":",CHAR(10),B733)</f>
        <v>:
</v>
      </c>
    </row>
    <row r="734">
      <c r="A734" s="40"/>
      <c r="B734" s="40"/>
      <c r="C734" s="40" t="str">
        <f t="array" ref="C734">concatenate(A734,":",CHAR(10),B734)</f>
        <v>:
</v>
      </c>
    </row>
    <row r="735">
      <c r="A735" s="40"/>
      <c r="B735" s="40"/>
      <c r="C735" s="40" t="str">
        <f t="array" ref="C735">concatenate(A735,":",CHAR(10),B735)</f>
        <v>:
</v>
      </c>
    </row>
    <row r="736">
      <c r="A736" s="40"/>
      <c r="B736" s="40"/>
      <c r="C736" s="40" t="str">
        <f t="array" ref="C736">concatenate(A736,":",CHAR(10),B736)</f>
        <v>:
</v>
      </c>
    </row>
    <row r="737">
      <c r="A737" s="40"/>
      <c r="B737" s="40"/>
      <c r="C737" s="40" t="str">
        <f t="array" ref="C737">concatenate(A737,":",CHAR(10),B737)</f>
        <v>:
</v>
      </c>
    </row>
    <row r="738">
      <c r="A738" s="40"/>
      <c r="B738" s="40"/>
      <c r="C738" s="40" t="str">
        <f t="array" ref="C738">concatenate(A738,":",CHAR(10),B738)</f>
        <v>:
</v>
      </c>
    </row>
    <row r="739">
      <c r="A739" s="40"/>
      <c r="B739" s="40"/>
      <c r="C739" s="40" t="str">
        <f t="array" ref="C739">concatenate(A739,":",CHAR(10),B739)</f>
        <v>:
</v>
      </c>
    </row>
    <row r="740">
      <c r="A740" s="40"/>
      <c r="B740" s="40"/>
      <c r="C740" s="40" t="str">
        <f t="array" ref="C740">concatenate(A740,":",CHAR(10),B740)</f>
        <v>:
</v>
      </c>
    </row>
    <row r="741">
      <c r="A741" s="40"/>
      <c r="B741" s="40"/>
      <c r="C741" s="40" t="str">
        <f t="array" ref="C741">concatenate(A741,":",CHAR(10),B741)</f>
        <v>:
</v>
      </c>
    </row>
    <row r="742">
      <c r="A742" s="40"/>
      <c r="B742" s="40"/>
      <c r="C742" s="40" t="str">
        <f t="array" ref="C742">concatenate(A742,":",CHAR(10),B742)</f>
        <v>:
</v>
      </c>
    </row>
    <row r="743">
      <c r="A743" s="40"/>
      <c r="B743" s="40"/>
      <c r="C743" s="40" t="str">
        <f t="array" ref="C743">concatenate(A743,":",CHAR(10),B743)</f>
        <v>:
</v>
      </c>
    </row>
    <row r="744">
      <c r="A744" s="40"/>
      <c r="B744" s="40"/>
      <c r="C744" s="40" t="str">
        <f t="array" ref="C744">concatenate(A744,":",CHAR(10),B744)</f>
        <v>:
</v>
      </c>
    </row>
    <row r="745">
      <c r="A745" s="40"/>
      <c r="B745" s="40"/>
      <c r="C745" s="40" t="str">
        <f t="array" ref="C745">concatenate(A745,":",CHAR(10),B745)</f>
        <v>:
</v>
      </c>
    </row>
    <row r="746">
      <c r="A746" s="40"/>
      <c r="B746" s="40"/>
      <c r="C746" s="40" t="str">
        <f t="array" ref="C746">concatenate(A746,":",CHAR(10),B746)</f>
        <v>:
</v>
      </c>
    </row>
    <row r="747">
      <c r="A747" s="40"/>
      <c r="B747" s="40"/>
      <c r="C747" s="40" t="str">
        <f t="array" ref="C747">concatenate(A747,":",CHAR(10),B747)</f>
        <v>:
</v>
      </c>
    </row>
    <row r="748">
      <c r="A748" s="40"/>
      <c r="B748" s="40"/>
      <c r="C748" s="40" t="str">
        <f t="array" ref="C748">concatenate(A748,":",CHAR(10),B748)</f>
        <v>:
</v>
      </c>
    </row>
    <row r="749">
      <c r="A749" s="40"/>
      <c r="B749" s="40"/>
      <c r="C749" s="40" t="str">
        <f t="array" ref="C749">concatenate(A749,":",CHAR(10),B749)</f>
        <v>:
</v>
      </c>
    </row>
    <row r="750">
      <c r="A750" s="40"/>
      <c r="B750" s="40"/>
      <c r="C750" s="40" t="str">
        <f t="array" ref="C750">concatenate(A750,":",CHAR(10),B750)</f>
        <v>:
</v>
      </c>
    </row>
    <row r="751">
      <c r="A751" s="40"/>
      <c r="B751" s="40"/>
      <c r="C751" s="40" t="str">
        <f t="array" ref="C751">concatenate(A751,":",CHAR(10),B751)</f>
        <v>:
</v>
      </c>
    </row>
    <row r="752">
      <c r="A752" s="40"/>
      <c r="B752" s="40"/>
      <c r="C752" s="40" t="str">
        <f t="array" ref="C752">concatenate(A752,":",CHAR(10),B752)</f>
        <v>:
</v>
      </c>
    </row>
    <row r="753">
      <c r="A753" s="40"/>
      <c r="B753" s="40"/>
      <c r="C753" s="40" t="str">
        <f t="array" ref="C753">concatenate(A753,":",CHAR(10),B753)</f>
        <v>:
</v>
      </c>
    </row>
    <row r="754">
      <c r="A754" s="40"/>
      <c r="B754" s="40"/>
      <c r="C754" s="40" t="str">
        <f t="array" ref="C754">concatenate(A754,":",CHAR(10),B754)</f>
        <v>:
</v>
      </c>
    </row>
    <row r="755">
      <c r="A755" s="40"/>
      <c r="B755" s="40"/>
      <c r="C755" s="40" t="str">
        <f t="array" ref="C755">concatenate(A755,":",CHAR(10),B755)</f>
        <v>:
</v>
      </c>
    </row>
    <row r="756">
      <c r="A756" s="40"/>
      <c r="B756" s="40"/>
      <c r="C756" s="40" t="str">
        <f t="array" ref="C756">concatenate(A756,":",CHAR(10),B756)</f>
        <v>:
</v>
      </c>
    </row>
    <row r="757">
      <c r="A757" s="40"/>
      <c r="B757" s="40"/>
      <c r="C757" s="40" t="str">
        <f t="array" ref="C757">concatenate(A757,":",CHAR(10),B757)</f>
        <v>:
</v>
      </c>
    </row>
    <row r="758">
      <c r="A758" s="40"/>
      <c r="B758" s="40"/>
      <c r="C758" s="40" t="str">
        <f t="array" ref="C758">concatenate(A758,":",CHAR(10),B758)</f>
        <v>:
</v>
      </c>
    </row>
    <row r="759">
      <c r="A759" s="40"/>
      <c r="B759" s="40"/>
      <c r="C759" s="40" t="str">
        <f t="array" ref="C759">concatenate(A759,":",CHAR(10),B759)</f>
        <v>:
</v>
      </c>
    </row>
    <row r="760">
      <c r="A760" s="40"/>
      <c r="B760" s="40"/>
      <c r="C760" s="40" t="str">
        <f t="array" ref="C760">concatenate(A760,":",CHAR(10),B760)</f>
        <v>:
</v>
      </c>
    </row>
    <row r="761">
      <c r="A761" s="40"/>
      <c r="B761" s="40"/>
      <c r="C761" s="40" t="str">
        <f t="array" ref="C761">concatenate(A761,":",CHAR(10),B761)</f>
        <v>:
</v>
      </c>
    </row>
    <row r="762">
      <c r="A762" s="40"/>
      <c r="B762" s="40"/>
      <c r="C762" s="40" t="str">
        <f t="array" ref="C762">concatenate(A762,":",CHAR(10),B762)</f>
        <v>:
</v>
      </c>
    </row>
    <row r="763">
      <c r="A763" s="40"/>
      <c r="B763" s="40"/>
      <c r="C763" s="40" t="str">
        <f t="array" ref="C763">concatenate(A763,":",CHAR(10),B763)</f>
        <v>:
</v>
      </c>
    </row>
    <row r="764">
      <c r="A764" s="40"/>
      <c r="B764" s="40"/>
      <c r="C764" s="40" t="str">
        <f t="array" ref="C764">concatenate(A764,":",CHAR(10),B764)</f>
        <v>:
</v>
      </c>
    </row>
    <row r="765">
      <c r="A765" s="40"/>
      <c r="B765" s="40"/>
      <c r="C765" s="40" t="str">
        <f t="array" ref="C765">concatenate(A765,":",CHAR(10),B765)</f>
        <v>:
</v>
      </c>
    </row>
    <row r="766">
      <c r="A766" s="40"/>
      <c r="B766" s="40"/>
      <c r="C766" s="40" t="str">
        <f t="array" ref="C766">concatenate(A766,":",CHAR(10),B766)</f>
        <v>:
</v>
      </c>
    </row>
    <row r="767">
      <c r="A767" s="40"/>
      <c r="B767" s="40"/>
      <c r="C767" s="40" t="str">
        <f t="array" ref="C767">concatenate(A767,":",CHAR(10),B767)</f>
        <v>:
</v>
      </c>
    </row>
    <row r="768">
      <c r="A768" s="40"/>
      <c r="B768" s="40"/>
      <c r="C768" s="40" t="str">
        <f t="array" ref="C768">concatenate(A768,":",CHAR(10),B768)</f>
        <v>:
</v>
      </c>
    </row>
    <row r="769">
      <c r="A769" s="40"/>
      <c r="B769" s="40"/>
      <c r="C769" s="40" t="str">
        <f t="array" ref="C769">concatenate(A769,":",CHAR(10),B769)</f>
        <v>:
</v>
      </c>
    </row>
    <row r="770">
      <c r="A770" s="40"/>
      <c r="B770" s="40"/>
      <c r="C770" s="40" t="str">
        <f t="array" ref="C770">concatenate(A770,":",CHAR(10),B770)</f>
        <v>:
</v>
      </c>
    </row>
    <row r="771">
      <c r="A771" s="40"/>
      <c r="B771" s="40"/>
      <c r="C771" s="40" t="str">
        <f t="array" ref="C771">concatenate(A771,":",CHAR(10),B771)</f>
        <v>:
</v>
      </c>
    </row>
    <row r="772">
      <c r="A772" s="40"/>
      <c r="B772" s="40"/>
      <c r="C772" s="40" t="str">
        <f t="array" ref="C772">concatenate(A772,":",CHAR(10),B772)</f>
        <v>:
</v>
      </c>
    </row>
    <row r="773">
      <c r="A773" s="40"/>
      <c r="B773" s="40"/>
      <c r="C773" s="40" t="str">
        <f t="array" ref="C773">concatenate(A773,":",CHAR(10),B773)</f>
        <v>:
</v>
      </c>
    </row>
    <row r="774">
      <c r="A774" s="40"/>
      <c r="B774" s="40"/>
      <c r="C774" s="40" t="str">
        <f t="array" ref="C774">concatenate(A774,":",CHAR(10),B774)</f>
        <v>:
</v>
      </c>
    </row>
    <row r="775">
      <c r="A775" s="40"/>
      <c r="B775" s="40"/>
      <c r="C775" s="40" t="str">
        <f t="array" ref="C775">concatenate(A775,":",CHAR(10),B775)</f>
        <v>:
</v>
      </c>
    </row>
    <row r="776">
      <c r="A776" s="40"/>
      <c r="B776" s="40"/>
      <c r="C776" s="40" t="str">
        <f t="array" ref="C776">concatenate(A776,":",CHAR(10),B776)</f>
        <v>:
</v>
      </c>
    </row>
    <row r="777">
      <c r="A777" s="40"/>
      <c r="B777" s="40"/>
      <c r="C777" s="40" t="str">
        <f t="array" ref="C777">concatenate(A777,":",CHAR(10),B777)</f>
        <v>:
</v>
      </c>
    </row>
    <row r="778">
      <c r="A778" s="40"/>
      <c r="B778" s="40"/>
      <c r="C778" s="40" t="str">
        <f t="array" ref="C778">concatenate(A778,":",CHAR(10),B778)</f>
        <v>:
</v>
      </c>
    </row>
    <row r="779">
      <c r="A779" s="40"/>
      <c r="B779" s="40"/>
      <c r="C779" s="40" t="str">
        <f t="array" ref="C779">concatenate(A779,":",CHAR(10),B779)</f>
        <v>:
</v>
      </c>
    </row>
    <row r="780">
      <c r="A780" s="40"/>
      <c r="B780" s="40"/>
      <c r="C780" s="40" t="str">
        <f t="array" ref="C780">concatenate(A780,":",CHAR(10),B780)</f>
        <v>:
</v>
      </c>
    </row>
    <row r="781">
      <c r="A781" s="40"/>
      <c r="B781" s="40"/>
      <c r="C781" s="40" t="str">
        <f t="array" ref="C781">concatenate(A781,":",CHAR(10),B781)</f>
        <v>:
</v>
      </c>
    </row>
    <row r="782">
      <c r="A782" s="40"/>
      <c r="B782" s="40"/>
      <c r="C782" s="40" t="str">
        <f t="array" ref="C782">concatenate(A782,":",CHAR(10),B782)</f>
        <v>:
</v>
      </c>
    </row>
    <row r="783">
      <c r="A783" s="40"/>
      <c r="B783" s="40"/>
      <c r="C783" s="40" t="str">
        <f t="array" ref="C783">concatenate(A783,":",CHAR(10),B783)</f>
        <v>:
</v>
      </c>
    </row>
    <row r="784">
      <c r="A784" s="40"/>
      <c r="B784" s="40"/>
      <c r="C784" s="40" t="str">
        <f t="array" ref="C784">concatenate(A784,":",CHAR(10),B784)</f>
        <v>:
</v>
      </c>
    </row>
    <row r="785">
      <c r="A785" s="40"/>
      <c r="B785" s="40"/>
      <c r="C785" s="40" t="str">
        <f t="array" ref="C785">concatenate(A785,":",CHAR(10),B785)</f>
        <v>:
</v>
      </c>
    </row>
    <row r="786">
      <c r="A786" s="40"/>
      <c r="B786" s="40"/>
      <c r="C786" s="40" t="str">
        <f t="array" ref="C786">concatenate(A786,":",CHAR(10),B786)</f>
        <v>:
</v>
      </c>
    </row>
    <row r="787">
      <c r="A787" s="40"/>
      <c r="B787" s="40"/>
      <c r="C787" s="40" t="str">
        <f t="array" ref="C787">concatenate(A787,":",CHAR(10),B787)</f>
        <v>:
</v>
      </c>
    </row>
    <row r="788">
      <c r="A788" s="40"/>
      <c r="B788" s="40"/>
      <c r="C788" s="40" t="str">
        <f t="array" ref="C788">concatenate(A788,":",CHAR(10),B788)</f>
        <v>:
</v>
      </c>
    </row>
    <row r="789">
      <c r="A789" s="40"/>
      <c r="B789" s="40"/>
      <c r="C789" s="40" t="str">
        <f t="array" ref="C789">concatenate(A789,":",CHAR(10),B789)</f>
        <v>:
</v>
      </c>
    </row>
    <row r="790">
      <c r="A790" s="40"/>
      <c r="B790" s="40"/>
      <c r="C790" s="40" t="str">
        <f t="array" ref="C790">concatenate(A790,":",CHAR(10),B790)</f>
        <v>:
</v>
      </c>
    </row>
    <row r="791">
      <c r="A791" s="40"/>
      <c r="B791" s="40"/>
      <c r="C791" s="40" t="str">
        <f t="array" ref="C791">concatenate(A791,":",CHAR(10),B791)</f>
        <v>:
</v>
      </c>
    </row>
    <row r="792">
      <c r="A792" s="40"/>
      <c r="B792" s="40"/>
      <c r="C792" s="40" t="str">
        <f t="array" ref="C792">concatenate(A792,":",CHAR(10),B792)</f>
        <v>:
</v>
      </c>
    </row>
    <row r="793">
      <c r="A793" s="40"/>
      <c r="B793" s="40"/>
      <c r="C793" s="40" t="str">
        <f t="array" ref="C793">concatenate(A793,":",CHAR(10),B793)</f>
        <v>:
</v>
      </c>
    </row>
    <row r="794">
      <c r="A794" s="40"/>
      <c r="B794" s="40"/>
      <c r="C794" s="40" t="str">
        <f t="array" ref="C794">concatenate(A794,":",CHAR(10),B794)</f>
        <v>:
</v>
      </c>
    </row>
    <row r="795">
      <c r="A795" s="40"/>
      <c r="B795" s="40"/>
      <c r="C795" s="40" t="str">
        <f t="array" ref="C795">concatenate(A795,":",CHAR(10),B795)</f>
        <v>:
</v>
      </c>
    </row>
    <row r="796">
      <c r="A796" s="40"/>
      <c r="B796" s="40"/>
      <c r="C796" s="40" t="str">
        <f t="array" ref="C796">concatenate(A796,":",CHAR(10),B796)</f>
        <v>:
</v>
      </c>
    </row>
    <row r="797">
      <c r="A797" s="40"/>
      <c r="B797" s="40"/>
      <c r="C797" s="40" t="str">
        <f t="array" ref="C797">concatenate(A797,":",CHAR(10),B797)</f>
        <v>:
</v>
      </c>
    </row>
    <row r="798">
      <c r="A798" s="40"/>
      <c r="B798" s="40"/>
      <c r="C798" s="40" t="str">
        <f t="array" ref="C798">concatenate(A798,":",CHAR(10),B798)</f>
        <v>:
</v>
      </c>
    </row>
    <row r="799">
      <c r="A799" s="40"/>
      <c r="B799" s="40"/>
      <c r="C799" s="40" t="str">
        <f t="array" ref="C799">concatenate(A799,":",CHAR(10),B799)</f>
        <v>:
</v>
      </c>
    </row>
    <row r="800">
      <c r="A800" s="40"/>
      <c r="B800" s="40"/>
      <c r="C800" s="40" t="str">
        <f t="array" ref="C800">concatenate(A800,":",CHAR(10),B800)</f>
        <v>:
</v>
      </c>
    </row>
    <row r="801">
      <c r="A801" s="40"/>
      <c r="B801" s="40"/>
      <c r="C801" s="40" t="str">
        <f t="array" ref="C801">concatenate(A801,":",CHAR(10),B801)</f>
        <v>:
</v>
      </c>
    </row>
    <row r="802">
      <c r="A802" s="40"/>
      <c r="B802" s="40"/>
      <c r="C802" s="40" t="str">
        <f t="array" ref="C802">concatenate(A802,":",CHAR(10),B802)</f>
        <v>:
</v>
      </c>
    </row>
    <row r="803">
      <c r="A803" s="40"/>
      <c r="B803" s="40"/>
      <c r="C803" s="40" t="str">
        <f t="array" ref="C803">concatenate(A803,":",CHAR(10),B803)</f>
        <v>:
</v>
      </c>
    </row>
    <row r="804">
      <c r="A804" s="40"/>
      <c r="B804" s="40"/>
      <c r="C804" s="40" t="str">
        <f t="array" ref="C804">concatenate(A804,":",CHAR(10),B804)</f>
        <v>:
</v>
      </c>
    </row>
    <row r="805">
      <c r="A805" s="40"/>
      <c r="B805" s="40"/>
      <c r="C805" s="40" t="str">
        <f t="array" ref="C805">concatenate(A805,":",CHAR(10),B805)</f>
        <v>:
</v>
      </c>
    </row>
    <row r="806">
      <c r="A806" s="40"/>
      <c r="B806" s="40"/>
      <c r="C806" s="40" t="str">
        <f t="array" ref="C806">concatenate(A806,":",CHAR(10),B806)</f>
        <v>:
</v>
      </c>
    </row>
    <row r="807">
      <c r="A807" s="40"/>
      <c r="B807" s="40"/>
      <c r="C807" s="40" t="str">
        <f t="array" ref="C807">concatenate(A807,":",CHAR(10),B807)</f>
        <v>:
</v>
      </c>
    </row>
    <row r="808">
      <c r="A808" s="40"/>
      <c r="B808" s="40"/>
      <c r="C808" s="40" t="str">
        <f t="array" ref="C808">concatenate(A808,":",CHAR(10),B808)</f>
        <v>:
</v>
      </c>
    </row>
    <row r="809">
      <c r="A809" s="40"/>
      <c r="B809" s="40"/>
      <c r="C809" s="40" t="str">
        <f t="array" ref="C809">concatenate(A809,":",CHAR(10),B809)</f>
        <v>:
</v>
      </c>
    </row>
    <row r="810">
      <c r="A810" s="40"/>
      <c r="B810" s="40"/>
      <c r="C810" s="40" t="str">
        <f t="array" ref="C810">concatenate(A810,":",CHAR(10),B810)</f>
        <v>:
</v>
      </c>
    </row>
    <row r="811">
      <c r="A811" s="40"/>
      <c r="B811" s="40"/>
      <c r="C811" s="40" t="str">
        <f t="array" ref="C811">concatenate(A811,":",CHAR(10),B811)</f>
        <v>:
</v>
      </c>
    </row>
    <row r="812">
      <c r="A812" s="40"/>
      <c r="B812" s="40"/>
      <c r="C812" s="40" t="str">
        <f t="array" ref="C812">concatenate(A812,":",CHAR(10),B812)</f>
        <v>:
</v>
      </c>
    </row>
    <row r="813">
      <c r="A813" s="40"/>
      <c r="B813" s="40"/>
      <c r="C813" s="40" t="str">
        <f t="array" ref="C813">concatenate(A813,":",CHAR(10),B813)</f>
        <v>:
</v>
      </c>
    </row>
    <row r="814">
      <c r="A814" s="40"/>
      <c r="B814" s="40"/>
      <c r="C814" s="40" t="str">
        <f t="array" ref="C814">concatenate(A814,":",CHAR(10),B814)</f>
        <v>:
</v>
      </c>
    </row>
    <row r="815">
      <c r="A815" s="40"/>
      <c r="B815" s="40"/>
      <c r="C815" s="40" t="str">
        <f t="array" ref="C815">concatenate(A815,":",CHAR(10),B815)</f>
        <v>:
</v>
      </c>
    </row>
    <row r="816">
      <c r="A816" s="40"/>
      <c r="B816" s="40"/>
      <c r="C816" s="40" t="str">
        <f t="array" ref="C816">concatenate(A816,":",CHAR(10),B816)</f>
        <v>:
</v>
      </c>
    </row>
    <row r="817">
      <c r="A817" s="40"/>
      <c r="B817" s="40"/>
      <c r="C817" s="40" t="str">
        <f t="array" ref="C817">concatenate(A817,":",CHAR(10),B817)</f>
        <v>:
</v>
      </c>
    </row>
    <row r="818">
      <c r="A818" s="40"/>
      <c r="B818" s="40"/>
      <c r="C818" s="40" t="str">
        <f t="array" ref="C818">concatenate(A818,":",CHAR(10),B818)</f>
        <v>:
</v>
      </c>
    </row>
    <row r="819">
      <c r="A819" s="40"/>
      <c r="B819" s="40"/>
      <c r="C819" s="40" t="str">
        <f t="array" ref="C819">concatenate(A819,":",CHAR(10),B819)</f>
        <v>:
</v>
      </c>
    </row>
    <row r="820">
      <c r="A820" s="40"/>
      <c r="B820" s="40"/>
      <c r="C820" s="40" t="str">
        <f t="array" ref="C820">concatenate(A820,":",CHAR(10),B820)</f>
        <v>:
</v>
      </c>
    </row>
    <row r="821">
      <c r="A821" s="40"/>
      <c r="B821" s="40"/>
      <c r="C821" s="40" t="str">
        <f t="array" ref="C821">concatenate(A821,":",CHAR(10),B821)</f>
        <v>:
</v>
      </c>
    </row>
    <row r="822">
      <c r="A822" s="40"/>
      <c r="B822" s="40"/>
      <c r="C822" s="40" t="str">
        <f t="array" ref="C822">concatenate(A822,":",CHAR(10),B822)</f>
        <v>:
</v>
      </c>
    </row>
    <row r="823">
      <c r="A823" s="40"/>
      <c r="B823" s="40"/>
      <c r="C823" s="40" t="str">
        <f t="array" ref="C823">concatenate(A823,":",CHAR(10),B823)</f>
        <v>:
</v>
      </c>
    </row>
    <row r="824">
      <c r="A824" s="40"/>
      <c r="B824" s="40"/>
      <c r="C824" s="40" t="str">
        <f t="array" ref="C824">concatenate(A824,":",CHAR(10),B824)</f>
        <v>:
</v>
      </c>
    </row>
    <row r="825">
      <c r="A825" s="40"/>
      <c r="B825" s="40"/>
      <c r="C825" s="40" t="str">
        <f t="array" ref="C825">concatenate(A825,":",CHAR(10),B825)</f>
        <v>:
</v>
      </c>
    </row>
    <row r="826">
      <c r="A826" s="40"/>
      <c r="B826" s="40"/>
      <c r="C826" s="40" t="str">
        <f t="array" ref="C826">concatenate(A826,":",CHAR(10),B826)</f>
        <v>:
</v>
      </c>
    </row>
    <row r="827">
      <c r="A827" s="40"/>
      <c r="B827" s="40"/>
      <c r="C827" s="40" t="str">
        <f t="array" ref="C827">concatenate(A827,":",CHAR(10),B827)</f>
        <v>:
</v>
      </c>
    </row>
    <row r="828">
      <c r="A828" s="40"/>
      <c r="B828" s="40"/>
      <c r="C828" s="40" t="str">
        <f t="array" ref="C828">concatenate(A828,":",CHAR(10),B828)</f>
        <v>:
</v>
      </c>
    </row>
    <row r="829">
      <c r="A829" s="40"/>
      <c r="B829" s="40"/>
      <c r="C829" s="40" t="str">
        <f t="array" ref="C829">concatenate(A829,":",CHAR(10),B829)</f>
        <v>:
</v>
      </c>
    </row>
    <row r="830">
      <c r="A830" s="40"/>
      <c r="B830" s="40"/>
      <c r="C830" s="40" t="str">
        <f t="array" ref="C830">concatenate(A830,":",CHAR(10),B830)</f>
        <v>:
</v>
      </c>
    </row>
    <row r="831">
      <c r="A831" s="40"/>
      <c r="B831" s="40"/>
      <c r="C831" s="40" t="str">
        <f t="array" ref="C831">concatenate(A831,":",CHAR(10),B831)</f>
        <v>:
</v>
      </c>
    </row>
    <row r="832">
      <c r="A832" s="40"/>
      <c r="B832" s="40"/>
      <c r="C832" s="40" t="str">
        <f t="array" ref="C832">concatenate(A832,":",CHAR(10),B832)</f>
        <v>:
</v>
      </c>
    </row>
    <row r="833">
      <c r="A833" s="40"/>
      <c r="B833" s="40"/>
      <c r="C833" s="40" t="str">
        <f t="array" ref="C833">concatenate(A833,":",CHAR(10),B833)</f>
        <v>:
</v>
      </c>
    </row>
    <row r="834">
      <c r="A834" s="40"/>
      <c r="B834" s="40"/>
      <c r="C834" s="40" t="str">
        <f t="array" ref="C834">concatenate(A834,":",CHAR(10),B834)</f>
        <v>:
</v>
      </c>
    </row>
    <row r="835">
      <c r="A835" s="40"/>
      <c r="B835" s="40"/>
      <c r="C835" s="40" t="str">
        <f t="array" ref="C835">concatenate(A835,":",CHAR(10),B835)</f>
        <v>:
</v>
      </c>
    </row>
    <row r="836">
      <c r="A836" s="40"/>
      <c r="B836" s="40"/>
      <c r="C836" s="40" t="str">
        <f t="array" ref="C836">concatenate(A836,":",CHAR(10),B836)</f>
        <v>:
</v>
      </c>
    </row>
    <row r="837">
      <c r="A837" s="40"/>
      <c r="B837" s="40"/>
      <c r="C837" s="40" t="str">
        <f t="array" ref="C837">concatenate(A837,":",CHAR(10),B837)</f>
        <v>:
</v>
      </c>
    </row>
    <row r="838">
      <c r="A838" s="40"/>
      <c r="B838" s="40"/>
      <c r="C838" s="40" t="str">
        <f t="array" ref="C838">concatenate(A838,":",CHAR(10),B838)</f>
        <v>:
</v>
      </c>
    </row>
    <row r="839">
      <c r="A839" s="40"/>
      <c r="B839" s="40"/>
      <c r="C839" s="40" t="str">
        <f t="array" ref="C839">concatenate(A839,":",CHAR(10),B839)</f>
        <v>:
</v>
      </c>
    </row>
    <row r="840">
      <c r="A840" s="40"/>
      <c r="B840" s="40"/>
      <c r="C840" s="40" t="str">
        <f t="array" ref="C840">concatenate(A840,":",CHAR(10),B840)</f>
        <v>:
</v>
      </c>
    </row>
    <row r="841">
      <c r="A841" s="40"/>
      <c r="B841" s="40"/>
      <c r="C841" s="40" t="str">
        <f t="array" ref="C841">concatenate(A841,":",CHAR(10),B841)</f>
        <v>:
</v>
      </c>
    </row>
    <row r="842">
      <c r="A842" s="40"/>
      <c r="B842" s="40"/>
      <c r="C842" s="40" t="str">
        <f t="array" ref="C842">concatenate(A842,":",CHAR(10),B842)</f>
        <v>:
</v>
      </c>
    </row>
    <row r="843">
      <c r="A843" s="40"/>
      <c r="B843" s="40"/>
      <c r="C843" s="40" t="str">
        <f t="array" ref="C843">concatenate(A843,":",CHAR(10),B843)</f>
        <v>:
</v>
      </c>
    </row>
    <row r="844">
      <c r="A844" s="40"/>
      <c r="B844" s="40"/>
      <c r="C844" s="40" t="str">
        <f t="array" ref="C844">concatenate(A844,":",CHAR(10),B844)</f>
        <v>:
</v>
      </c>
    </row>
    <row r="845">
      <c r="A845" s="40"/>
      <c r="B845" s="40"/>
      <c r="C845" s="40" t="str">
        <f t="array" ref="C845">concatenate(A845,":",CHAR(10),B845)</f>
        <v>:
</v>
      </c>
    </row>
    <row r="846">
      <c r="A846" s="40"/>
      <c r="B846" s="40"/>
      <c r="C846" s="40" t="str">
        <f t="array" ref="C846">concatenate(A846,":",CHAR(10),B846)</f>
        <v>:
</v>
      </c>
    </row>
    <row r="847">
      <c r="A847" s="40"/>
      <c r="B847" s="40"/>
      <c r="C847" s="40" t="str">
        <f t="array" ref="C847">concatenate(A847,":",CHAR(10),B847)</f>
        <v>:
</v>
      </c>
    </row>
    <row r="848">
      <c r="A848" s="40"/>
      <c r="B848" s="40"/>
      <c r="C848" s="40" t="str">
        <f t="array" ref="C848">concatenate(A848,":",CHAR(10),B848)</f>
        <v>:
</v>
      </c>
    </row>
    <row r="849">
      <c r="A849" s="40"/>
      <c r="B849" s="40"/>
      <c r="C849" s="40" t="str">
        <f t="array" ref="C849">concatenate(A849,":",CHAR(10),B849)</f>
        <v>:
</v>
      </c>
    </row>
    <row r="850">
      <c r="A850" s="40"/>
      <c r="B850" s="40"/>
      <c r="C850" s="40" t="str">
        <f t="array" ref="C850">concatenate(A850,":",CHAR(10),B850)</f>
        <v>:
</v>
      </c>
    </row>
    <row r="851">
      <c r="A851" s="40"/>
      <c r="B851" s="40"/>
      <c r="C851" s="40" t="str">
        <f t="array" ref="C851">concatenate(A851,":",CHAR(10),B851)</f>
        <v>:
</v>
      </c>
    </row>
    <row r="852">
      <c r="A852" s="40"/>
      <c r="B852" s="40"/>
      <c r="C852" s="40" t="str">
        <f t="array" ref="C852">concatenate(A852,":",CHAR(10),B852)</f>
        <v>:
</v>
      </c>
    </row>
    <row r="853">
      <c r="A853" s="40"/>
      <c r="B853" s="40"/>
      <c r="C853" s="40" t="str">
        <f t="array" ref="C853">concatenate(A853,":",CHAR(10),B853)</f>
        <v>:
</v>
      </c>
    </row>
    <row r="854">
      <c r="A854" s="40"/>
      <c r="B854" s="40"/>
      <c r="C854" s="40" t="str">
        <f t="array" ref="C854">concatenate(A854,":",CHAR(10),B854)</f>
        <v>:
</v>
      </c>
    </row>
    <row r="855">
      <c r="A855" s="40"/>
      <c r="B855" s="40"/>
      <c r="C855" s="40" t="str">
        <f t="array" ref="C855">concatenate(A855,":",CHAR(10),B855)</f>
        <v>:
</v>
      </c>
    </row>
    <row r="856">
      <c r="A856" s="40"/>
      <c r="B856" s="40"/>
      <c r="C856" s="40" t="str">
        <f t="array" ref="C856">concatenate(A856,":",CHAR(10),B856)</f>
        <v>:
</v>
      </c>
    </row>
    <row r="857">
      <c r="A857" s="40"/>
      <c r="B857" s="40"/>
      <c r="C857" s="40" t="str">
        <f t="array" ref="C857">concatenate(A857,":",CHAR(10),B857)</f>
        <v>:
</v>
      </c>
    </row>
    <row r="858">
      <c r="A858" s="40"/>
      <c r="B858" s="40"/>
      <c r="C858" s="40" t="str">
        <f t="array" ref="C858">concatenate(A858,":",CHAR(10),B858)</f>
        <v>:
</v>
      </c>
    </row>
    <row r="859">
      <c r="A859" s="40"/>
      <c r="B859" s="40"/>
      <c r="C859" s="40" t="str">
        <f t="array" ref="C859">concatenate(A859,":",CHAR(10),B859)</f>
        <v>:
</v>
      </c>
    </row>
    <row r="860">
      <c r="A860" s="40"/>
      <c r="B860" s="40"/>
      <c r="C860" s="40" t="str">
        <f t="array" ref="C860">concatenate(A860,":",CHAR(10),B860)</f>
        <v>:
</v>
      </c>
    </row>
    <row r="861">
      <c r="A861" s="40"/>
      <c r="B861" s="40"/>
      <c r="C861" s="40" t="str">
        <f t="array" ref="C861">concatenate(A861,":",CHAR(10),B861)</f>
        <v>:
</v>
      </c>
    </row>
    <row r="862">
      <c r="A862" s="40"/>
      <c r="B862" s="40"/>
      <c r="C862" s="40" t="str">
        <f t="array" ref="C862">concatenate(A862,":",CHAR(10),B862)</f>
        <v>:
</v>
      </c>
    </row>
    <row r="863">
      <c r="A863" s="40"/>
      <c r="B863" s="40"/>
      <c r="C863" s="40" t="str">
        <f t="array" ref="C863">concatenate(A863,":",CHAR(10),B863)</f>
        <v>:
</v>
      </c>
    </row>
    <row r="864">
      <c r="A864" s="40"/>
      <c r="B864" s="40"/>
      <c r="C864" s="40" t="str">
        <f t="array" ref="C864">concatenate(A864,":",CHAR(10),B864)</f>
        <v>:
</v>
      </c>
    </row>
    <row r="865">
      <c r="A865" s="40"/>
      <c r="B865" s="40"/>
      <c r="C865" s="40" t="str">
        <f t="array" ref="C865">concatenate(A865,":",CHAR(10),B865)</f>
        <v>:
</v>
      </c>
    </row>
    <row r="866">
      <c r="A866" s="40"/>
      <c r="B866" s="40"/>
      <c r="C866" s="40" t="str">
        <f t="array" ref="C866">concatenate(A866,":",CHAR(10),B866)</f>
        <v>:
</v>
      </c>
    </row>
    <row r="867">
      <c r="A867" s="40"/>
      <c r="B867" s="40"/>
      <c r="C867" s="40" t="str">
        <f t="array" ref="C867">concatenate(A867,":",CHAR(10),B867)</f>
        <v>:
</v>
      </c>
    </row>
    <row r="868">
      <c r="A868" s="40"/>
      <c r="B868" s="40"/>
      <c r="C868" s="40" t="str">
        <f t="array" ref="C868">concatenate(A868,":",CHAR(10),B868)</f>
        <v>:
</v>
      </c>
    </row>
    <row r="869">
      <c r="A869" s="40"/>
      <c r="B869" s="40"/>
      <c r="C869" s="40" t="str">
        <f t="array" ref="C869">concatenate(A869,":",CHAR(10),B869)</f>
        <v>:
</v>
      </c>
    </row>
    <row r="870">
      <c r="A870" s="40"/>
      <c r="B870" s="40"/>
      <c r="C870" s="40" t="str">
        <f t="array" ref="C870">concatenate(A870,":",CHAR(10),B870)</f>
        <v>:
</v>
      </c>
    </row>
    <row r="871">
      <c r="A871" s="40"/>
      <c r="B871" s="40"/>
      <c r="C871" s="40" t="str">
        <f t="array" ref="C871">concatenate(A871,":",CHAR(10),B871)</f>
        <v>:
</v>
      </c>
    </row>
    <row r="872">
      <c r="A872" s="40"/>
      <c r="B872" s="40"/>
      <c r="C872" s="40" t="str">
        <f t="array" ref="C872">concatenate(A872,":",CHAR(10),B872)</f>
        <v>:
</v>
      </c>
    </row>
    <row r="873">
      <c r="A873" s="40"/>
      <c r="B873" s="40"/>
      <c r="C873" s="40" t="str">
        <f t="array" ref="C873">concatenate(A873,":",CHAR(10),B873)</f>
        <v>:
</v>
      </c>
    </row>
    <row r="874">
      <c r="A874" s="40"/>
      <c r="B874" s="40"/>
      <c r="C874" s="40" t="str">
        <f t="array" ref="C874">concatenate(A874,":",CHAR(10),B874)</f>
        <v>:
</v>
      </c>
    </row>
    <row r="875">
      <c r="A875" s="40"/>
      <c r="B875" s="40"/>
      <c r="C875" s="40" t="str">
        <f t="array" ref="C875">concatenate(A875,":",CHAR(10),B875)</f>
        <v>:
</v>
      </c>
    </row>
    <row r="876">
      <c r="A876" s="40"/>
      <c r="B876" s="40"/>
      <c r="C876" s="40" t="str">
        <f t="array" ref="C876">concatenate(A876,":",CHAR(10),B876)</f>
        <v>:
</v>
      </c>
    </row>
    <row r="877">
      <c r="A877" s="40"/>
      <c r="B877" s="40"/>
      <c r="C877" s="40" t="str">
        <f t="array" ref="C877">concatenate(A877,":",CHAR(10),B877)</f>
        <v>:
</v>
      </c>
    </row>
    <row r="878">
      <c r="A878" s="40"/>
      <c r="B878" s="40"/>
      <c r="C878" s="40" t="str">
        <f t="array" ref="C878">concatenate(A878,":",CHAR(10),B878)</f>
        <v>:
</v>
      </c>
    </row>
    <row r="879">
      <c r="A879" s="40"/>
      <c r="B879" s="40"/>
      <c r="C879" s="40" t="str">
        <f t="array" ref="C879">concatenate(A879,":",CHAR(10),B879)</f>
        <v>:
</v>
      </c>
    </row>
    <row r="880">
      <c r="A880" s="40"/>
      <c r="B880" s="40"/>
      <c r="C880" s="40" t="str">
        <f t="array" ref="C880">concatenate(A880,":",CHAR(10),B880)</f>
        <v>:
</v>
      </c>
    </row>
    <row r="881">
      <c r="A881" s="40"/>
      <c r="B881" s="40"/>
      <c r="C881" s="40" t="str">
        <f t="array" ref="C881">concatenate(A881,":",CHAR(10),B881)</f>
        <v>:
</v>
      </c>
    </row>
    <row r="882">
      <c r="A882" s="40"/>
      <c r="B882" s="40"/>
      <c r="C882" s="40" t="str">
        <f t="array" ref="C882">concatenate(A882,":",CHAR(10),B882)</f>
        <v>:
</v>
      </c>
    </row>
    <row r="883">
      <c r="A883" s="40"/>
      <c r="B883" s="40"/>
      <c r="C883" s="40" t="str">
        <f t="array" ref="C883">concatenate(A883,":",CHAR(10),B883)</f>
        <v>:
</v>
      </c>
    </row>
    <row r="884">
      <c r="A884" s="40"/>
      <c r="B884" s="40"/>
      <c r="C884" s="40" t="str">
        <f t="array" ref="C884">concatenate(A884,":",CHAR(10),B884)</f>
        <v>:
</v>
      </c>
    </row>
    <row r="885">
      <c r="A885" s="40"/>
      <c r="B885" s="40"/>
      <c r="C885" s="40" t="str">
        <f t="array" ref="C885">concatenate(A885,":",CHAR(10),B885)</f>
        <v>:
</v>
      </c>
    </row>
    <row r="886">
      <c r="A886" s="40"/>
      <c r="B886" s="40"/>
      <c r="C886" s="40" t="str">
        <f t="array" ref="C886">concatenate(A886,":",CHAR(10),B886)</f>
        <v>:
</v>
      </c>
    </row>
    <row r="887">
      <c r="A887" s="40"/>
      <c r="B887" s="40"/>
      <c r="C887" s="40" t="str">
        <f t="array" ref="C887">concatenate(A887,":",CHAR(10),B887)</f>
        <v>:
</v>
      </c>
    </row>
    <row r="888">
      <c r="A888" s="40"/>
      <c r="B888" s="40"/>
      <c r="C888" s="40" t="str">
        <f t="array" ref="C888">concatenate(A888,":",CHAR(10),B888)</f>
        <v>:
</v>
      </c>
    </row>
    <row r="889">
      <c r="A889" s="40"/>
      <c r="B889" s="40"/>
      <c r="C889" s="40" t="str">
        <f t="array" ref="C889">concatenate(A889,":",CHAR(10),B889)</f>
        <v>:
</v>
      </c>
    </row>
    <row r="890">
      <c r="A890" s="40"/>
      <c r="B890" s="40"/>
      <c r="C890" s="40" t="str">
        <f t="array" ref="C890">concatenate(A890,":",CHAR(10),B890)</f>
        <v>:
</v>
      </c>
    </row>
    <row r="891">
      <c r="A891" s="40"/>
      <c r="B891" s="40"/>
      <c r="C891" s="40" t="str">
        <f t="array" ref="C891">concatenate(A891,":",CHAR(10),B891)</f>
        <v>:
</v>
      </c>
    </row>
    <row r="892">
      <c r="A892" s="40"/>
      <c r="B892" s="40"/>
      <c r="C892" s="40" t="str">
        <f t="array" ref="C892">concatenate(A892,":",CHAR(10),B892)</f>
        <v>:
</v>
      </c>
    </row>
    <row r="893">
      <c r="A893" s="40"/>
      <c r="B893" s="40"/>
      <c r="C893" s="40" t="str">
        <f t="array" ref="C893">concatenate(A893,":",CHAR(10),B893)</f>
        <v>:
</v>
      </c>
    </row>
    <row r="894">
      <c r="A894" s="40"/>
      <c r="B894" s="40"/>
      <c r="C894" s="40" t="str">
        <f t="array" ref="C894">concatenate(A894,":",CHAR(10),B894)</f>
        <v>:
</v>
      </c>
    </row>
    <row r="895">
      <c r="A895" s="40"/>
      <c r="B895" s="40"/>
      <c r="C895" s="40" t="str">
        <f t="array" ref="C895">concatenate(A895,":",CHAR(10),B895)</f>
        <v>:
</v>
      </c>
    </row>
    <row r="896">
      <c r="A896" s="40"/>
      <c r="B896" s="40"/>
      <c r="C896" s="40" t="str">
        <f t="array" ref="C896">concatenate(A896,":",CHAR(10),B896)</f>
        <v>:
</v>
      </c>
    </row>
    <row r="897">
      <c r="A897" s="40"/>
      <c r="B897" s="40"/>
      <c r="C897" s="40" t="str">
        <f t="array" ref="C897">concatenate(A897,":",CHAR(10),B897)</f>
        <v>:
</v>
      </c>
    </row>
    <row r="898">
      <c r="A898" s="40"/>
      <c r="B898" s="40"/>
      <c r="C898" s="40" t="str">
        <f t="array" ref="C898">concatenate(A898,":",CHAR(10),B898)</f>
        <v>:
</v>
      </c>
    </row>
    <row r="899">
      <c r="A899" s="40"/>
      <c r="B899" s="40"/>
      <c r="C899" s="40" t="str">
        <f t="array" ref="C899">concatenate(A899,":",CHAR(10),B899)</f>
        <v>:
</v>
      </c>
    </row>
    <row r="900">
      <c r="A900" s="40"/>
      <c r="B900" s="40"/>
      <c r="C900" s="40" t="str">
        <f t="array" ref="C900">concatenate(A900,":",CHAR(10),B900)</f>
        <v>:
</v>
      </c>
    </row>
    <row r="901">
      <c r="A901" s="40"/>
      <c r="B901" s="40"/>
      <c r="C901" s="40" t="str">
        <f t="array" ref="C901">concatenate(A901,":",CHAR(10),B901)</f>
        <v>:
</v>
      </c>
    </row>
    <row r="902">
      <c r="A902" s="40"/>
      <c r="B902" s="40"/>
      <c r="C902" s="40" t="str">
        <f t="array" ref="C902">concatenate(A902,":",CHAR(10),B902)</f>
        <v>:
</v>
      </c>
    </row>
    <row r="903">
      <c r="A903" s="40"/>
      <c r="B903" s="40"/>
      <c r="C903" s="40" t="str">
        <f t="array" ref="C903">concatenate(A903,":",CHAR(10),B903)</f>
        <v>:
</v>
      </c>
    </row>
    <row r="904">
      <c r="A904" s="40"/>
      <c r="B904" s="40"/>
      <c r="C904" s="40" t="str">
        <f t="array" ref="C904">concatenate(A904,":",CHAR(10),B904)</f>
        <v>:
</v>
      </c>
    </row>
    <row r="905">
      <c r="A905" s="40"/>
      <c r="B905" s="40"/>
      <c r="C905" s="40" t="str">
        <f t="array" ref="C905">concatenate(A905,":",CHAR(10),B905)</f>
        <v>:
</v>
      </c>
    </row>
    <row r="906">
      <c r="A906" s="40"/>
      <c r="B906" s="40"/>
      <c r="C906" s="40" t="str">
        <f t="array" ref="C906">concatenate(A906,":",CHAR(10),B906)</f>
        <v>:
</v>
      </c>
    </row>
    <row r="907">
      <c r="A907" s="40"/>
      <c r="B907" s="40"/>
      <c r="C907" s="40" t="str">
        <f t="array" ref="C907">concatenate(A907,":",CHAR(10),B907)</f>
        <v>:
</v>
      </c>
    </row>
    <row r="908">
      <c r="A908" s="40"/>
      <c r="B908" s="40"/>
      <c r="C908" s="40" t="str">
        <f t="array" ref="C908">concatenate(A908,":",CHAR(10),B908)</f>
        <v>:
</v>
      </c>
    </row>
    <row r="909">
      <c r="A909" s="40"/>
      <c r="B909" s="40"/>
      <c r="C909" s="40" t="str">
        <f t="array" ref="C909">concatenate(A909,":",CHAR(10),B909)</f>
        <v>:
</v>
      </c>
    </row>
    <row r="910">
      <c r="A910" s="40"/>
      <c r="B910" s="40"/>
      <c r="C910" s="40" t="str">
        <f t="array" ref="C910">concatenate(A910,":",CHAR(10),B910)</f>
        <v>:
</v>
      </c>
    </row>
    <row r="911">
      <c r="A911" s="40"/>
      <c r="B911" s="40"/>
      <c r="C911" s="40" t="str">
        <f t="array" ref="C911">concatenate(A911,":",CHAR(10),B911)</f>
        <v>:
</v>
      </c>
    </row>
    <row r="912">
      <c r="A912" s="40"/>
      <c r="B912" s="40"/>
      <c r="C912" s="40" t="str">
        <f t="array" ref="C912">concatenate(A912,":",CHAR(10),B912)</f>
        <v>:
</v>
      </c>
    </row>
    <row r="913">
      <c r="A913" s="40"/>
      <c r="B913" s="40"/>
      <c r="C913" s="40" t="str">
        <f t="array" ref="C913">concatenate(A913,":",CHAR(10),B913)</f>
        <v>:
</v>
      </c>
    </row>
    <row r="914">
      <c r="A914" s="40"/>
      <c r="B914" s="40"/>
      <c r="C914" s="40" t="str">
        <f t="array" ref="C914">concatenate(A914,":",CHAR(10),B914)</f>
        <v>:
</v>
      </c>
    </row>
    <row r="915">
      <c r="A915" s="40"/>
      <c r="B915" s="40"/>
      <c r="C915" s="40" t="str">
        <f t="array" ref="C915">concatenate(A915,":",CHAR(10),B915)</f>
        <v>:
</v>
      </c>
    </row>
    <row r="916">
      <c r="A916" s="40"/>
      <c r="B916" s="40"/>
      <c r="C916" s="40" t="str">
        <f t="array" ref="C916">concatenate(A916,":",CHAR(10),B916)</f>
        <v>:
</v>
      </c>
    </row>
    <row r="917">
      <c r="A917" s="40"/>
      <c r="B917" s="40"/>
      <c r="C917" s="40" t="str">
        <f t="array" ref="C917">concatenate(A917,":",CHAR(10),B917)</f>
        <v>:
</v>
      </c>
    </row>
    <row r="918">
      <c r="A918" s="40"/>
      <c r="B918" s="40"/>
      <c r="C918" s="40" t="str">
        <f t="array" ref="C918">concatenate(A918,":",CHAR(10),B918)</f>
        <v>:
</v>
      </c>
    </row>
    <row r="919">
      <c r="A919" s="40"/>
      <c r="B919" s="40"/>
      <c r="C919" s="40" t="str">
        <f t="array" ref="C919">concatenate(A919,":",CHAR(10),B919)</f>
        <v>:
</v>
      </c>
    </row>
    <row r="920">
      <c r="A920" s="40"/>
      <c r="B920" s="40"/>
      <c r="C920" s="40" t="str">
        <f t="array" ref="C920">concatenate(A920,":",CHAR(10),B920)</f>
        <v>:
</v>
      </c>
    </row>
    <row r="921">
      <c r="A921" s="40"/>
      <c r="B921" s="40"/>
      <c r="C921" s="40" t="str">
        <f t="array" ref="C921">concatenate(A921,":",CHAR(10),B921)</f>
        <v>:
</v>
      </c>
    </row>
    <row r="922">
      <c r="A922" s="40"/>
      <c r="B922" s="40"/>
      <c r="C922" s="40" t="str">
        <f t="array" ref="C922">concatenate(A922,":",CHAR(10),B922)</f>
        <v>:
</v>
      </c>
    </row>
    <row r="923">
      <c r="A923" s="40"/>
      <c r="B923" s="40"/>
      <c r="C923" s="40" t="str">
        <f t="array" ref="C923">concatenate(A923,":",CHAR(10),B923)</f>
        <v>:
</v>
      </c>
    </row>
    <row r="924">
      <c r="A924" s="40"/>
      <c r="B924" s="40"/>
      <c r="C924" s="40" t="str">
        <f t="array" ref="C924">concatenate(A924,":",CHAR(10),B924)</f>
        <v>:
</v>
      </c>
    </row>
    <row r="925">
      <c r="A925" s="40"/>
      <c r="B925" s="40"/>
      <c r="C925" s="40" t="str">
        <f t="array" ref="C925">concatenate(A925,":",CHAR(10),B925)</f>
        <v>:
</v>
      </c>
    </row>
    <row r="926">
      <c r="A926" s="40"/>
      <c r="B926" s="40"/>
      <c r="C926" s="40" t="str">
        <f t="array" ref="C926">concatenate(A926,":",CHAR(10),B926)</f>
        <v>:
</v>
      </c>
    </row>
    <row r="927">
      <c r="A927" s="40"/>
      <c r="B927" s="40"/>
      <c r="C927" s="40" t="str">
        <f t="array" ref="C927">concatenate(A927,":",CHAR(10),B927)</f>
        <v>:
</v>
      </c>
    </row>
    <row r="928">
      <c r="A928" s="40"/>
      <c r="B928" s="40"/>
      <c r="C928" s="40" t="str">
        <f t="array" ref="C928">concatenate(A928,":",CHAR(10),B928)</f>
        <v>:
</v>
      </c>
    </row>
    <row r="929">
      <c r="A929" s="40"/>
      <c r="B929" s="40"/>
      <c r="C929" s="40" t="str">
        <f t="array" ref="C929">concatenate(A929,":",CHAR(10),B929)</f>
        <v>:
</v>
      </c>
    </row>
    <row r="930">
      <c r="A930" s="40"/>
      <c r="B930" s="40"/>
      <c r="C930" s="40" t="str">
        <f t="array" ref="C930">concatenate(A930,":",CHAR(10),B930)</f>
        <v>:
</v>
      </c>
    </row>
    <row r="931">
      <c r="A931" s="40"/>
      <c r="B931" s="40"/>
      <c r="C931" s="40" t="str">
        <f t="array" ref="C931">concatenate(A931,":",CHAR(10),B931)</f>
        <v>:
</v>
      </c>
    </row>
    <row r="932">
      <c r="A932" s="40"/>
      <c r="B932" s="40"/>
      <c r="C932" s="40" t="str">
        <f t="array" ref="C932">concatenate(A932,":",CHAR(10),B932)</f>
        <v>:
</v>
      </c>
    </row>
    <row r="933">
      <c r="A933" s="40"/>
      <c r="B933" s="40"/>
      <c r="C933" s="40" t="str">
        <f t="array" ref="C933">concatenate(A933,":",CHAR(10),B933)</f>
        <v>:
</v>
      </c>
    </row>
    <row r="934">
      <c r="A934" s="40"/>
      <c r="B934" s="40"/>
      <c r="C934" s="40" t="str">
        <f t="array" ref="C934">concatenate(A934,":",CHAR(10),B934)</f>
        <v>:
</v>
      </c>
    </row>
    <row r="935">
      <c r="A935" s="40"/>
      <c r="B935" s="40"/>
      <c r="C935" s="40" t="str">
        <f t="array" ref="C935">concatenate(A935,":",CHAR(10),B935)</f>
        <v>:
</v>
      </c>
    </row>
    <row r="936">
      <c r="A936" s="40"/>
      <c r="B936" s="40"/>
      <c r="C936" s="40" t="str">
        <f t="array" ref="C936">concatenate(A936,":",CHAR(10),B936)</f>
        <v>:
</v>
      </c>
    </row>
    <row r="937">
      <c r="A937" s="40"/>
      <c r="B937" s="40"/>
      <c r="C937" s="40" t="str">
        <f t="array" ref="C937">concatenate(A937,":",CHAR(10),B937)</f>
        <v>:
</v>
      </c>
    </row>
    <row r="938">
      <c r="A938" s="40"/>
      <c r="B938" s="40"/>
      <c r="C938" s="40" t="str">
        <f t="array" ref="C938">concatenate(A938,":",CHAR(10),B938)</f>
        <v>:
</v>
      </c>
    </row>
    <row r="939">
      <c r="A939" s="40"/>
      <c r="B939" s="40"/>
      <c r="C939" s="40" t="str">
        <f t="array" ref="C939">concatenate(A939,":",CHAR(10),B939)</f>
        <v>:
</v>
      </c>
    </row>
    <row r="940">
      <c r="A940" s="40"/>
      <c r="B940" s="40"/>
      <c r="C940" s="40" t="str">
        <f t="array" ref="C940">concatenate(A940,":",CHAR(10),B940)</f>
        <v>:
</v>
      </c>
    </row>
    <row r="941">
      <c r="A941" s="40"/>
      <c r="B941" s="40"/>
      <c r="C941" s="40" t="str">
        <f t="array" ref="C941">concatenate(A941,":",CHAR(10),B941)</f>
        <v>:
</v>
      </c>
    </row>
    <row r="942">
      <c r="A942" s="40"/>
      <c r="B942" s="40"/>
      <c r="C942" s="40" t="str">
        <f t="array" ref="C942">concatenate(A942,":",CHAR(10),B942)</f>
        <v>:
</v>
      </c>
    </row>
    <row r="943">
      <c r="A943" s="40"/>
      <c r="B943" s="40"/>
      <c r="C943" s="40" t="str">
        <f t="array" ref="C943">concatenate(A943,":",CHAR(10),B943)</f>
        <v>:
</v>
      </c>
    </row>
    <row r="944">
      <c r="A944" s="40"/>
      <c r="B944" s="40"/>
      <c r="C944" s="40" t="str">
        <f t="array" ref="C944">concatenate(A944,":",CHAR(10),B944)</f>
        <v>:
</v>
      </c>
    </row>
    <row r="945">
      <c r="A945" s="40"/>
      <c r="B945" s="40"/>
      <c r="C945" s="40" t="str">
        <f t="array" ref="C945">concatenate(A945,":",CHAR(10),B945)</f>
        <v>:
</v>
      </c>
    </row>
    <row r="946">
      <c r="A946" s="40"/>
      <c r="B946" s="40"/>
      <c r="C946" s="40" t="str">
        <f t="array" ref="C946">concatenate(A946,":",CHAR(10),B946)</f>
        <v>:
</v>
      </c>
    </row>
    <row r="947">
      <c r="A947" s="40"/>
      <c r="B947" s="40"/>
      <c r="C947" s="40" t="str">
        <f t="array" ref="C947">concatenate(A947,":",CHAR(10),B947)</f>
        <v>:
</v>
      </c>
    </row>
    <row r="948">
      <c r="A948" s="40"/>
      <c r="B948" s="40"/>
      <c r="C948" s="40" t="str">
        <f t="array" ref="C948">concatenate(A948,":",CHAR(10),B948)</f>
        <v>:
</v>
      </c>
    </row>
    <row r="949">
      <c r="A949" s="40"/>
      <c r="B949" s="40"/>
      <c r="C949" s="40" t="str">
        <f t="array" ref="C949">concatenate(A949,":",CHAR(10),B949)</f>
        <v>:
</v>
      </c>
    </row>
    <row r="950">
      <c r="A950" s="40"/>
      <c r="B950" s="40"/>
      <c r="C950" s="40" t="str">
        <f t="array" ref="C950">concatenate(A950,":",CHAR(10),B950)</f>
        <v>:
</v>
      </c>
    </row>
    <row r="951">
      <c r="A951" s="40"/>
      <c r="B951" s="40"/>
      <c r="C951" s="40" t="str">
        <f t="array" ref="C951">concatenate(A951,":",CHAR(10),B951)</f>
        <v>:
</v>
      </c>
    </row>
    <row r="952">
      <c r="A952" s="40"/>
      <c r="B952" s="40"/>
      <c r="C952" s="40" t="str">
        <f t="array" ref="C952">concatenate(A952,":",CHAR(10),B952)</f>
        <v>:
</v>
      </c>
    </row>
    <row r="953">
      <c r="A953" s="40"/>
      <c r="B953" s="40"/>
      <c r="C953" s="40" t="str">
        <f t="array" ref="C953">concatenate(A953,":",CHAR(10),B953)</f>
        <v>:
</v>
      </c>
    </row>
    <row r="954">
      <c r="A954" s="40"/>
      <c r="B954" s="40"/>
      <c r="C954" s="40" t="str">
        <f t="array" ref="C954">concatenate(A954,":",CHAR(10),B954)</f>
        <v>:
</v>
      </c>
    </row>
    <row r="955">
      <c r="A955" s="40"/>
      <c r="B955" s="40"/>
      <c r="C955" s="40" t="str">
        <f t="array" ref="C955">concatenate(A955,":",CHAR(10),B955)</f>
        <v>:
</v>
      </c>
    </row>
    <row r="956">
      <c r="A956" s="40"/>
      <c r="B956" s="40"/>
      <c r="C956" s="40" t="str">
        <f t="array" ref="C956">concatenate(A956,":",CHAR(10),B956)</f>
        <v>:
</v>
      </c>
    </row>
    <row r="957">
      <c r="A957" s="40"/>
      <c r="B957" s="40"/>
      <c r="C957" s="40" t="str">
        <f t="array" ref="C957">concatenate(A957,":",CHAR(10),B957)</f>
        <v>:
</v>
      </c>
    </row>
    <row r="958">
      <c r="A958" s="40"/>
      <c r="B958" s="40"/>
      <c r="C958" s="40" t="str">
        <f t="array" ref="C958">concatenate(A958,":",CHAR(10),B958)</f>
        <v>:
</v>
      </c>
    </row>
    <row r="959">
      <c r="A959" s="40"/>
      <c r="B959" s="40"/>
      <c r="C959" s="40" t="str">
        <f t="array" ref="C959">concatenate(A959,":",CHAR(10),B959)</f>
        <v>:
</v>
      </c>
    </row>
    <row r="960">
      <c r="A960" s="40"/>
      <c r="B960" s="40"/>
      <c r="C960" s="40" t="str">
        <f t="array" ref="C960">concatenate(A960,":",CHAR(10),B960)</f>
        <v>:
</v>
      </c>
    </row>
    <row r="961">
      <c r="A961" s="40"/>
      <c r="B961" s="40"/>
      <c r="C961" s="40" t="str">
        <f t="array" ref="C961">concatenate(A961,":",CHAR(10),B961)</f>
        <v>:
</v>
      </c>
    </row>
    <row r="962">
      <c r="A962" s="40"/>
      <c r="B962" s="40"/>
      <c r="C962" s="40" t="str">
        <f t="array" ref="C962">concatenate(A962,":",CHAR(10),B962)</f>
        <v>:
</v>
      </c>
    </row>
    <row r="963">
      <c r="A963" s="40"/>
      <c r="B963" s="40"/>
      <c r="C963" s="40" t="str">
        <f t="array" ref="C963">concatenate(A963,":",CHAR(10),B963)</f>
        <v>:
</v>
      </c>
    </row>
    <row r="964">
      <c r="A964" s="40"/>
      <c r="B964" s="40"/>
      <c r="C964" s="40" t="str">
        <f t="array" ref="C964">concatenate(A964,":",CHAR(10),B964)</f>
        <v>:
</v>
      </c>
    </row>
    <row r="965">
      <c r="A965" s="40"/>
      <c r="B965" s="40"/>
      <c r="C965" s="40" t="str">
        <f t="array" ref="C965">concatenate(A965,":",CHAR(10),B965)</f>
        <v>:
</v>
      </c>
    </row>
    <row r="966">
      <c r="A966" s="40"/>
      <c r="B966" s="40"/>
      <c r="C966" s="40" t="str">
        <f t="array" ref="C966">concatenate(A966,":",CHAR(10),B966)</f>
        <v>:
</v>
      </c>
    </row>
    <row r="967">
      <c r="A967" s="40"/>
      <c r="B967" s="40"/>
      <c r="C967" s="40" t="str">
        <f t="array" ref="C967">concatenate(A967,":",CHAR(10),B967)</f>
        <v>:
</v>
      </c>
    </row>
    <row r="968">
      <c r="A968" s="40"/>
      <c r="B968" s="40"/>
      <c r="C968" s="40" t="str">
        <f t="array" ref="C968">concatenate(A968,":",CHAR(10),B968)</f>
        <v>:
</v>
      </c>
    </row>
    <row r="969">
      <c r="A969" s="40"/>
      <c r="B969" s="40"/>
      <c r="C969" s="40" t="str">
        <f t="array" ref="C969">concatenate(A969,":",CHAR(10),B969)</f>
        <v>:
</v>
      </c>
    </row>
    <row r="970">
      <c r="A970" s="40"/>
      <c r="B970" s="40"/>
      <c r="C970" s="40" t="str">
        <f t="array" ref="C970">concatenate(A970,":",CHAR(10),B970)</f>
        <v>:
</v>
      </c>
    </row>
    <row r="971">
      <c r="A971" s="40"/>
      <c r="B971" s="40"/>
      <c r="C971" s="40" t="str">
        <f t="array" ref="C971">concatenate(A971,":",CHAR(10),B971)</f>
        <v>:
</v>
      </c>
    </row>
    <row r="972">
      <c r="A972" s="40"/>
      <c r="B972" s="40"/>
      <c r="C972" s="40" t="str">
        <f t="array" ref="C972">concatenate(A972,":",CHAR(10),B972)</f>
        <v>:
</v>
      </c>
    </row>
    <row r="973">
      <c r="A973" s="40"/>
      <c r="B973" s="40"/>
      <c r="C973" s="40" t="str">
        <f t="array" ref="C973">concatenate(A973,":",CHAR(10),B973)</f>
        <v>:
</v>
      </c>
    </row>
    <row r="974">
      <c r="A974" s="40"/>
      <c r="B974" s="40"/>
      <c r="C974" s="40" t="str">
        <f t="array" ref="C974">concatenate(A974,":",CHAR(10),B974)</f>
        <v>:
</v>
      </c>
    </row>
    <row r="975">
      <c r="A975" s="40"/>
      <c r="B975" s="40"/>
      <c r="C975" s="40" t="str">
        <f t="array" ref="C975">concatenate(A975,":",CHAR(10),B975)</f>
        <v>:
</v>
      </c>
    </row>
    <row r="976">
      <c r="A976" s="40"/>
      <c r="B976" s="40"/>
      <c r="C976" s="40" t="str">
        <f t="array" ref="C976">concatenate(A976,":",CHAR(10),B976)</f>
        <v>:
</v>
      </c>
    </row>
    <row r="977">
      <c r="A977" s="40"/>
      <c r="B977" s="40"/>
      <c r="C977" s="40" t="str">
        <f t="array" ref="C977">concatenate(A977,":",CHAR(10),B977)</f>
        <v>:
</v>
      </c>
    </row>
    <row r="978">
      <c r="A978" s="40"/>
      <c r="B978" s="40"/>
      <c r="C978" s="40" t="str">
        <f t="array" ref="C978">concatenate(A978,":",CHAR(10),B978)</f>
        <v>:
</v>
      </c>
    </row>
    <row r="979">
      <c r="A979" s="40"/>
      <c r="B979" s="40"/>
      <c r="C979" s="40" t="str">
        <f t="array" ref="C979">concatenate(A979,":",CHAR(10),B979)</f>
        <v>:
</v>
      </c>
    </row>
    <row r="980">
      <c r="A980" s="40"/>
      <c r="B980" s="40"/>
      <c r="C980" s="40" t="str">
        <f t="array" ref="C980">concatenate(A980,":",CHAR(10),B980)</f>
        <v>:
</v>
      </c>
    </row>
    <row r="981">
      <c r="A981" s="40"/>
      <c r="B981" s="40"/>
      <c r="C981" s="40" t="str">
        <f t="array" ref="C981">concatenate(A981,":",CHAR(10),B981)</f>
        <v>:
</v>
      </c>
    </row>
    <row r="982">
      <c r="A982" s="40"/>
      <c r="B982" s="40"/>
      <c r="C982" s="40" t="str">
        <f t="array" ref="C982">concatenate(A982,":",CHAR(10),B982)</f>
        <v>:
</v>
      </c>
    </row>
    <row r="983">
      <c r="A983" s="40"/>
      <c r="B983" s="40"/>
      <c r="C983" s="40" t="str">
        <f t="array" ref="C983">concatenate(A983,":",CHAR(10),B983)</f>
        <v>:
</v>
      </c>
    </row>
    <row r="984">
      <c r="A984" s="40"/>
      <c r="B984" s="40"/>
      <c r="C984" s="40" t="str">
        <f t="array" ref="C984">concatenate(A984,":",CHAR(10),B984)</f>
        <v>:
</v>
      </c>
    </row>
    <row r="985">
      <c r="A985" s="40"/>
      <c r="B985" s="40"/>
      <c r="C985" s="40" t="str">
        <f t="array" ref="C985">concatenate(A985,":",CHAR(10),B985)</f>
        <v>:
</v>
      </c>
    </row>
    <row r="986">
      <c r="A986" s="40"/>
      <c r="B986" s="40"/>
      <c r="C986" s="40" t="str">
        <f t="array" ref="C986">concatenate(A986,":",CHAR(10),B986)</f>
        <v>:
</v>
      </c>
    </row>
    <row r="987">
      <c r="A987" s="40"/>
      <c r="B987" s="40"/>
      <c r="C987" s="40" t="str">
        <f t="array" ref="C987">concatenate(A987,":",CHAR(10),B987)</f>
        <v>:
</v>
      </c>
    </row>
    <row r="988">
      <c r="A988" s="40"/>
      <c r="B988" s="40"/>
      <c r="C988" s="40" t="str">
        <f t="array" ref="C988">concatenate(A988,":",CHAR(10),B988)</f>
        <v>:
</v>
      </c>
    </row>
    <row r="989">
      <c r="A989" s="40"/>
      <c r="B989" s="40"/>
      <c r="C989" s="40" t="str">
        <f t="array" ref="C989">concatenate(A989,":",CHAR(10),B989)</f>
        <v>:
</v>
      </c>
    </row>
    <row r="990">
      <c r="A990" s="40"/>
      <c r="B990" s="40"/>
      <c r="C990" s="40" t="str">
        <f t="array" ref="C990">concatenate(A990,":",CHAR(10),B990)</f>
        <v>:
</v>
      </c>
    </row>
    <row r="991">
      <c r="A991" s="40"/>
      <c r="B991" s="40"/>
      <c r="C991" s="40" t="str">
        <f t="array" ref="C991">concatenate(A991,":",CHAR(10),B991)</f>
        <v>:
</v>
      </c>
    </row>
    <row r="992">
      <c r="A992" s="40"/>
      <c r="B992" s="40"/>
      <c r="C992" s="40" t="str">
        <f t="array" ref="C992">concatenate(A992,":",CHAR(10),B992)</f>
        <v>:
</v>
      </c>
    </row>
    <row r="993">
      <c r="A993" s="40"/>
      <c r="B993" s="40"/>
      <c r="C993" s="40" t="str">
        <f t="array" ref="C993">concatenate(A993,":",CHAR(10),B993)</f>
        <v>:
</v>
      </c>
    </row>
    <row r="994">
      <c r="A994" s="40"/>
      <c r="B994" s="40"/>
      <c r="C994" s="40" t="str">
        <f t="array" ref="C994">concatenate(A994,":",CHAR(10),B994)</f>
        <v>:
</v>
      </c>
    </row>
    <row r="995">
      <c r="A995" s="40"/>
      <c r="B995" s="40"/>
      <c r="C995" s="40" t="str">
        <f t="array" ref="C995">concatenate(A995,":",CHAR(10),B995)</f>
        <v>:
</v>
      </c>
    </row>
    <row r="996">
      <c r="A996" s="40"/>
      <c r="B996" s="40"/>
      <c r="C996" s="40" t="str">
        <f t="array" ref="C996">concatenate(A996,":",CHAR(10),B996)</f>
        <v>:
</v>
      </c>
    </row>
    <row r="997">
      <c r="A997" s="40"/>
      <c r="B997" s="40"/>
      <c r="C997" s="40" t="str">
        <f t="array" ref="C997">concatenate(A997,":",CHAR(10),B997)</f>
        <v>:
</v>
      </c>
    </row>
    <row r="998">
      <c r="A998" s="40"/>
      <c r="B998" s="40"/>
      <c r="C998" s="40" t="str">
        <f t="array" ref="C998">concatenate(A998,":",CHAR(10),B998)</f>
        <v>:
</v>
      </c>
    </row>
    <row r="999">
      <c r="A999" s="40"/>
      <c r="B999" s="40"/>
      <c r="C999" s="40" t="str">
        <f t="array" ref="C999">concatenate(A999,":",CHAR(10),B999)</f>
        <v>:
</v>
      </c>
    </row>
    <row r="1000">
      <c r="A1000" s="40"/>
      <c r="B1000" s="40"/>
      <c r="C1000" s="40" t="str">
        <f t="array" ref="C1000">concatenate(A1000,":",CHAR(10),B1000)</f>
        <v>:
</v>
      </c>
    </row>
    <row r="1001">
      <c r="A1001" s="40"/>
      <c r="B1001" s="40"/>
      <c r="C1001" s="40" t="str">
        <f t="array" ref="C1001">concatenate(A1001,":",CHAR(10),B1001)</f>
        <v>:
</v>
      </c>
    </row>
    <row r="1002">
      <c r="A1002" s="40"/>
      <c r="B1002" s="40"/>
      <c r="C1002" s="40" t="str">
        <f t="array" ref="C1002">concatenate(A1002,":",CHAR(10),B1002)</f>
        <v>:
</v>
      </c>
    </row>
    <row r="1003">
      <c r="A1003" s="40"/>
      <c r="B1003" s="40"/>
      <c r="C1003" s="40" t="str">
        <f t="array" ref="C1003">concatenate(A1003,":",CHAR(10),B1003)</f>
        <v>:
</v>
      </c>
    </row>
    <row r="1004">
      <c r="A1004" s="40"/>
      <c r="B1004" s="40"/>
      <c r="C1004" s="40" t="str">
        <f t="array" ref="C1004">concatenate(A1004,":",CHAR(10),B1004)</f>
        <v>:
</v>
      </c>
    </row>
    <row r="1005">
      <c r="A1005" s="40"/>
      <c r="B1005" s="40"/>
      <c r="C1005" s="40" t="str">
        <f t="array" ref="C1005">concatenate(A1005,":",CHAR(10),B1005)</f>
        <v>:
</v>
      </c>
    </row>
    <row r="1006">
      <c r="A1006" s="40"/>
      <c r="B1006" s="40"/>
      <c r="C1006" s="40" t="str">
        <f t="array" ref="C1006">concatenate(A1006,":",CHAR(10),B1006)</f>
        <v>:
</v>
      </c>
    </row>
    <row r="1007">
      <c r="A1007" s="40"/>
      <c r="B1007" s="40"/>
      <c r="C1007" s="40" t="str">
        <f t="array" ref="C1007">concatenate(A1007,":",CHAR(10),B1007)</f>
        <v>:
</v>
      </c>
    </row>
    <row r="1008">
      <c r="A1008" s="40"/>
      <c r="B1008" s="40"/>
      <c r="C1008" s="40" t="str">
        <f t="array" ref="C1008">concatenate(A1008,":",CHAR(10),B1008)</f>
        <v>:
</v>
      </c>
    </row>
    <row r="1009">
      <c r="A1009" s="40"/>
      <c r="B1009" s="40"/>
      <c r="C1009" s="40" t="str">
        <f t="array" ref="C1009">concatenate(A1009,":",CHAR(10),B1009)</f>
        <v>:
</v>
      </c>
    </row>
    <row r="1010">
      <c r="A1010" s="40"/>
      <c r="B1010" s="40"/>
      <c r="C1010" s="40" t="str">
        <f t="array" ref="C1010">concatenate(A1010,":",CHAR(10),B1010)</f>
        <v>:
</v>
      </c>
    </row>
    <row r="1011">
      <c r="A1011" s="40"/>
      <c r="B1011" s="40"/>
      <c r="C1011" s="40" t="str">
        <f t="array" ref="C1011">concatenate(A1011,":",CHAR(10),B1011)</f>
        <v>:
</v>
      </c>
    </row>
    <row r="1012">
      <c r="A1012" s="40"/>
      <c r="B1012" s="40"/>
      <c r="C1012" s="40" t="str">
        <f t="array" ref="C1012">concatenate(A1012,":",CHAR(10),B1012)</f>
        <v>:
</v>
      </c>
    </row>
    <row r="1013">
      <c r="A1013" s="40"/>
      <c r="B1013" s="40"/>
      <c r="C1013" s="40" t="str">
        <f t="array" ref="C1013">concatenate(A1013,":",CHAR(10),B1013)</f>
        <v>:
</v>
      </c>
    </row>
    <row r="1014">
      <c r="A1014" s="40"/>
      <c r="B1014" s="40"/>
      <c r="C1014" s="40" t="str">
        <f t="array" ref="C1014">concatenate(A1014,":",CHAR(10),B1014)</f>
        <v>:
</v>
      </c>
    </row>
    <row r="1015">
      <c r="A1015" s="40"/>
      <c r="B1015" s="40"/>
      <c r="C1015" s="40" t="str">
        <f t="array" ref="C1015">concatenate(A1015,":",CHAR(10),B1015)</f>
        <v>:
</v>
      </c>
    </row>
    <row r="1016">
      <c r="A1016" s="40"/>
      <c r="B1016" s="40"/>
      <c r="C1016" s="40" t="str">
        <f t="array" ref="C1016">concatenate(A1016,":",CHAR(10),B1016)</f>
        <v>:
</v>
      </c>
    </row>
    <row r="1017">
      <c r="A1017" s="40"/>
      <c r="B1017" s="40"/>
      <c r="C1017" s="40" t="str">
        <f t="array" ref="C1017">concatenate(A1017,":",CHAR(10),B1017)</f>
        <v>:
</v>
      </c>
    </row>
    <row r="1018">
      <c r="A1018" s="40"/>
      <c r="B1018" s="40"/>
      <c r="C1018" s="40" t="str">
        <f t="array" ref="C1018">concatenate(A1018,":",CHAR(10),B1018)</f>
        <v>:
</v>
      </c>
    </row>
    <row r="1019">
      <c r="A1019" s="40"/>
      <c r="B1019" s="40"/>
      <c r="C1019" s="40" t="str">
        <f t="array" ref="C1019">concatenate(A1019,":",CHAR(10),B1019)</f>
        <v>:
</v>
      </c>
    </row>
    <row r="1020">
      <c r="A1020" s="40"/>
      <c r="B1020" s="40"/>
      <c r="C1020" s="40" t="str">
        <f t="array" ref="C1020">concatenate(A1020,":",CHAR(10),B1020)</f>
        <v>:
</v>
      </c>
    </row>
    <row r="1021">
      <c r="A1021" s="40"/>
      <c r="B1021" s="40"/>
      <c r="C1021" s="40" t="str">
        <f t="array" ref="C1021">concatenate(A1021,":",CHAR(10),B1021)</f>
        <v>:
</v>
      </c>
    </row>
    <row r="1022">
      <c r="A1022" s="40"/>
      <c r="B1022" s="40"/>
      <c r="C1022" s="40" t="str">
        <f t="array" ref="C1022">concatenate(A1022,":",CHAR(10),B1022)</f>
        <v>:
</v>
      </c>
    </row>
    <row r="1023">
      <c r="A1023" s="40"/>
      <c r="B1023" s="40"/>
      <c r="C1023" s="40" t="str">
        <f t="array" ref="C1023">concatenate(A1023,":",CHAR(10),B1023)</f>
        <v>:
</v>
      </c>
    </row>
    <row r="1024">
      <c r="A1024" s="40"/>
      <c r="B1024" s="40"/>
      <c r="C1024" s="40" t="str">
        <f t="array" ref="C1024">concatenate(A1024,":",CHAR(10),B1024)</f>
        <v>:
</v>
      </c>
    </row>
    <row r="1025">
      <c r="A1025" s="40"/>
      <c r="B1025" s="40"/>
      <c r="C1025" s="40" t="str">
        <f t="array" ref="C1025">concatenate(A1025,":",CHAR(10),B1025)</f>
        <v>:
</v>
      </c>
    </row>
    <row r="1026">
      <c r="A1026" s="40"/>
      <c r="B1026" s="40"/>
      <c r="C1026" s="40" t="str">
        <f t="array" ref="C1026">concatenate(A1026,":",CHAR(10),B1026)</f>
        <v>:
</v>
      </c>
    </row>
    <row r="1027">
      <c r="A1027" s="40"/>
      <c r="B1027" s="40"/>
      <c r="C1027" s="40" t="str">
        <f t="array" ref="C1027">concatenate(A1027,":",CHAR(10),B1027)</f>
        <v>:
</v>
      </c>
    </row>
    <row r="1028">
      <c r="A1028" s="40"/>
      <c r="B1028" s="40"/>
      <c r="C1028" s="40" t="str">
        <f t="array" ref="C1028">concatenate(A1028,":",CHAR(10),B1028)</f>
        <v>:
</v>
      </c>
    </row>
    <row r="1029">
      <c r="A1029" s="40"/>
      <c r="B1029" s="40"/>
      <c r="C1029" s="40" t="str">
        <f t="array" ref="C1029">concatenate(A1029,":",CHAR(10),B1029)</f>
        <v>:
</v>
      </c>
    </row>
    <row r="1030">
      <c r="A1030" s="40"/>
      <c r="B1030" s="40"/>
      <c r="C1030" s="40" t="str">
        <f t="array" ref="C1030">concatenate(A1030,":",CHAR(10),B1030)</f>
        <v>:
</v>
      </c>
    </row>
    <row r="1031">
      <c r="A1031" s="40"/>
      <c r="B1031" s="40"/>
      <c r="C1031" s="40" t="str">
        <f t="array" ref="C1031">concatenate(A1031,":",CHAR(10),B1031)</f>
        <v>:
</v>
      </c>
    </row>
    <row r="1032">
      <c r="A1032" s="40"/>
      <c r="B1032" s="40"/>
      <c r="C1032" s="40" t="str">
        <f t="array" ref="C1032">concatenate(A1032,":",CHAR(10),B1032)</f>
        <v>:
</v>
      </c>
    </row>
    <row r="1033">
      <c r="A1033" s="40"/>
      <c r="B1033" s="40"/>
      <c r="C1033" s="40" t="str">
        <f t="array" ref="C1033">concatenate(A1033,":",CHAR(10),B1033)</f>
        <v>:
</v>
      </c>
    </row>
    <row r="1034">
      <c r="A1034" s="40"/>
      <c r="B1034" s="40"/>
      <c r="C1034" s="40" t="str">
        <f t="array" ref="C1034">concatenate(A1034,":",CHAR(10),B1034)</f>
        <v>:
</v>
      </c>
    </row>
    <row r="1035">
      <c r="A1035" s="40"/>
      <c r="B1035" s="40"/>
      <c r="C1035" s="40" t="str">
        <f t="array" ref="C1035">concatenate(A1035,":",CHAR(10),B1035)</f>
        <v>:
</v>
      </c>
    </row>
    <row r="1036">
      <c r="A1036" s="40"/>
      <c r="B1036" s="40"/>
      <c r="C1036" s="40" t="str">
        <f t="array" ref="C1036">concatenate(A1036,":",CHAR(10),B1036)</f>
        <v>:
</v>
      </c>
    </row>
    <row r="1037">
      <c r="A1037" s="40"/>
      <c r="B1037" s="40"/>
      <c r="C1037" s="40" t="str">
        <f t="array" ref="C1037">concatenate(A1037,":",CHAR(10),B1037)</f>
        <v>:
</v>
      </c>
    </row>
    <row r="1038">
      <c r="A1038" s="40"/>
      <c r="B1038" s="40"/>
      <c r="C1038" s="40" t="str">
        <f t="array" ref="C1038">concatenate(A1038,":",CHAR(10),B1038)</f>
        <v>:
</v>
      </c>
    </row>
    <row r="1039">
      <c r="A1039" s="40"/>
      <c r="B1039" s="40"/>
      <c r="C1039" s="40" t="str">
        <f t="array" ref="C1039">concatenate(A1039,":",CHAR(10),B1039)</f>
        <v>:
</v>
      </c>
    </row>
    <row r="1040">
      <c r="A1040" s="40"/>
      <c r="B1040" s="40"/>
      <c r="C1040" s="40" t="str">
        <f t="array" ref="C1040">concatenate(A1040,":",CHAR(10),B1040)</f>
        <v>:
</v>
      </c>
    </row>
    <row r="1041">
      <c r="A1041" s="40"/>
      <c r="B1041" s="40"/>
      <c r="C1041" s="40" t="str">
        <f t="array" ref="C1041">concatenate(A1041,":",CHAR(10),B1041)</f>
        <v>:
</v>
      </c>
    </row>
    <row r="1042">
      <c r="A1042" s="40"/>
      <c r="B1042" s="40"/>
      <c r="C1042" s="40" t="str">
        <f t="array" ref="C1042">concatenate(A1042,":",CHAR(10),B1042)</f>
        <v>:
</v>
      </c>
    </row>
    <row r="1043">
      <c r="A1043" s="40"/>
      <c r="B1043" s="40"/>
      <c r="C1043" s="40" t="str">
        <f t="array" ref="C1043">concatenate(A1043,":",CHAR(10),B1043)</f>
        <v>:
</v>
      </c>
    </row>
    <row r="1044">
      <c r="A1044" s="40"/>
      <c r="B1044" s="40"/>
      <c r="C1044" s="40" t="str">
        <f t="array" ref="C1044">concatenate(A1044,":",CHAR(10),B1044)</f>
        <v>:
</v>
      </c>
    </row>
    <row r="1045">
      <c r="A1045" s="40"/>
      <c r="B1045" s="40"/>
      <c r="C1045" s="40" t="str">
        <f t="array" ref="C1045">concatenate(A1045,":",CHAR(10),B1045)</f>
        <v>:
</v>
      </c>
    </row>
    <row r="1046">
      <c r="A1046" s="40"/>
      <c r="B1046" s="40"/>
      <c r="C1046" s="40" t="str">
        <f t="array" ref="C1046">concatenate(A1046,":",CHAR(10),B1046)</f>
        <v>:
</v>
      </c>
    </row>
    <row r="1047">
      <c r="A1047" s="40"/>
      <c r="B1047" s="40"/>
      <c r="C1047" s="40" t="str">
        <f t="array" ref="C1047">concatenate(A1047,":",CHAR(10),B1047)</f>
        <v>:
</v>
      </c>
    </row>
    <row r="1048">
      <c r="A1048" s="40"/>
      <c r="B1048" s="40"/>
      <c r="C1048" s="40" t="str">
        <f t="array" ref="C1048">concatenate(A1048,":",CHAR(10),B1048)</f>
        <v>:
</v>
      </c>
    </row>
    <row r="1049">
      <c r="A1049" s="40"/>
      <c r="B1049" s="40"/>
      <c r="C1049" s="40" t="str">
        <f t="array" ref="C1049">concatenate(A1049,":",CHAR(10),B1049)</f>
        <v>:
</v>
      </c>
    </row>
    <row r="1050">
      <c r="A1050" s="40"/>
      <c r="B1050" s="40"/>
      <c r="C1050" s="40" t="str">
        <f t="array" ref="C1050">concatenate(A1050,":",CHAR(10),B1050)</f>
        <v>:
</v>
      </c>
    </row>
    <row r="1051">
      <c r="A1051" s="40"/>
      <c r="B1051" s="40"/>
      <c r="C1051" s="40" t="str">
        <f t="array" ref="C1051">concatenate(A1051,":",CHAR(10),B1051)</f>
        <v>:
</v>
      </c>
    </row>
    <row r="1052">
      <c r="A1052" s="40"/>
      <c r="B1052" s="40"/>
      <c r="C1052" s="40" t="str">
        <f t="array" ref="C1052">concatenate(A1052,":",CHAR(10),B1052)</f>
        <v>:
</v>
      </c>
    </row>
    <row r="1053">
      <c r="A1053" s="40"/>
      <c r="B1053" s="40"/>
      <c r="C1053" s="40" t="str">
        <f t="array" ref="C1053">concatenate(A1053,":",CHAR(10),B1053)</f>
        <v>:
</v>
      </c>
    </row>
    <row r="1054">
      <c r="A1054" s="40"/>
      <c r="B1054" s="40"/>
      <c r="C1054" s="40" t="str">
        <f t="array" ref="C1054">concatenate(A1054,":",CHAR(10),B1054)</f>
        <v>:
</v>
      </c>
    </row>
    <row r="1055">
      <c r="A1055" s="40"/>
      <c r="B1055" s="40"/>
      <c r="C1055" s="40" t="str">
        <f t="array" ref="C1055">concatenate(A1055,":",CHAR(10),B1055)</f>
        <v>:
</v>
      </c>
    </row>
    <row r="1056">
      <c r="A1056" s="40"/>
      <c r="B1056" s="40"/>
      <c r="C1056" s="40" t="str">
        <f t="array" ref="C1056">concatenate(A1056,":",CHAR(10),B1056)</f>
        <v>:
</v>
      </c>
    </row>
    <row r="1057">
      <c r="A1057" s="40"/>
      <c r="B1057" s="40"/>
      <c r="C1057" s="40" t="str">
        <f t="array" ref="C1057">concatenate(A1057,":",CHAR(10),B1057)</f>
        <v>:
</v>
      </c>
    </row>
    <row r="1058">
      <c r="A1058" s="40"/>
      <c r="B1058" s="40"/>
      <c r="C1058" s="40" t="str">
        <f t="array" ref="C1058">concatenate(A1058,":",CHAR(10),B1058)</f>
        <v>:
</v>
      </c>
    </row>
    <row r="1059">
      <c r="A1059" s="40"/>
      <c r="B1059" s="40"/>
      <c r="C1059" s="40" t="str">
        <f t="array" ref="C1059">concatenate(A1059,":",CHAR(10),B1059)</f>
        <v>:
</v>
      </c>
    </row>
    <row r="1060">
      <c r="A1060" s="40"/>
      <c r="B1060" s="40"/>
      <c r="C1060" s="40" t="str">
        <f t="array" ref="C1060">concatenate(A1060,":",CHAR(10),B1060)</f>
        <v>:
</v>
      </c>
    </row>
    <row r="1061">
      <c r="A1061" s="40"/>
      <c r="B1061" s="40"/>
      <c r="C1061" s="40" t="str">
        <f t="array" ref="C1061">concatenate(A1061,":",CHAR(10),B1061)</f>
        <v>:
</v>
      </c>
    </row>
    <row r="1062">
      <c r="A1062" s="40"/>
      <c r="B1062" s="40"/>
      <c r="C1062" s="40" t="str">
        <f t="array" ref="C1062">concatenate(A1062,":",CHAR(10),B1062)</f>
        <v>:
</v>
      </c>
    </row>
    <row r="1063">
      <c r="A1063" s="40"/>
      <c r="B1063" s="40"/>
      <c r="C1063" s="40" t="str">
        <f t="array" ref="C1063">concatenate(A1063,":",CHAR(10),B1063)</f>
        <v>:
</v>
      </c>
    </row>
    <row r="1064">
      <c r="A1064" s="40"/>
      <c r="B1064" s="40"/>
      <c r="C1064" s="40" t="str">
        <f t="array" ref="C1064">concatenate(A1064,":",CHAR(10),B1064)</f>
        <v>:
</v>
      </c>
    </row>
    <row r="1065">
      <c r="A1065" s="40"/>
      <c r="B1065" s="40"/>
      <c r="C1065" s="40" t="str">
        <f t="array" ref="C1065">concatenate(A1065,":",CHAR(10),B1065)</f>
        <v>:
</v>
      </c>
    </row>
    <row r="1066">
      <c r="A1066" s="40"/>
      <c r="B1066" s="40"/>
      <c r="C1066" s="40" t="str">
        <f t="array" ref="C1066">concatenate(A1066,":",CHAR(10),B1066)</f>
        <v>:
</v>
      </c>
    </row>
    <row r="1067">
      <c r="A1067" s="40"/>
      <c r="B1067" s="40"/>
      <c r="C1067" s="40" t="str">
        <f t="array" ref="C1067">concatenate(A1067,":",CHAR(10),B1067)</f>
        <v>:
</v>
      </c>
    </row>
    <row r="1068">
      <c r="A1068" s="40"/>
      <c r="B1068" s="40"/>
      <c r="C1068" s="40" t="str">
        <f t="array" ref="C1068">concatenate(A1068,":",CHAR(10),B1068)</f>
        <v>:
</v>
      </c>
    </row>
    <row r="1069">
      <c r="A1069" s="40"/>
      <c r="B1069" s="40"/>
      <c r="C1069" s="40" t="str">
        <f t="array" ref="C1069">concatenate(A1069,":",CHAR(10),B1069)</f>
        <v>:
</v>
      </c>
    </row>
    <row r="1070">
      <c r="A1070" s="40"/>
      <c r="B1070" s="40"/>
      <c r="C1070" s="40" t="str">
        <f t="array" ref="C1070">concatenate(A1070,":",CHAR(10),B1070)</f>
        <v>:
</v>
      </c>
    </row>
    <row r="1071">
      <c r="A1071" s="40"/>
      <c r="B1071" s="40"/>
      <c r="C1071" s="40" t="str">
        <f t="array" ref="C1071">concatenate(A1071,":",CHAR(10),B1071)</f>
        <v>:
</v>
      </c>
    </row>
    <row r="1072">
      <c r="A1072" s="40"/>
      <c r="B1072" s="40"/>
      <c r="C1072" s="40" t="str">
        <f t="array" ref="C1072">concatenate(A1072,":",CHAR(10),B1072)</f>
        <v>:
</v>
      </c>
    </row>
    <row r="1073">
      <c r="A1073" s="40"/>
      <c r="B1073" s="40"/>
      <c r="C1073" s="40" t="str">
        <f t="array" ref="C1073">concatenate(A1073,":",CHAR(10),B1073)</f>
        <v>:
</v>
      </c>
    </row>
    <row r="1074">
      <c r="A1074" s="40"/>
      <c r="B1074" s="40"/>
      <c r="C1074" s="40" t="str">
        <f t="array" ref="C1074">concatenate(A1074,":",CHAR(10),B1074)</f>
        <v>:
</v>
      </c>
    </row>
    <row r="1075">
      <c r="A1075" s="40"/>
      <c r="B1075" s="40"/>
      <c r="C1075" s="40" t="str">
        <f t="array" ref="C1075">concatenate(A1075,":",CHAR(10),B1075)</f>
        <v>:
</v>
      </c>
    </row>
    <row r="1076">
      <c r="A1076" s="40"/>
      <c r="B1076" s="40"/>
      <c r="C1076" s="40" t="str">
        <f t="array" ref="C1076">concatenate(A1076,":",CHAR(10),B1076)</f>
        <v>:
</v>
      </c>
    </row>
    <row r="1077">
      <c r="A1077" s="40"/>
      <c r="B1077" s="40"/>
      <c r="C1077" s="40" t="str">
        <f t="array" ref="C1077">concatenate(A1077,":",CHAR(10),B1077)</f>
        <v>:
</v>
      </c>
    </row>
    <row r="1078">
      <c r="A1078" s="40"/>
      <c r="B1078" s="40"/>
      <c r="C1078" s="40" t="str">
        <f t="array" ref="C1078">concatenate(A1078,":",CHAR(10),B1078)</f>
        <v>:
</v>
      </c>
    </row>
    <row r="1079">
      <c r="A1079" s="40"/>
      <c r="B1079" s="40"/>
      <c r="C1079" s="40" t="str">
        <f t="array" ref="C1079">concatenate(A1079,":",CHAR(10),B1079)</f>
        <v>:
</v>
      </c>
    </row>
    <row r="1080">
      <c r="A1080" s="40"/>
      <c r="B1080" s="40"/>
      <c r="C1080" s="40" t="str">
        <f t="array" ref="C1080">concatenate(A1080,":",CHAR(10),B1080)</f>
        <v>:
</v>
      </c>
    </row>
    <row r="1081">
      <c r="A1081" s="40"/>
      <c r="B1081" s="40"/>
      <c r="C1081" s="40" t="str">
        <f t="array" ref="C1081">concatenate(A1081,":",CHAR(10),B1081)</f>
        <v>:
</v>
      </c>
    </row>
    <row r="1082">
      <c r="A1082" s="40"/>
      <c r="B1082" s="40"/>
      <c r="C1082" s="40" t="str">
        <f t="array" ref="C1082">concatenate(A1082,":",CHAR(10),B1082)</f>
        <v>:
</v>
      </c>
    </row>
    <row r="1083">
      <c r="A1083" s="40"/>
      <c r="B1083" s="40"/>
      <c r="C1083" s="40" t="str">
        <f t="array" ref="C1083">concatenate(A1083,":",CHAR(10),B1083)</f>
        <v>:
</v>
      </c>
    </row>
    <row r="1084">
      <c r="A1084" s="40"/>
      <c r="B1084" s="40"/>
      <c r="C1084" s="40" t="str">
        <f t="array" ref="C1084">concatenate(A1084,":",CHAR(10),B1084)</f>
        <v>:
</v>
      </c>
    </row>
    <row r="1085">
      <c r="A1085" s="40"/>
      <c r="B1085" s="40"/>
      <c r="C1085" s="40" t="str">
        <f t="array" ref="C1085">concatenate(A1085,":",CHAR(10),B1085)</f>
        <v>:
</v>
      </c>
    </row>
    <row r="1086">
      <c r="A1086" s="40"/>
      <c r="B1086" s="40"/>
      <c r="C1086" s="40" t="str">
        <f t="array" ref="C1086">concatenate(A1086,":",CHAR(10),B1086)</f>
        <v>:
</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7.0"/>
    <col hidden="1" min="2" max="5" width="14.43"/>
    <col customWidth="1" min="6" max="6" width="32.0"/>
    <col customWidth="1" min="7" max="9" width="23.86"/>
  </cols>
  <sheetData>
    <row r="1">
      <c r="A1" s="304" t="s">
        <v>1632</v>
      </c>
      <c r="B1" s="124" t="s">
        <v>1279</v>
      </c>
      <c r="C1" s="124" t="s">
        <v>1941</v>
      </c>
      <c r="D1" s="124" t="s">
        <v>1942</v>
      </c>
      <c r="E1" s="124" t="s">
        <v>1943</v>
      </c>
      <c r="F1" s="124" t="s">
        <v>1633</v>
      </c>
      <c r="G1" s="416" t="s">
        <v>1944</v>
      </c>
      <c r="H1" s="416" t="s">
        <v>1945</v>
      </c>
      <c r="I1" s="416" t="s">
        <v>1946</v>
      </c>
      <c r="J1" s="417" t="s">
        <v>1947</v>
      </c>
    </row>
    <row r="2" hidden="1">
      <c r="A2" s="36" t="s">
        <v>1948</v>
      </c>
      <c r="B2" s="41">
        <v>10.0</v>
      </c>
      <c r="C2" s="41">
        <v>1.0</v>
      </c>
      <c r="D2" s="41">
        <v>300.0</v>
      </c>
      <c r="E2" s="41">
        <v>50.0</v>
      </c>
      <c r="F2" s="41" t="s">
        <v>1949</v>
      </c>
      <c r="G2" s="418" t="s">
        <v>1950</v>
      </c>
      <c r="H2" s="418" t="s">
        <v>1951</v>
      </c>
      <c r="I2" s="418" t="s">
        <v>1951</v>
      </c>
      <c r="J2" s="7"/>
    </row>
    <row r="3" hidden="1">
      <c r="A3" s="36" t="s">
        <v>1952</v>
      </c>
      <c r="B3" s="41">
        <v>10.0</v>
      </c>
      <c r="C3" s="41">
        <v>1.0</v>
      </c>
      <c r="D3" s="41">
        <v>300.0</v>
      </c>
      <c r="E3" s="41">
        <v>50.0</v>
      </c>
      <c r="F3" s="41" t="s">
        <v>1949</v>
      </c>
      <c r="G3" s="418" t="s">
        <v>1950</v>
      </c>
      <c r="H3" s="418" t="s">
        <v>1951</v>
      </c>
      <c r="I3" s="418" t="s">
        <v>1951</v>
      </c>
      <c r="J3" s="7"/>
    </row>
    <row r="4" hidden="1">
      <c r="A4" s="36" t="s">
        <v>1953</v>
      </c>
      <c r="B4" s="41">
        <v>10.0</v>
      </c>
      <c r="C4" s="41">
        <v>1.0</v>
      </c>
      <c r="D4" s="41">
        <v>300.0</v>
      </c>
      <c r="E4" s="41">
        <v>50.0</v>
      </c>
      <c r="F4" s="41" t="s">
        <v>1949</v>
      </c>
      <c r="G4" s="418" t="s">
        <v>1950</v>
      </c>
      <c r="H4" s="418" t="s">
        <v>1951</v>
      </c>
      <c r="I4" s="418" t="s">
        <v>1951</v>
      </c>
      <c r="J4" s="7"/>
    </row>
    <row r="5" hidden="1">
      <c r="A5" s="36" t="s">
        <v>1954</v>
      </c>
      <c r="B5" s="41">
        <v>10.0</v>
      </c>
      <c r="C5" s="41">
        <v>1.0</v>
      </c>
      <c r="D5" s="41">
        <v>300.0</v>
      </c>
      <c r="E5" s="41">
        <v>50.0</v>
      </c>
      <c r="F5" s="41" t="s">
        <v>1316</v>
      </c>
      <c r="G5" s="418" t="s">
        <v>1950</v>
      </c>
      <c r="H5" s="418" t="s">
        <v>1951</v>
      </c>
      <c r="I5" s="418" t="s">
        <v>1951</v>
      </c>
      <c r="J5" s="12" t="s">
        <v>1955</v>
      </c>
    </row>
    <row r="6">
      <c r="A6" s="383" t="s">
        <v>1634</v>
      </c>
      <c r="B6" s="62"/>
      <c r="C6" s="62"/>
      <c r="D6" s="62"/>
      <c r="E6" s="62"/>
      <c r="F6" s="47" t="s">
        <v>1635</v>
      </c>
      <c r="G6" s="419"/>
      <c r="H6" s="419"/>
      <c r="I6" s="419"/>
      <c r="J6" s="7"/>
    </row>
    <row r="7" hidden="1">
      <c r="A7" s="383" t="s">
        <v>1956</v>
      </c>
      <c r="B7" s="72">
        <v>10.0</v>
      </c>
      <c r="C7" s="72">
        <v>1.0</v>
      </c>
      <c r="D7" s="72">
        <v>300.0</v>
      </c>
      <c r="E7" s="72">
        <v>50.0</v>
      </c>
      <c r="F7" s="72" t="s">
        <v>1957</v>
      </c>
      <c r="G7" s="418" t="s">
        <v>1950</v>
      </c>
      <c r="H7" s="418" t="s">
        <v>1951</v>
      </c>
      <c r="I7" s="418" t="s">
        <v>1951</v>
      </c>
      <c r="J7" s="7"/>
    </row>
    <row r="8" hidden="1">
      <c r="A8" s="383" t="s">
        <v>1958</v>
      </c>
      <c r="B8" s="72">
        <v>10.0</v>
      </c>
      <c r="C8" s="72">
        <v>1.0</v>
      </c>
      <c r="D8" s="72">
        <v>300.0</v>
      </c>
      <c r="E8" s="72">
        <v>50.0</v>
      </c>
      <c r="F8" s="72" t="s">
        <v>1957</v>
      </c>
      <c r="G8" s="418" t="s">
        <v>1950</v>
      </c>
      <c r="H8" s="418" t="s">
        <v>1951</v>
      </c>
      <c r="I8" s="418" t="s">
        <v>1951</v>
      </c>
      <c r="J8" s="7"/>
    </row>
    <row r="9" hidden="1">
      <c r="A9" s="383" t="s">
        <v>1959</v>
      </c>
      <c r="B9" s="72">
        <v>10.0</v>
      </c>
      <c r="C9" s="72">
        <v>1.0</v>
      </c>
      <c r="D9" s="72">
        <v>300.0</v>
      </c>
      <c r="E9" s="72">
        <v>50.0</v>
      </c>
      <c r="F9" s="72" t="s">
        <v>1957</v>
      </c>
      <c r="G9" s="418" t="s">
        <v>1950</v>
      </c>
      <c r="H9" s="418" t="s">
        <v>1951</v>
      </c>
      <c r="I9" s="418" t="s">
        <v>1951</v>
      </c>
      <c r="J9" s="7"/>
    </row>
    <row r="10" hidden="1">
      <c r="A10" s="383" t="s">
        <v>1960</v>
      </c>
      <c r="B10" s="72">
        <v>10.0</v>
      </c>
      <c r="C10" s="72">
        <v>1.0</v>
      </c>
      <c r="D10" s="72">
        <v>300.0</v>
      </c>
      <c r="E10" s="72">
        <v>50.0</v>
      </c>
      <c r="F10" s="72" t="s">
        <v>1957</v>
      </c>
      <c r="G10" s="418" t="s">
        <v>1950</v>
      </c>
      <c r="H10" s="418" t="s">
        <v>1951</v>
      </c>
      <c r="I10" s="418" t="s">
        <v>1951</v>
      </c>
      <c r="J10" s="7"/>
    </row>
    <row r="11" hidden="1">
      <c r="A11" s="383" t="s">
        <v>1961</v>
      </c>
      <c r="B11" s="72">
        <v>10.0</v>
      </c>
      <c r="C11" s="72">
        <v>1.0</v>
      </c>
      <c r="D11" s="72">
        <v>300.0</v>
      </c>
      <c r="E11" s="72">
        <v>50.0</v>
      </c>
      <c r="F11" s="72" t="s">
        <v>1957</v>
      </c>
      <c r="G11" s="418" t="s">
        <v>1950</v>
      </c>
      <c r="H11" s="418" t="s">
        <v>1951</v>
      </c>
      <c r="I11" s="418" t="s">
        <v>1951</v>
      </c>
      <c r="J11" s="7"/>
    </row>
    <row r="12" hidden="1">
      <c r="A12" s="383" t="s">
        <v>1962</v>
      </c>
      <c r="B12" s="72">
        <v>10.0</v>
      </c>
      <c r="C12" s="72">
        <v>1.0</v>
      </c>
      <c r="D12" s="420">
        <v>300.0</v>
      </c>
      <c r="E12" s="420">
        <v>50.0</v>
      </c>
      <c r="F12" s="72" t="s">
        <v>1963</v>
      </c>
      <c r="G12" s="418" t="s">
        <v>1950</v>
      </c>
      <c r="H12" s="418" t="s">
        <v>1951</v>
      </c>
      <c r="I12" s="418" t="s">
        <v>1951</v>
      </c>
      <c r="J12" s="7"/>
    </row>
    <row r="13">
      <c r="A13" s="383" t="s">
        <v>1636</v>
      </c>
      <c r="B13" s="72">
        <v>10.0</v>
      </c>
      <c r="C13" s="72">
        <v>1.0</v>
      </c>
      <c r="D13" s="72">
        <v>300.0</v>
      </c>
      <c r="E13" s="72">
        <v>50.0</v>
      </c>
      <c r="F13" s="47" t="s">
        <v>1964</v>
      </c>
      <c r="G13" s="418" t="s">
        <v>1950</v>
      </c>
      <c r="H13" s="418" t="s">
        <v>1951</v>
      </c>
      <c r="I13" s="418" t="s">
        <v>1951</v>
      </c>
      <c r="J13" s="7"/>
    </row>
    <row r="14" hidden="1">
      <c r="A14" s="383" t="s">
        <v>1965</v>
      </c>
      <c r="B14" s="72">
        <v>10.0</v>
      </c>
      <c r="C14" s="72">
        <v>1.0</v>
      </c>
      <c r="D14" s="72">
        <v>300.0</v>
      </c>
      <c r="E14" s="72">
        <v>50.0</v>
      </c>
      <c r="F14" s="72" t="s">
        <v>1966</v>
      </c>
      <c r="G14" s="418" t="s">
        <v>1950</v>
      </c>
      <c r="H14" s="418" t="s">
        <v>1951</v>
      </c>
      <c r="I14" s="418" t="s">
        <v>1951</v>
      </c>
      <c r="J14" s="7"/>
    </row>
    <row r="15" hidden="1">
      <c r="A15" s="383" t="s">
        <v>1967</v>
      </c>
      <c r="B15" s="72">
        <v>10.0</v>
      </c>
      <c r="C15" s="72">
        <v>2.0</v>
      </c>
      <c r="D15" s="72">
        <v>300.0</v>
      </c>
      <c r="E15" s="72">
        <v>50.0</v>
      </c>
      <c r="F15" s="72" t="s">
        <v>1966</v>
      </c>
      <c r="G15" s="418" t="s">
        <v>1950</v>
      </c>
      <c r="H15" s="418" t="s">
        <v>1951</v>
      </c>
      <c r="I15" s="418" t="s">
        <v>1951</v>
      </c>
      <c r="J15" s="7"/>
    </row>
    <row r="16" hidden="1">
      <c r="A16" s="383" t="s">
        <v>1968</v>
      </c>
      <c r="B16" s="62"/>
      <c r="C16" s="62"/>
      <c r="D16" s="62"/>
      <c r="E16" s="62"/>
      <c r="F16" s="72" t="s">
        <v>1963</v>
      </c>
      <c r="G16" s="419"/>
      <c r="H16" s="419"/>
      <c r="I16" s="419"/>
      <c r="J16" s="7"/>
    </row>
    <row r="17" hidden="1">
      <c r="A17" s="383" t="s">
        <v>1969</v>
      </c>
      <c r="B17" s="72">
        <v>10.0</v>
      </c>
      <c r="C17" s="72">
        <v>1.0</v>
      </c>
      <c r="D17" s="72">
        <v>300.0</v>
      </c>
      <c r="E17" s="72">
        <v>50.0</v>
      </c>
      <c r="F17" s="72" t="s">
        <v>1966</v>
      </c>
      <c r="G17" s="418" t="s">
        <v>1950</v>
      </c>
      <c r="H17" s="418" t="s">
        <v>1951</v>
      </c>
      <c r="I17" s="418" t="s">
        <v>1951</v>
      </c>
      <c r="J17" s="7"/>
    </row>
    <row r="18">
      <c r="A18" s="383" t="s">
        <v>1638</v>
      </c>
      <c r="B18" s="72">
        <v>10.0</v>
      </c>
      <c r="C18" s="72">
        <v>1.0</v>
      </c>
      <c r="D18" s="72">
        <v>300.0</v>
      </c>
      <c r="E18" s="72">
        <v>50.0</v>
      </c>
      <c r="F18" s="47" t="s">
        <v>1970</v>
      </c>
      <c r="G18" s="418" t="s">
        <v>1950</v>
      </c>
      <c r="H18" s="418" t="s">
        <v>1951</v>
      </c>
      <c r="I18" s="418" t="s">
        <v>1951</v>
      </c>
      <c r="J18" s="7"/>
    </row>
    <row r="19" hidden="1">
      <c r="A19" s="383" t="s">
        <v>1971</v>
      </c>
      <c r="B19" s="72">
        <v>10.0</v>
      </c>
      <c r="C19" s="72">
        <v>1.0</v>
      </c>
      <c r="D19" s="72">
        <v>300.0</v>
      </c>
      <c r="E19" s="72">
        <v>50.0</v>
      </c>
      <c r="F19" s="72" t="s">
        <v>1316</v>
      </c>
      <c r="G19" s="418" t="s">
        <v>1950</v>
      </c>
      <c r="H19" s="418" t="s">
        <v>1951</v>
      </c>
      <c r="I19" s="418" t="s">
        <v>1951</v>
      </c>
      <c r="J19" s="12" t="s">
        <v>1955</v>
      </c>
    </row>
    <row r="20" hidden="1">
      <c r="A20" s="383" t="s">
        <v>1972</v>
      </c>
      <c r="B20" s="62"/>
      <c r="C20" s="62"/>
      <c r="D20" s="62"/>
      <c r="E20" s="62"/>
      <c r="F20" s="72" t="s">
        <v>1963</v>
      </c>
      <c r="G20" s="419"/>
      <c r="H20" s="419"/>
      <c r="I20" s="419"/>
      <c r="J20" s="7"/>
    </row>
    <row r="21">
      <c r="A21" s="383" t="s">
        <v>1640</v>
      </c>
      <c r="B21" s="72">
        <v>10.0</v>
      </c>
      <c r="C21" s="72">
        <v>1.0</v>
      </c>
      <c r="D21" s="72">
        <v>300.0</v>
      </c>
      <c r="E21" s="72">
        <v>50.0</v>
      </c>
      <c r="F21" s="47" t="s">
        <v>1973</v>
      </c>
      <c r="G21" s="190" t="s">
        <v>1950</v>
      </c>
      <c r="H21" s="190" t="s">
        <v>1951</v>
      </c>
      <c r="I21" s="190" t="s">
        <v>1951</v>
      </c>
      <c r="J21" s="189"/>
    </row>
    <row r="22" hidden="1">
      <c r="A22" s="383" t="s">
        <v>1974</v>
      </c>
      <c r="B22" s="72">
        <v>10.0</v>
      </c>
      <c r="C22" s="72">
        <v>1.0</v>
      </c>
      <c r="D22" s="72">
        <v>300.0</v>
      </c>
      <c r="E22" s="72">
        <v>50.0</v>
      </c>
      <c r="F22" s="72" t="s">
        <v>1975</v>
      </c>
      <c r="G22" s="190" t="s">
        <v>1950</v>
      </c>
      <c r="H22" s="190" t="s">
        <v>1951</v>
      </c>
      <c r="I22" s="190" t="s">
        <v>1951</v>
      </c>
      <c r="J22" s="7"/>
    </row>
    <row r="23" hidden="1">
      <c r="A23" s="383" t="s">
        <v>1976</v>
      </c>
      <c r="B23" s="72">
        <v>10.0</v>
      </c>
      <c r="C23" s="72">
        <v>1.0</v>
      </c>
      <c r="D23" s="72">
        <v>300.0</v>
      </c>
      <c r="E23" s="72">
        <v>50.0</v>
      </c>
      <c r="F23" s="72" t="s">
        <v>1975</v>
      </c>
      <c r="G23" s="190" t="s">
        <v>1950</v>
      </c>
      <c r="H23" s="190" t="s">
        <v>1951</v>
      </c>
      <c r="I23" s="190" t="s">
        <v>1951</v>
      </c>
      <c r="J23" s="7"/>
    </row>
    <row r="24" hidden="1">
      <c r="A24" s="383" t="s">
        <v>1977</v>
      </c>
      <c r="B24" s="72">
        <v>10.0</v>
      </c>
      <c r="C24" s="72">
        <v>2.0</v>
      </c>
      <c r="D24" s="72">
        <v>300.0</v>
      </c>
      <c r="E24" s="72">
        <v>50.0</v>
      </c>
      <c r="F24" s="72" t="s">
        <v>1975</v>
      </c>
      <c r="G24" s="190" t="s">
        <v>1950</v>
      </c>
      <c r="H24" s="190" t="s">
        <v>1951</v>
      </c>
      <c r="I24" s="190" t="s">
        <v>1951</v>
      </c>
      <c r="J24" s="7"/>
    </row>
    <row r="25" hidden="1">
      <c r="A25" s="383" t="s">
        <v>1978</v>
      </c>
      <c r="B25" s="72">
        <v>10.0</v>
      </c>
      <c r="C25" s="72">
        <v>3.0</v>
      </c>
      <c r="D25" s="72">
        <v>300.0</v>
      </c>
      <c r="E25" s="72">
        <v>50.0</v>
      </c>
      <c r="F25" s="72" t="s">
        <v>1975</v>
      </c>
      <c r="G25" s="190" t="s">
        <v>1950</v>
      </c>
      <c r="H25" s="190" t="s">
        <v>1951</v>
      </c>
      <c r="I25" s="190" t="s">
        <v>1951</v>
      </c>
      <c r="J25" s="7"/>
    </row>
    <row r="26" hidden="1">
      <c r="A26" s="383" t="s">
        <v>1979</v>
      </c>
      <c r="B26" s="72">
        <v>10.0</v>
      </c>
      <c r="C26" s="72"/>
      <c r="D26" s="72"/>
      <c r="E26" s="72"/>
      <c r="F26" s="72"/>
      <c r="G26" s="190"/>
      <c r="H26" s="190"/>
      <c r="I26" s="190"/>
      <c r="J26" s="7"/>
    </row>
    <row r="27">
      <c r="A27" s="409" t="s">
        <v>1642</v>
      </c>
      <c r="B27" s="147"/>
      <c r="C27" s="147"/>
      <c r="D27" s="147"/>
      <c r="E27" s="147"/>
      <c r="F27" s="421" t="s">
        <v>1980</v>
      </c>
      <c r="G27" s="419"/>
      <c r="H27" s="419"/>
      <c r="I27" s="419"/>
      <c r="J27" s="7"/>
    </row>
    <row r="28" hidden="1">
      <c r="A28" s="383"/>
      <c r="B28" s="62"/>
      <c r="C28" s="62"/>
      <c r="D28" s="62"/>
      <c r="E28" s="62"/>
      <c r="F28" s="62"/>
      <c r="G28" s="419"/>
      <c r="H28" s="419"/>
      <c r="I28" s="419"/>
      <c r="J28" s="7"/>
    </row>
    <row r="29">
      <c r="A29" s="383" t="s">
        <v>1644</v>
      </c>
      <c r="B29" s="62"/>
      <c r="C29" s="62"/>
      <c r="D29" s="62"/>
      <c r="E29" s="62"/>
      <c r="F29" s="47" t="s">
        <v>1645</v>
      </c>
      <c r="G29" s="419"/>
      <c r="H29" s="419"/>
      <c r="I29" s="419"/>
      <c r="J29" s="7"/>
    </row>
    <row r="30">
      <c r="A30" s="383" t="s">
        <v>1646</v>
      </c>
      <c r="B30" s="62"/>
      <c r="C30" s="62"/>
      <c r="D30" s="62"/>
      <c r="E30" s="62"/>
      <c r="F30" s="47" t="s">
        <v>1981</v>
      </c>
      <c r="G30" s="419"/>
      <c r="H30" s="419"/>
      <c r="I30" s="419"/>
      <c r="J30" s="7"/>
    </row>
    <row r="31">
      <c r="A31" s="383" t="s">
        <v>1648</v>
      </c>
      <c r="B31" s="62"/>
      <c r="C31" s="62"/>
      <c r="D31" s="62"/>
      <c r="E31" s="62"/>
      <c r="F31" s="47" t="s">
        <v>1649</v>
      </c>
      <c r="G31" s="419"/>
      <c r="H31" s="419"/>
      <c r="I31" s="419"/>
      <c r="J31" s="7"/>
    </row>
    <row r="32">
      <c r="A32" s="383" t="s">
        <v>1650</v>
      </c>
      <c r="B32" s="62"/>
      <c r="C32" s="62"/>
      <c r="D32" s="62"/>
      <c r="E32" s="62"/>
      <c r="F32" s="47" t="s">
        <v>1982</v>
      </c>
      <c r="G32" s="419"/>
      <c r="H32" s="419"/>
      <c r="I32" s="419"/>
      <c r="J32" s="7"/>
    </row>
    <row r="33">
      <c r="A33" s="383" t="s">
        <v>1652</v>
      </c>
      <c r="B33" s="62"/>
      <c r="C33" s="62"/>
      <c r="D33" s="62"/>
      <c r="E33" s="62"/>
      <c r="F33" s="47" t="s">
        <v>1653</v>
      </c>
      <c r="G33" s="419"/>
      <c r="H33" s="419"/>
      <c r="I33" s="419"/>
      <c r="J33" s="7"/>
    </row>
    <row r="34">
      <c r="A34" s="383" t="s">
        <v>1654</v>
      </c>
      <c r="B34" s="62"/>
      <c r="C34" s="62"/>
      <c r="D34" s="62"/>
      <c r="E34" s="62"/>
      <c r="F34" s="47" t="s">
        <v>1655</v>
      </c>
      <c r="G34" s="419"/>
      <c r="H34" s="419"/>
      <c r="I34" s="419"/>
      <c r="J34" s="7"/>
    </row>
    <row r="35">
      <c r="A35" s="383" t="s">
        <v>1656</v>
      </c>
      <c r="B35" s="62"/>
      <c r="C35" s="62"/>
      <c r="D35" s="62"/>
      <c r="E35" s="62"/>
      <c r="F35" s="47" t="s">
        <v>1657</v>
      </c>
      <c r="G35" s="419"/>
      <c r="H35" s="419"/>
      <c r="I35" s="419"/>
      <c r="J35" s="7"/>
    </row>
    <row r="36">
      <c r="A36" s="383" t="s">
        <v>1658</v>
      </c>
      <c r="B36" s="62"/>
      <c r="C36" s="62"/>
      <c r="D36" s="62"/>
      <c r="E36" s="62"/>
      <c r="F36" s="47" t="s">
        <v>1659</v>
      </c>
      <c r="G36" s="419"/>
      <c r="H36" s="419"/>
      <c r="I36" s="419"/>
      <c r="J36" s="7"/>
    </row>
    <row r="37">
      <c r="A37" s="383" t="s">
        <v>1660</v>
      </c>
      <c r="B37" s="62"/>
      <c r="C37" s="62"/>
      <c r="D37" s="62"/>
      <c r="E37" s="62"/>
      <c r="F37" s="47" t="s">
        <v>1983</v>
      </c>
      <c r="G37" s="419"/>
      <c r="H37" s="419"/>
      <c r="I37" s="419"/>
      <c r="J37" s="7"/>
    </row>
    <row r="38">
      <c r="A38" s="383" t="s">
        <v>1662</v>
      </c>
      <c r="B38" s="62"/>
      <c r="C38" s="62"/>
      <c r="D38" s="62"/>
      <c r="E38" s="62"/>
      <c r="F38" s="47" t="s">
        <v>1984</v>
      </c>
      <c r="G38" s="419"/>
      <c r="H38" s="419"/>
      <c r="I38" s="419"/>
      <c r="J38" s="7"/>
    </row>
    <row r="39">
      <c r="A39" s="383"/>
      <c r="B39" s="62"/>
      <c r="C39" s="62"/>
      <c r="D39" s="62"/>
      <c r="E39" s="62"/>
      <c r="F39" s="47"/>
      <c r="G39" s="419"/>
      <c r="H39" s="419"/>
      <c r="I39" s="419"/>
      <c r="J39" s="7"/>
    </row>
    <row r="40">
      <c r="A40" s="12" t="s">
        <v>1985</v>
      </c>
      <c r="B40" s="418">
        <v>5.0</v>
      </c>
      <c r="C40" s="418">
        <v>3.0</v>
      </c>
      <c r="D40" s="418">
        <v>6600.0</v>
      </c>
      <c r="E40" s="418">
        <v>25.0</v>
      </c>
      <c r="F40" s="418" t="s">
        <v>1986</v>
      </c>
      <c r="G40" s="418" t="s">
        <v>1950</v>
      </c>
      <c r="H40" s="418" t="s">
        <v>1951</v>
      </c>
      <c r="I40" s="418" t="s">
        <v>1951</v>
      </c>
      <c r="J40" s="7"/>
    </row>
    <row r="41">
      <c r="A41" s="12" t="s">
        <v>1987</v>
      </c>
      <c r="B41" s="418">
        <v>5.0</v>
      </c>
      <c r="C41" s="418">
        <v>3.0</v>
      </c>
      <c r="D41" s="418">
        <v>7100.0</v>
      </c>
      <c r="E41" s="418">
        <v>25.0</v>
      </c>
      <c r="F41" s="418" t="s">
        <v>1988</v>
      </c>
      <c r="G41" s="418" t="s">
        <v>1950</v>
      </c>
      <c r="H41" s="418" t="s">
        <v>1951</v>
      </c>
      <c r="I41" s="418" t="s">
        <v>1951</v>
      </c>
      <c r="J41" s="7"/>
    </row>
    <row r="42">
      <c r="A42" s="12" t="s">
        <v>1989</v>
      </c>
      <c r="B42" s="418">
        <v>5.0</v>
      </c>
      <c r="C42" s="418">
        <v>3.0</v>
      </c>
      <c r="D42" s="418">
        <v>7700.0</v>
      </c>
      <c r="E42" s="418">
        <v>25.0</v>
      </c>
      <c r="F42" s="418" t="s">
        <v>1990</v>
      </c>
      <c r="G42" s="418" t="s">
        <v>1950</v>
      </c>
      <c r="H42" s="418" t="s">
        <v>1951</v>
      </c>
      <c r="I42" s="418" t="s">
        <v>1951</v>
      </c>
      <c r="J42" s="7"/>
    </row>
    <row r="43">
      <c r="A43" s="7"/>
      <c r="B43" s="419"/>
      <c r="C43" s="419"/>
      <c r="D43" s="419"/>
      <c r="E43" s="419"/>
      <c r="F43" s="419"/>
      <c r="G43" s="419"/>
      <c r="H43" s="419"/>
      <c r="I43" s="419"/>
      <c r="J43" s="7"/>
    </row>
    <row r="44">
      <c r="A44" s="12" t="s">
        <v>1991</v>
      </c>
      <c r="B44" s="418">
        <v>5.0</v>
      </c>
      <c r="C44" s="418">
        <v>3.0</v>
      </c>
      <c r="D44" s="418">
        <v>0.0</v>
      </c>
      <c r="E44" s="419"/>
      <c r="F44" s="418" t="s">
        <v>1992</v>
      </c>
      <c r="G44" s="418" t="s">
        <v>1950</v>
      </c>
      <c r="H44" s="418" t="s">
        <v>1951</v>
      </c>
      <c r="I44" s="418" t="s">
        <v>1951</v>
      </c>
      <c r="J44" s="7"/>
    </row>
    <row r="45">
      <c r="A45" s="12" t="s">
        <v>1993</v>
      </c>
      <c r="B45" s="418">
        <v>5.0</v>
      </c>
      <c r="C45" s="418">
        <v>3.0</v>
      </c>
      <c r="D45" s="418">
        <v>0.0</v>
      </c>
      <c r="E45" s="418">
        <v>4600.0</v>
      </c>
      <c r="F45" s="418" t="s">
        <v>1994</v>
      </c>
      <c r="G45" s="419"/>
      <c r="H45" s="419"/>
      <c r="I45" s="419"/>
      <c r="J45" s="7"/>
    </row>
    <row r="46">
      <c r="A46" s="7"/>
      <c r="B46" s="419"/>
      <c r="C46" s="419"/>
      <c r="D46" s="419"/>
      <c r="E46" s="419"/>
      <c r="F46" s="419"/>
      <c r="G46" s="419"/>
      <c r="H46" s="419"/>
      <c r="I46" s="419"/>
      <c r="J46" s="7"/>
    </row>
    <row r="47">
      <c r="A47" s="12" t="s">
        <v>1995</v>
      </c>
      <c r="B47" s="418">
        <v>1.0</v>
      </c>
      <c r="C47" s="418">
        <v>1.0</v>
      </c>
      <c r="D47" s="418">
        <v>10.0</v>
      </c>
      <c r="E47" s="418">
        <v>5.0</v>
      </c>
      <c r="F47" s="422" t="s">
        <v>1996</v>
      </c>
      <c r="G47" s="418" t="s">
        <v>1950</v>
      </c>
      <c r="H47" s="418" t="s">
        <v>1951</v>
      </c>
      <c r="I47" s="418" t="s">
        <v>1951</v>
      </c>
      <c r="J47" s="12" t="s">
        <v>1955</v>
      </c>
    </row>
    <row r="48">
      <c r="A48" s="12" t="s">
        <v>1997</v>
      </c>
      <c r="B48" s="418">
        <v>1.0</v>
      </c>
      <c r="C48" s="418">
        <v>1.0</v>
      </c>
      <c r="D48" s="418">
        <v>10.0</v>
      </c>
      <c r="E48" s="418">
        <v>5.0</v>
      </c>
      <c r="F48" s="422" t="s">
        <v>1998</v>
      </c>
      <c r="G48" s="418" t="s">
        <v>1950</v>
      </c>
      <c r="H48" s="418" t="s">
        <v>1951</v>
      </c>
      <c r="I48" s="418" t="s">
        <v>1951</v>
      </c>
      <c r="J48" s="12" t="s">
        <v>1955</v>
      </c>
    </row>
    <row r="49">
      <c r="A49" s="7"/>
      <c r="B49" s="419"/>
      <c r="C49" s="419"/>
      <c r="D49" s="419"/>
      <c r="E49" s="419"/>
      <c r="F49" s="419"/>
      <c r="G49" s="419"/>
      <c r="H49" s="419"/>
      <c r="I49" s="419"/>
      <c r="J49" s="7"/>
    </row>
    <row r="50">
      <c r="A50" s="12" t="s">
        <v>1999</v>
      </c>
      <c r="B50" s="418">
        <v>10.0</v>
      </c>
      <c r="C50" s="418">
        <v>1.0</v>
      </c>
      <c r="D50" s="418">
        <v>450.0</v>
      </c>
      <c r="E50" s="418">
        <v>75.0</v>
      </c>
      <c r="F50" s="418" t="s">
        <v>1293</v>
      </c>
      <c r="G50" s="418" t="s">
        <v>1950</v>
      </c>
      <c r="H50" s="418" t="s">
        <v>1951</v>
      </c>
      <c r="I50" s="418" t="s">
        <v>1951</v>
      </c>
      <c r="J50" s="7"/>
    </row>
    <row r="51">
      <c r="A51" s="12" t="s">
        <v>2000</v>
      </c>
      <c r="B51" s="418">
        <v>10.0</v>
      </c>
      <c r="C51" s="418">
        <v>1.0</v>
      </c>
      <c r="D51" s="418">
        <v>450.0</v>
      </c>
      <c r="E51" s="418">
        <v>75.0</v>
      </c>
      <c r="F51" s="418" t="s">
        <v>1293</v>
      </c>
      <c r="G51" s="418" t="s">
        <v>1950</v>
      </c>
      <c r="H51" s="418" t="s">
        <v>1951</v>
      </c>
      <c r="I51" s="418" t="s">
        <v>1951</v>
      </c>
      <c r="J51" s="7"/>
    </row>
    <row r="52">
      <c r="A52" s="12" t="s">
        <v>2001</v>
      </c>
      <c r="B52" s="418">
        <v>10.0</v>
      </c>
      <c r="C52" s="418">
        <v>1.0</v>
      </c>
      <c r="D52" s="418">
        <v>450.0</v>
      </c>
      <c r="E52" s="418">
        <v>75.0</v>
      </c>
      <c r="F52" s="418" t="s">
        <v>1293</v>
      </c>
      <c r="G52" s="418" t="s">
        <v>1950</v>
      </c>
      <c r="H52" s="418" t="s">
        <v>1951</v>
      </c>
      <c r="I52" s="418" t="s">
        <v>1951</v>
      </c>
      <c r="J52" s="7"/>
    </row>
    <row r="53">
      <c r="A53" s="12" t="s">
        <v>2002</v>
      </c>
      <c r="B53" s="418">
        <v>10.0</v>
      </c>
      <c r="C53" s="418">
        <v>1.0</v>
      </c>
      <c r="D53" s="418">
        <v>450.0</v>
      </c>
      <c r="E53" s="418">
        <v>75.0</v>
      </c>
      <c r="F53" s="418" t="s">
        <v>1316</v>
      </c>
      <c r="G53" s="418" t="s">
        <v>1950</v>
      </c>
      <c r="H53" s="418" t="s">
        <v>1951</v>
      </c>
      <c r="I53" s="418" t="s">
        <v>1951</v>
      </c>
      <c r="J53" s="12" t="s">
        <v>1955</v>
      </c>
    </row>
    <row r="54">
      <c r="A54" s="12"/>
      <c r="B54" s="419"/>
      <c r="C54" s="419"/>
      <c r="D54" s="419"/>
      <c r="E54" s="419"/>
      <c r="F54" s="419"/>
      <c r="G54" s="419"/>
      <c r="H54" s="419"/>
      <c r="I54" s="419"/>
      <c r="J54" s="7"/>
    </row>
    <row r="55">
      <c r="A55" s="12"/>
      <c r="B55" s="419"/>
      <c r="C55" s="419"/>
      <c r="D55" s="419"/>
      <c r="E55" s="419"/>
      <c r="F55" s="419"/>
      <c r="G55" s="419"/>
      <c r="H55" s="419"/>
      <c r="I55" s="419"/>
      <c r="J55" s="7"/>
    </row>
    <row r="56">
      <c r="A56" s="7"/>
      <c r="B56" s="419"/>
      <c r="C56" s="419"/>
      <c r="D56" s="419"/>
      <c r="E56" s="419"/>
      <c r="F56" s="419"/>
      <c r="G56" s="419"/>
      <c r="H56" s="419"/>
      <c r="I56" s="419"/>
      <c r="J56" s="7"/>
    </row>
    <row r="57">
      <c r="A57" s="7"/>
      <c r="B57" s="419"/>
      <c r="C57" s="419"/>
      <c r="D57" s="419"/>
      <c r="E57" s="419"/>
      <c r="F57" s="419"/>
      <c r="G57" s="419"/>
      <c r="H57" s="419"/>
      <c r="I57" s="419"/>
      <c r="J57" s="7"/>
    </row>
    <row r="58">
      <c r="A58" s="7"/>
      <c r="B58" s="419"/>
      <c r="C58" s="419"/>
      <c r="D58" s="419"/>
      <c r="E58" s="419"/>
      <c r="F58" s="419"/>
      <c r="G58" s="419"/>
      <c r="H58" s="419"/>
      <c r="I58" s="419"/>
      <c r="J58" s="7"/>
    </row>
    <row r="59">
      <c r="A59" s="7"/>
      <c r="B59" s="419"/>
      <c r="C59" s="419"/>
      <c r="D59" s="419"/>
      <c r="E59" s="419"/>
      <c r="F59" s="419"/>
      <c r="G59" s="419"/>
      <c r="H59" s="419"/>
      <c r="I59" s="419"/>
      <c r="J59" s="7"/>
    </row>
    <row r="60">
      <c r="A60" s="7"/>
      <c r="B60" s="419"/>
      <c r="C60" s="419"/>
      <c r="D60" s="419"/>
      <c r="E60" s="419"/>
      <c r="F60" s="419"/>
      <c r="G60" s="419"/>
      <c r="H60" s="419"/>
      <c r="I60" s="419"/>
      <c r="J60" s="7"/>
    </row>
    <row r="61">
      <c r="A61" s="7"/>
      <c r="B61" s="419"/>
      <c r="C61" s="419"/>
      <c r="D61" s="419"/>
      <c r="E61" s="419"/>
      <c r="F61" s="419"/>
      <c r="G61" s="419"/>
      <c r="H61" s="419"/>
      <c r="I61" s="419"/>
      <c r="J61" s="7"/>
    </row>
    <row r="62">
      <c r="A62" s="7"/>
      <c r="B62" s="419"/>
      <c r="C62" s="419"/>
      <c r="D62" s="419"/>
      <c r="E62" s="419"/>
      <c r="F62" s="419"/>
      <c r="G62" s="419"/>
      <c r="H62" s="419"/>
      <c r="I62" s="419"/>
      <c r="J62" s="7"/>
    </row>
    <row r="63">
      <c r="A63" s="7"/>
      <c r="B63" s="419"/>
      <c r="C63" s="419"/>
      <c r="D63" s="419"/>
      <c r="E63" s="419"/>
      <c r="F63" s="419"/>
      <c r="G63" s="419"/>
      <c r="H63" s="419"/>
      <c r="I63" s="419"/>
      <c r="J63" s="7"/>
    </row>
    <row r="64">
      <c r="A64" s="7"/>
      <c r="B64" s="419"/>
      <c r="C64" s="419"/>
      <c r="D64" s="419"/>
      <c r="E64" s="419"/>
      <c r="F64" s="419"/>
      <c r="G64" s="419"/>
      <c r="H64" s="419"/>
      <c r="I64" s="419"/>
      <c r="J64" s="7"/>
    </row>
    <row r="65">
      <c r="A65" s="7"/>
      <c r="B65" s="419"/>
      <c r="C65" s="419"/>
      <c r="D65" s="419"/>
      <c r="E65" s="419"/>
      <c r="F65" s="419"/>
      <c r="G65" s="419"/>
      <c r="H65" s="419"/>
      <c r="I65" s="419"/>
      <c r="J65" s="7"/>
    </row>
    <row r="66">
      <c r="A66" s="7"/>
      <c r="B66" s="419"/>
      <c r="C66" s="419"/>
      <c r="D66" s="419"/>
      <c r="E66" s="419"/>
      <c r="F66" s="419"/>
      <c r="G66" s="419"/>
      <c r="H66" s="419"/>
      <c r="I66" s="419"/>
      <c r="J66" s="7"/>
    </row>
    <row r="67">
      <c r="A67" s="7"/>
      <c r="B67" s="419"/>
      <c r="C67" s="419"/>
      <c r="D67" s="419"/>
      <c r="E67" s="419"/>
      <c r="F67" s="419"/>
      <c r="G67" s="419"/>
      <c r="H67" s="419"/>
      <c r="I67" s="419"/>
      <c r="J67" s="7"/>
    </row>
    <row r="68">
      <c r="A68" s="7"/>
      <c r="B68" s="419"/>
      <c r="C68" s="419"/>
      <c r="D68" s="419"/>
      <c r="E68" s="419"/>
      <c r="F68" s="419"/>
      <c r="G68" s="419"/>
      <c r="H68" s="419"/>
      <c r="I68" s="419"/>
      <c r="J68" s="7"/>
    </row>
    <row r="69">
      <c r="A69" s="7"/>
      <c r="B69" s="419"/>
      <c r="C69" s="419"/>
      <c r="D69" s="419"/>
      <c r="E69" s="419"/>
      <c r="F69" s="419"/>
      <c r="G69" s="419"/>
      <c r="H69" s="419"/>
      <c r="I69" s="419"/>
      <c r="J69" s="7"/>
    </row>
    <row r="70">
      <c r="A70" s="7"/>
      <c r="B70" s="419"/>
      <c r="C70" s="419"/>
      <c r="D70" s="419"/>
      <c r="E70" s="419"/>
      <c r="F70" s="419"/>
      <c r="G70" s="419"/>
      <c r="H70" s="419"/>
      <c r="I70" s="419"/>
      <c r="J70" s="7"/>
    </row>
    <row r="71">
      <c r="A71" s="7"/>
      <c r="B71" s="419"/>
      <c r="C71" s="419"/>
      <c r="D71" s="419"/>
      <c r="E71" s="419"/>
      <c r="F71" s="419"/>
      <c r="G71" s="419"/>
      <c r="H71" s="419"/>
      <c r="I71" s="419"/>
      <c r="J71" s="7"/>
    </row>
    <row r="72">
      <c r="A72" s="7"/>
      <c r="B72" s="419"/>
      <c r="C72" s="419"/>
      <c r="D72" s="419"/>
      <c r="E72" s="419"/>
      <c r="F72" s="419"/>
      <c r="G72" s="419"/>
      <c r="H72" s="419"/>
      <c r="I72" s="419"/>
      <c r="J72" s="7"/>
    </row>
    <row r="73">
      <c r="A73" s="7"/>
      <c r="B73" s="419"/>
      <c r="C73" s="419"/>
      <c r="D73" s="419"/>
      <c r="E73" s="419"/>
      <c r="F73" s="419"/>
      <c r="G73" s="419"/>
      <c r="H73" s="419"/>
      <c r="I73" s="419"/>
      <c r="J73" s="7"/>
    </row>
    <row r="74">
      <c r="A74" s="7"/>
      <c r="B74" s="419"/>
      <c r="C74" s="419"/>
      <c r="D74" s="419"/>
      <c r="E74" s="419"/>
      <c r="F74" s="419"/>
      <c r="G74" s="419"/>
      <c r="H74" s="419"/>
      <c r="I74" s="419"/>
      <c r="J74" s="7"/>
    </row>
    <row r="75">
      <c r="A75" s="7"/>
      <c r="B75" s="419"/>
      <c r="C75" s="419"/>
      <c r="D75" s="419"/>
      <c r="E75" s="419"/>
      <c r="F75" s="419"/>
      <c r="G75" s="419"/>
      <c r="H75" s="419"/>
      <c r="I75" s="419"/>
      <c r="J75" s="7"/>
    </row>
    <row r="76">
      <c r="A76" s="7"/>
      <c r="B76" s="419"/>
      <c r="C76" s="419"/>
      <c r="D76" s="419"/>
      <c r="E76" s="419"/>
      <c r="F76" s="419"/>
      <c r="G76" s="419"/>
      <c r="H76" s="419"/>
      <c r="I76" s="419"/>
      <c r="J76" s="7"/>
    </row>
    <row r="77">
      <c r="A77" s="7"/>
      <c r="B77" s="419"/>
      <c r="C77" s="419"/>
      <c r="D77" s="419"/>
      <c r="E77" s="419"/>
      <c r="F77" s="419"/>
      <c r="G77" s="419"/>
      <c r="H77" s="419"/>
      <c r="I77" s="419"/>
      <c r="J77" s="7"/>
    </row>
    <row r="78">
      <c r="A78" s="7"/>
      <c r="B78" s="419"/>
      <c r="C78" s="419"/>
      <c r="D78" s="419"/>
      <c r="E78" s="419"/>
      <c r="F78" s="419"/>
      <c r="G78" s="419"/>
      <c r="H78" s="419"/>
      <c r="I78" s="419"/>
      <c r="J78" s="7"/>
    </row>
    <row r="79">
      <c r="A79" s="7"/>
      <c r="B79" s="419"/>
      <c r="C79" s="419"/>
      <c r="D79" s="419"/>
      <c r="E79" s="419"/>
      <c r="F79" s="419"/>
      <c r="G79" s="419"/>
      <c r="H79" s="419"/>
      <c r="I79" s="419"/>
      <c r="J79" s="7"/>
    </row>
    <row r="80">
      <c r="A80" s="7"/>
      <c r="B80" s="419"/>
      <c r="C80" s="419"/>
      <c r="D80" s="419"/>
      <c r="E80" s="419"/>
      <c r="F80" s="419"/>
      <c r="G80" s="419"/>
      <c r="H80" s="419"/>
      <c r="I80" s="419"/>
      <c r="J80" s="7"/>
    </row>
    <row r="81">
      <c r="A81" s="7"/>
      <c r="B81" s="419"/>
      <c r="C81" s="419"/>
      <c r="D81" s="419"/>
      <c r="E81" s="419"/>
      <c r="F81" s="419"/>
      <c r="G81" s="419"/>
      <c r="H81" s="419"/>
      <c r="I81" s="419"/>
      <c r="J81" s="7"/>
    </row>
    <row r="82">
      <c r="A82" s="7"/>
      <c r="B82" s="419"/>
      <c r="C82" s="419"/>
      <c r="D82" s="419"/>
      <c r="E82" s="419"/>
      <c r="F82" s="419"/>
      <c r="G82" s="419"/>
      <c r="H82" s="419"/>
      <c r="I82" s="419"/>
      <c r="J82" s="7"/>
    </row>
    <row r="83">
      <c r="A83" s="7"/>
      <c r="B83" s="419"/>
      <c r="C83" s="419"/>
      <c r="D83" s="419"/>
      <c r="E83" s="419"/>
      <c r="F83" s="419"/>
      <c r="G83" s="419"/>
      <c r="H83" s="419"/>
      <c r="I83" s="419"/>
      <c r="J83" s="7"/>
    </row>
    <row r="84">
      <c r="A84" s="7"/>
      <c r="B84" s="419"/>
      <c r="C84" s="419"/>
      <c r="D84" s="419"/>
      <c r="E84" s="419"/>
      <c r="F84" s="419"/>
      <c r="G84" s="419"/>
      <c r="H84" s="419"/>
      <c r="I84" s="419"/>
      <c r="J84" s="7"/>
    </row>
    <row r="85">
      <c r="A85" s="7"/>
      <c r="B85" s="419"/>
      <c r="C85" s="419"/>
      <c r="D85" s="419"/>
      <c r="E85" s="419"/>
      <c r="F85" s="419"/>
      <c r="G85" s="419"/>
      <c r="H85" s="419"/>
      <c r="I85" s="419"/>
      <c r="J85" s="7"/>
    </row>
    <row r="86">
      <c r="A86" s="7"/>
      <c r="B86" s="419"/>
      <c r="C86" s="419"/>
      <c r="D86" s="419"/>
      <c r="E86" s="419"/>
      <c r="F86" s="419"/>
      <c r="G86" s="419"/>
      <c r="H86" s="419"/>
      <c r="I86" s="419"/>
      <c r="J86" s="7"/>
    </row>
    <row r="87">
      <c r="A87" s="7"/>
      <c r="B87" s="419"/>
      <c r="C87" s="419"/>
      <c r="D87" s="419"/>
      <c r="E87" s="419"/>
      <c r="F87" s="419"/>
      <c r="G87" s="419"/>
      <c r="H87" s="419"/>
      <c r="I87" s="419"/>
      <c r="J87" s="7"/>
    </row>
    <row r="88">
      <c r="A88" s="7"/>
      <c r="B88" s="419"/>
      <c r="C88" s="419"/>
      <c r="D88" s="419"/>
      <c r="E88" s="419"/>
      <c r="F88" s="419"/>
      <c r="G88" s="419"/>
      <c r="H88" s="419"/>
      <c r="I88" s="419"/>
      <c r="J88" s="7"/>
    </row>
    <row r="89">
      <c r="A89" s="7"/>
      <c r="B89" s="419"/>
      <c r="C89" s="419"/>
      <c r="D89" s="419"/>
      <c r="E89" s="419"/>
      <c r="F89" s="419"/>
      <c r="G89" s="419"/>
      <c r="H89" s="419"/>
      <c r="I89" s="419"/>
      <c r="J89" s="7"/>
    </row>
    <row r="90">
      <c r="A90" s="7"/>
      <c r="B90" s="419"/>
      <c r="C90" s="419"/>
      <c r="D90" s="419"/>
      <c r="E90" s="419"/>
      <c r="F90" s="419"/>
      <c r="G90" s="419"/>
      <c r="H90" s="419"/>
      <c r="I90" s="419"/>
      <c r="J90" s="7"/>
    </row>
    <row r="91">
      <c r="A91" s="7"/>
      <c r="B91" s="419"/>
      <c r="C91" s="419"/>
      <c r="D91" s="419"/>
      <c r="E91" s="419"/>
      <c r="F91" s="419"/>
      <c r="G91" s="419"/>
      <c r="H91" s="419"/>
      <c r="I91" s="419"/>
      <c r="J91" s="7"/>
    </row>
    <row r="92">
      <c r="A92" s="7"/>
      <c r="B92" s="419"/>
      <c r="C92" s="419"/>
      <c r="D92" s="419"/>
      <c r="E92" s="419"/>
      <c r="F92" s="419"/>
      <c r="G92" s="419"/>
      <c r="H92" s="419"/>
      <c r="I92" s="419"/>
      <c r="J92" s="7"/>
    </row>
    <row r="93">
      <c r="A93" s="7"/>
      <c r="B93" s="419"/>
      <c r="C93" s="419"/>
      <c r="D93" s="419"/>
      <c r="E93" s="419"/>
      <c r="F93" s="419"/>
      <c r="G93" s="419"/>
      <c r="H93" s="419"/>
      <c r="I93" s="419"/>
      <c r="J93" s="7"/>
    </row>
    <row r="94">
      <c r="A94" s="7"/>
      <c r="B94" s="419"/>
      <c r="C94" s="419"/>
      <c r="D94" s="419"/>
      <c r="E94" s="419"/>
      <c r="F94" s="419"/>
      <c r="G94" s="419"/>
      <c r="H94" s="419"/>
      <c r="I94" s="419"/>
      <c r="J94" s="7"/>
    </row>
    <row r="95">
      <c r="A95" s="7"/>
      <c r="B95" s="419"/>
      <c r="C95" s="419"/>
      <c r="D95" s="419"/>
      <c r="E95" s="419"/>
      <c r="F95" s="419"/>
      <c r="G95" s="419"/>
      <c r="H95" s="419"/>
      <c r="I95" s="419"/>
      <c r="J95" s="7"/>
    </row>
    <row r="96">
      <c r="A96" s="7"/>
      <c r="B96" s="419"/>
      <c r="C96" s="419"/>
      <c r="D96" s="419"/>
      <c r="E96" s="419"/>
      <c r="F96" s="419"/>
      <c r="G96" s="419"/>
      <c r="H96" s="419"/>
      <c r="I96" s="419"/>
      <c r="J96" s="7"/>
    </row>
    <row r="97">
      <c r="A97" s="7"/>
      <c r="B97" s="419"/>
      <c r="C97" s="419"/>
      <c r="D97" s="419"/>
      <c r="E97" s="419"/>
      <c r="F97" s="419"/>
      <c r="G97" s="419"/>
      <c r="H97" s="419"/>
      <c r="I97" s="419"/>
      <c r="J97" s="7"/>
    </row>
    <row r="98">
      <c r="A98" s="7"/>
      <c r="B98" s="419"/>
      <c r="C98" s="419"/>
      <c r="D98" s="419"/>
      <c r="E98" s="419"/>
      <c r="F98" s="419"/>
      <c r="G98" s="419"/>
      <c r="H98" s="419"/>
      <c r="I98" s="419"/>
      <c r="J98" s="7"/>
    </row>
    <row r="99">
      <c r="A99" s="7"/>
      <c r="B99" s="419"/>
      <c r="C99" s="419"/>
      <c r="D99" s="419"/>
      <c r="E99" s="419"/>
      <c r="F99" s="419"/>
      <c r="G99" s="419"/>
      <c r="H99" s="419"/>
      <c r="I99" s="419"/>
      <c r="J99" s="7"/>
    </row>
    <row r="100">
      <c r="A100" s="7"/>
      <c r="B100" s="419"/>
      <c r="C100" s="419"/>
      <c r="D100" s="419"/>
      <c r="E100" s="419"/>
      <c r="F100" s="419"/>
      <c r="G100" s="419"/>
      <c r="H100" s="419"/>
      <c r="I100" s="419"/>
      <c r="J100" s="7"/>
    </row>
    <row r="101">
      <c r="A101" s="7"/>
      <c r="B101" s="419"/>
      <c r="C101" s="419"/>
      <c r="D101" s="419"/>
      <c r="E101" s="419"/>
      <c r="F101" s="419"/>
      <c r="G101" s="419"/>
      <c r="H101" s="419"/>
      <c r="I101" s="419"/>
      <c r="J101" s="7"/>
    </row>
    <row r="102">
      <c r="A102" s="7"/>
      <c r="B102" s="419"/>
      <c r="C102" s="419"/>
      <c r="D102" s="419"/>
      <c r="E102" s="419"/>
      <c r="F102" s="419"/>
      <c r="G102" s="419"/>
      <c r="H102" s="419"/>
      <c r="I102" s="419"/>
      <c r="J102" s="7"/>
    </row>
    <row r="103">
      <c r="A103" s="7"/>
      <c r="B103" s="419"/>
      <c r="C103" s="419"/>
      <c r="D103" s="419"/>
      <c r="E103" s="419"/>
      <c r="F103" s="419"/>
      <c r="G103" s="419"/>
      <c r="H103" s="419"/>
      <c r="I103" s="419"/>
      <c r="J103" s="7"/>
    </row>
    <row r="104">
      <c r="A104" s="7"/>
      <c r="B104" s="419"/>
      <c r="C104" s="419"/>
      <c r="D104" s="419"/>
      <c r="E104" s="419"/>
      <c r="F104" s="419"/>
      <c r="G104" s="419"/>
      <c r="H104" s="419"/>
      <c r="I104" s="419"/>
      <c r="J104" s="7"/>
    </row>
    <row r="105">
      <c r="A105" s="7"/>
      <c r="B105" s="419"/>
      <c r="C105" s="419"/>
      <c r="D105" s="419"/>
      <c r="E105" s="419"/>
      <c r="F105" s="419"/>
      <c r="G105" s="419"/>
      <c r="H105" s="419"/>
      <c r="I105" s="419"/>
      <c r="J105" s="7"/>
    </row>
    <row r="106">
      <c r="A106" s="7"/>
      <c r="B106" s="419"/>
      <c r="C106" s="419"/>
      <c r="D106" s="419"/>
      <c r="E106" s="419"/>
      <c r="F106" s="419"/>
      <c r="G106" s="419"/>
      <c r="H106" s="419"/>
      <c r="I106" s="419"/>
      <c r="J106" s="7"/>
    </row>
    <row r="107">
      <c r="A107" s="7"/>
      <c r="B107" s="419"/>
      <c r="C107" s="419"/>
      <c r="D107" s="419"/>
      <c r="E107" s="419"/>
      <c r="F107" s="419"/>
      <c r="G107" s="419"/>
      <c r="H107" s="419"/>
      <c r="I107" s="419"/>
      <c r="J107" s="7"/>
    </row>
    <row r="108">
      <c r="A108" s="7"/>
      <c r="B108" s="419"/>
      <c r="C108" s="419"/>
      <c r="D108" s="419"/>
      <c r="E108" s="419"/>
      <c r="F108" s="419"/>
      <c r="G108" s="419"/>
      <c r="H108" s="419"/>
      <c r="I108" s="419"/>
      <c r="J108" s="7"/>
    </row>
    <row r="109">
      <c r="A109" s="7"/>
      <c r="B109" s="419"/>
      <c r="C109" s="419"/>
      <c r="D109" s="419"/>
      <c r="E109" s="419"/>
      <c r="F109" s="419"/>
      <c r="G109" s="419"/>
      <c r="H109" s="419"/>
      <c r="I109" s="419"/>
      <c r="J109" s="7"/>
    </row>
    <row r="110">
      <c r="A110" s="7"/>
      <c r="B110" s="419"/>
      <c r="C110" s="419"/>
      <c r="D110" s="419"/>
      <c r="E110" s="419"/>
      <c r="F110" s="419"/>
      <c r="G110" s="419"/>
      <c r="H110" s="419"/>
      <c r="I110" s="419"/>
      <c r="J110" s="7"/>
    </row>
    <row r="111">
      <c r="A111" s="7"/>
      <c r="B111" s="419"/>
      <c r="C111" s="419"/>
      <c r="D111" s="419"/>
      <c r="E111" s="419"/>
      <c r="F111" s="419"/>
      <c r="G111" s="419"/>
      <c r="H111" s="419"/>
      <c r="I111" s="419"/>
      <c r="J111" s="7"/>
    </row>
    <row r="112">
      <c r="A112" s="7"/>
      <c r="B112" s="419"/>
      <c r="C112" s="419"/>
      <c r="D112" s="419"/>
      <c r="E112" s="419"/>
      <c r="F112" s="419"/>
      <c r="G112" s="419"/>
      <c r="H112" s="419"/>
      <c r="I112" s="419"/>
      <c r="J112" s="7"/>
    </row>
    <row r="113">
      <c r="A113" s="7"/>
      <c r="B113" s="419"/>
      <c r="C113" s="419"/>
      <c r="D113" s="419"/>
      <c r="E113" s="419"/>
      <c r="F113" s="419"/>
      <c r="G113" s="419"/>
      <c r="H113" s="419"/>
      <c r="I113" s="419"/>
      <c r="J113" s="7"/>
    </row>
    <row r="114">
      <c r="A114" s="7"/>
      <c r="B114" s="419"/>
      <c r="C114" s="419"/>
      <c r="D114" s="419"/>
      <c r="E114" s="419"/>
      <c r="F114" s="419"/>
      <c r="G114" s="419"/>
      <c r="H114" s="419"/>
      <c r="I114" s="419"/>
      <c r="J114" s="7"/>
    </row>
    <row r="115">
      <c r="A115" s="7"/>
      <c r="B115" s="419"/>
      <c r="C115" s="419"/>
      <c r="D115" s="419"/>
      <c r="E115" s="419"/>
      <c r="F115" s="419"/>
      <c r="G115" s="419"/>
      <c r="H115" s="419"/>
      <c r="I115" s="419"/>
      <c r="J115" s="7"/>
    </row>
    <row r="116">
      <c r="A116" s="7"/>
      <c r="B116" s="419"/>
      <c r="C116" s="419"/>
      <c r="D116" s="419"/>
      <c r="E116" s="419"/>
      <c r="F116" s="419"/>
      <c r="G116" s="419"/>
      <c r="H116" s="419"/>
      <c r="I116" s="419"/>
      <c r="J116" s="7"/>
    </row>
    <row r="117">
      <c r="A117" s="7"/>
      <c r="B117" s="419"/>
      <c r="C117" s="419"/>
      <c r="D117" s="419"/>
      <c r="E117" s="419"/>
      <c r="F117" s="419"/>
      <c r="G117" s="419"/>
      <c r="H117" s="419"/>
      <c r="I117" s="419"/>
      <c r="J117" s="7"/>
    </row>
    <row r="118">
      <c r="A118" s="7"/>
      <c r="B118" s="419"/>
      <c r="C118" s="419"/>
      <c r="D118" s="419"/>
      <c r="E118" s="419"/>
      <c r="F118" s="419"/>
      <c r="G118" s="419"/>
      <c r="H118" s="419"/>
      <c r="I118" s="419"/>
      <c r="J118" s="7"/>
    </row>
    <row r="119">
      <c r="A119" s="7"/>
      <c r="B119" s="419"/>
      <c r="C119" s="419"/>
      <c r="D119" s="419"/>
      <c r="E119" s="419"/>
      <c r="F119" s="419"/>
      <c r="G119" s="419"/>
      <c r="H119" s="419"/>
      <c r="I119" s="419"/>
      <c r="J119" s="7"/>
    </row>
    <row r="120">
      <c r="A120" s="7"/>
      <c r="B120" s="419"/>
      <c r="C120" s="419"/>
      <c r="D120" s="419"/>
      <c r="E120" s="419"/>
      <c r="F120" s="419"/>
      <c r="G120" s="419"/>
      <c r="H120" s="419"/>
      <c r="I120" s="419"/>
      <c r="J120" s="7"/>
    </row>
    <row r="121">
      <c r="A121" s="7"/>
      <c r="B121" s="419"/>
      <c r="C121" s="419"/>
      <c r="D121" s="419"/>
      <c r="E121" s="419"/>
      <c r="F121" s="419"/>
      <c r="G121" s="419"/>
      <c r="H121" s="419"/>
      <c r="I121" s="419"/>
      <c r="J121" s="7"/>
    </row>
    <row r="122">
      <c r="A122" s="7"/>
      <c r="B122" s="419"/>
      <c r="C122" s="419"/>
      <c r="D122" s="419"/>
      <c r="E122" s="419"/>
      <c r="F122" s="419"/>
      <c r="G122" s="419"/>
      <c r="H122" s="419"/>
      <c r="I122" s="419"/>
      <c r="J122" s="7"/>
    </row>
    <row r="123">
      <c r="A123" s="7"/>
      <c r="B123" s="419"/>
      <c r="C123" s="419"/>
      <c r="D123" s="419"/>
      <c r="E123" s="419"/>
      <c r="F123" s="419"/>
      <c r="G123" s="419"/>
      <c r="H123" s="419"/>
      <c r="I123" s="419"/>
      <c r="J123" s="7"/>
    </row>
    <row r="124">
      <c r="A124" s="7"/>
      <c r="B124" s="419"/>
      <c r="C124" s="419"/>
      <c r="D124" s="419"/>
      <c r="E124" s="419"/>
      <c r="F124" s="419"/>
      <c r="G124" s="419"/>
      <c r="H124" s="419"/>
      <c r="I124" s="419"/>
      <c r="J124" s="7"/>
    </row>
    <row r="125">
      <c r="A125" s="7"/>
      <c r="B125" s="419"/>
      <c r="C125" s="419"/>
      <c r="D125" s="419"/>
      <c r="E125" s="419"/>
      <c r="F125" s="419"/>
      <c r="G125" s="419"/>
      <c r="H125" s="419"/>
      <c r="I125" s="419"/>
      <c r="J125" s="7"/>
    </row>
    <row r="126">
      <c r="A126" s="7"/>
      <c r="B126" s="419"/>
      <c r="C126" s="419"/>
      <c r="D126" s="419"/>
      <c r="E126" s="419"/>
      <c r="F126" s="419"/>
      <c r="G126" s="419"/>
      <c r="H126" s="419"/>
      <c r="I126" s="419"/>
      <c r="J126" s="7"/>
    </row>
    <row r="127">
      <c r="A127" s="7"/>
      <c r="B127" s="419"/>
      <c r="C127" s="419"/>
      <c r="D127" s="419"/>
      <c r="E127" s="419"/>
      <c r="F127" s="419"/>
      <c r="G127" s="419"/>
      <c r="H127" s="419"/>
      <c r="I127" s="419"/>
      <c r="J127" s="7"/>
    </row>
    <row r="128">
      <c r="A128" s="7"/>
      <c r="B128" s="419"/>
      <c r="C128" s="419"/>
      <c r="D128" s="419"/>
      <c r="E128" s="419"/>
      <c r="F128" s="419"/>
      <c r="G128" s="419"/>
      <c r="H128" s="419"/>
      <c r="I128" s="419"/>
      <c r="J128" s="7"/>
    </row>
    <row r="129">
      <c r="A129" s="7"/>
      <c r="B129" s="419"/>
      <c r="C129" s="419"/>
      <c r="D129" s="419"/>
      <c r="E129" s="419"/>
      <c r="F129" s="419"/>
      <c r="G129" s="419"/>
      <c r="H129" s="419"/>
      <c r="I129" s="419"/>
      <c r="J129" s="7"/>
    </row>
    <row r="130">
      <c r="A130" s="7"/>
      <c r="B130" s="419"/>
      <c r="C130" s="419"/>
      <c r="D130" s="419"/>
      <c r="E130" s="419"/>
      <c r="F130" s="419"/>
      <c r="G130" s="419"/>
      <c r="H130" s="419"/>
      <c r="I130" s="419"/>
      <c r="J130" s="7"/>
    </row>
    <row r="131">
      <c r="A131" s="7"/>
      <c r="B131" s="419"/>
      <c r="C131" s="419"/>
      <c r="D131" s="419"/>
      <c r="E131" s="419"/>
      <c r="F131" s="419"/>
      <c r="G131" s="419"/>
      <c r="H131" s="419"/>
      <c r="I131" s="419"/>
      <c r="J131" s="7"/>
    </row>
    <row r="132">
      <c r="A132" s="7"/>
      <c r="B132" s="419"/>
      <c r="C132" s="419"/>
      <c r="D132" s="419"/>
      <c r="E132" s="419"/>
      <c r="F132" s="419"/>
      <c r="G132" s="419"/>
      <c r="H132" s="419"/>
      <c r="I132" s="419"/>
      <c r="J132" s="7"/>
    </row>
    <row r="133">
      <c r="A133" s="7"/>
      <c r="B133" s="419"/>
      <c r="C133" s="419"/>
      <c r="D133" s="419"/>
      <c r="E133" s="419"/>
      <c r="F133" s="419"/>
      <c r="G133" s="419"/>
      <c r="H133" s="419"/>
      <c r="I133" s="419"/>
      <c r="J133" s="7"/>
    </row>
    <row r="134">
      <c r="A134" s="7"/>
      <c r="B134" s="419"/>
      <c r="C134" s="419"/>
      <c r="D134" s="419"/>
      <c r="E134" s="419"/>
      <c r="F134" s="419"/>
      <c r="G134" s="419"/>
      <c r="H134" s="419"/>
      <c r="I134" s="419"/>
      <c r="J134" s="7"/>
    </row>
    <row r="135">
      <c r="A135" s="7"/>
      <c r="B135" s="419"/>
      <c r="C135" s="419"/>
      <c r="D135" s="419"/>
      <c r="E135" s="419"/>
      <c r="F135" s="419"/>
      <c r="G135" s="419"/>
      <c r="H135" s="419"/>
      <c r="I135" s="419"/>
      <c r="J135" s="7"/>
    </row>
    <row r="136">
      <c r="A136" s="7"/>
      <c r="B136" s="419"/>
      <c r="C136" s="419"/>
      <c r="D136" s="419"/>
      <c r="E136" s="419"/>
      <c r="F136" s="419"/>
      <c r="G136" s="419"/>
      <c r="H136" s="419"/>
      <c r="I136" s="419"/>
      <c r="J136" s="7"/>
    </row>
    <row r="137">
      <c r="A137" s="7"/>
      <c r="B137" s="419"/>
      <c r="C137" s="419"/>
      <c r="D137" s="419"/>
      <c r="E137" s="419"/>
      <c r="F137" s="419"/>
      <c r="G137" s="419"/>
      <c r="H137" s="419"/>
      <c r="I137" s="419"/>
      <c r="J137" s="7"/>
    </row>
    <row r="138">
      <c r="A138" s="7"/>
      <c r="B138" s="419"/>
      <c r="C138" s="419"/>
      <c r="D138" s="419"/>
      <c r="E138" s="419"/>
      <c r="F138" s="419"/>
      <c r="G138" s="419"/>
      <c r="H138" s="419"/>
      <c r="I138" s="419"/>
      <c r="J138" s="7"/>
    </row>
    <row r="139">
      <c r="A139" s="7"/>
      <c r="B139" s="419"/>
      <c r="C139" s="419"/>
      <c r="D139" s="419"/>
      <c r="E139" s="419"/>
      <c r="F139" s="419"/>
      <c r="G139" s="419"/>
      <c r="H139" s="419"/>
      <c r="I139" s="419"/>
      <c r="J139" s="7"/>
    </row>
    <row r="140">
      <c r="A140" s="7"/>
      <c r="B140" s="419"/>
      <c r="C140" s="419"/>
      <c r="D140" s="419"/>
      <c r="E140" s="419"/>
      <c r="F140" s="419"/>
      <c r="G140" s="419"/>
      <c r="H140" s="419"/>
      <c r="I140" s="419"/>
      <c r="J140" s="7"/>
    </row>
    <row r="141">
      <c r="A141" s="7"/>
      <c r="B141" s="419"/>
      <c r="C141" s="419"/>
      <c r="D141" s="419"/>
      <c r="E141" s="419"/>
      <c r="F141" s="419"/>
      <c r="G141" s="419"/>
      <c r="H141" s="419"/>
      <c r="I141" s="419"/>
      <c r="J141" s="7"/>
    </row>
    <row r="142">
      <c r="A142" s="7"/>
      <c r="B142" s="419"/>
      <c r="C142" s="419"/>
      <c r="D142" s="419"/>
      <c r="E142" s="419"/>
      <c r="F142" s="419"/>
      <c r="G142" s="419"/>
      <c r="H142" s="419"/>
      <c r="I142" s="419"/>
      <c r="J142" s="7"/>
    </row>
    <row r="143">
      <c r="A143" s="7"/>
      <c r="B143" s="419"/>
      <c r="C143" s="419"/>
      <c r="D143" s="419"/>
      <c r="E143" s="419"/>
      <c r="F143" s="419"/>
      <c r="G143" s="419"/>
      <c r="H143" s="419"/>
      <c r="I143" s="419"/>
      <c r="J143" s="7"/>
    </row>
    <row r="144">
      <c r="A144" s="7"/>
      <c r="B144" s="419"/>
      <c r="C144" s="419"/>
      <c r="D144" s="419"/>
      <c r="E144" s="419"/>
      <c r="F144" s="419"/>
      <c r="G144" s="419"/>
      <c r="H144" s="419"/>
      <c r="I144" s="419"/>
      <c r="J144" s="7"/>
    </row>
    <row r="145">
      <c r="A145" s="7"/>
      <c r="B145" s="419"/>
      <c r="C145" s="419"/>
      <c r="D145" s="419"/>
      <c r="E145" s="419"/>
      <c r="F145" s="419"/>
      <c r="G145" s="419"/>
      <c r="H145" s="419"/>
      <c r="I145" s="419"/>
      <c r="J145" s="7"/>
    </row>
    <row r="146">
      <c r="A146" s="7"/>
      <c r="B146" s="419"/>
      <c r="C146" s="419"/>
      <c r="D146" s="419"/>
      <c r="E146" s="419"/>
      <c r="F146" s="419"/>
      <c r="G146" s="419"/>
      <c r="H146" s="419"/>
      <c r="I146" s="419"/>
      <c r="J146" s="7"/>
    </row>
    <row r="147">
      <c r="A147" s="7"/>
      <c r="B147" s="419"/>
      <c r="C147" s="419"/>
      <c r="D147" s="419"/>
      <c r="E147" s="419"/>
      <c r="F147" s="419"/>
      <c r="G147" s="419"/>
      <c r="H147" s="419"/>
      <c r="I147" s="419"/>
      <c r="J147" s="7"/>
    </row>
    <row r="148">
      <c r="A148" s="7"/>
      <c r="B148" s="419"/>
      <c r="C148" s="419"/>
      <c r="D148" s="419"/>
      <c r="E148" s="419"/>
      <c r="F148" s="419"/>
      <c r="G148" s="419"/>
      <c r="H148" s="419"/>
      <c r="I148" s="419"/>
      <c r="J148" s="7"/>
    </row>
    <row r="149">
      <c r="A149" s="7"/>
      <c r="B149" s="419"/>
      <c r="C149" s="419"/>
      <c r="D149" s="419"/>
      <c r="E149" s="419"/>
      <c r="F149" s="419"/>
      <c r="G149" s="419"/>
      <c r="H149" s="419"/>
      <c r="I149" s="419"/>
      <c r="J149" s="7"/>
    </row>
    <row r="150">
      <c r="A150" s="7"/>
      <c r="B150" s="419"/>
      <c r="C150" s="419"/>
      <c r="D150" s="419"/>
      <c r="E150" s="419"/>
      <c r="F150" s="419"/>
      <c r="G150" s="419"/>
      <c r="H150" s="419"/>
      <c r="I150" s="419"/>
      <c r="J150" s="7"/>
    </row>
    <row r="151">
      <c r="A151" s="7"/>
      <c r="B151" s="419"/>
      <c r="C151" s="419"/>
      <c r="D151" s="419"/>
      <c r="E151" s="419"/>
      <c r="F151" s="419"/>
      <c r="G151" s="419"/>
      <c r="H151" s="419"/>
      <c r="I151" s="419"/>
      <c r="J151" s="7"/>
    </row>
    <row r="152">
      <c r="A152" s="7"/>
      <c r="B152" s="419"/>
      <c r="C152" s="419"/>
      <c r="D152" s="419"/>
      <c r="E152" s="419"/>
      <c r="F152" s="419"/>
      <c r="G152" s="419"/>
      <c r="H152" s="419"/>
      <c r="I152" s="419"/>
      <c r="J152" s="7"/>
    </row>
    <row r="153">
      <c r="A153" s="7"/>
      <c r="B153" s="419"/>
      <c r="C153" s="419"/>
      <c r="D153" s="419"/>
      <c r="E153" s="419"/>
      <c r="F153" s="419"/>
      <c r="G153" s="419"/>
      <c r="H153" s="419"/>
      <c r="I153" s="419"/>
      <c r="J153" s="7"/>
    </row>
    <row r="154">
      <c r="A154" s="7"/>
      <c r="B154" s="419"/>
      <c r="C154" s="419"/>
      <c r="D154" s="419"/>
      <c r="E154" s="419"/>
      <c r="F154" s="419"/>
      <c r="G154" s="419"/>
      <c r="H154" s="419"/>
      <c r="I154" s="419"/>
      <c r="J154" s="7"/>
    </row>
    <row r="155">
      <c r="A155" s="7"/>
      <c r="B155" s="419"/>
      <c r="C155" s="419"/>
      <c r="D155" s="419"/>
      <c r="E155" s="419"/>
      <c r="F155" s="419"/>
      <c r="G155" s="419"/>
      <c r="H155" s="419"/>
      <c r="I155" s="419"/>
      <c r="J155" s="7"/>
    </row>
    <row r="156">
      <c r="A156" s="7"/>
      <c r="B156" s="419"/>
      <c r="C156" s="419"/>
      <c r="D156" s="419"/>
      <c r="E156" s="419"/>
      <c r="F156" s="419"/>
      <c r="G156" s="419"/>
      <c r="H156" s="419"/>
      <c r="I156" s="419"/>
      <c r="J156" s="7"/>
    </row>
    <row r="157">
      <c r="A157" s="7"/>
      <c r="B157" s="419"/>
      <c r="C157" s="419"/>
      <c r="D157" s="419"/>
      <c r="E157" s="419"/>
      <c r="F157" s="419"/>
      <c r="G157" s="419"/>
      <c r="H157" s="419"/>
      <c r="I157" s="419"/>
      <c r="J157" s="7"/>
    </row>
    <row r="158">
      <c r="A158" s="7"/>
      <c r="B158" s="419"/>
      <c r="C158" s="419"/>
      <c r="D158" s="419"/>
      <c r="E158" s="419"/>
      <c r="F158" s="419"/>
      <c r="G158" s="419"/>
      <c r="H158" s="419"/>
      <c r="I158" s="419"/>
      <c r="J158" s="7"/>
    </row>
    <row r="159">
      <c r="A159" s="7"/>
      <c r="B159" s="419"/>
      <c r="C159" s="419"/>
      <c r="D159" s="419"/>
      <c r="E159" s="419"/>
      <c r="F159" s="419"/>
      <c r="G159" s="419"/>
      <c r="H159" s="419"/>
      <c r="I159" s="419"/>
      <c r="J159" s="7"/>
    </row>
    <row r="160">
      <c r="A160" s="7"/>
      <c r="B160" s="419"/>
      <c r="C160" s="419"/>
      <c r="D160" s="419"/>
      <c r="E160" s="419"/>
      <c r="F160" s="419"/>
      <c r="G160" s="419"/>
      <c r="H160" s="419"/>
      <c r="I160" s="419"/>
      <c r="J160" s="7"/>
    </row>
    <row r="161">
      <c r="A161" s="7"/>
      <c r="B161" s="419"/>
      <c r="C161" s="419"/>
      <c r="D161" s="419"/>
      <c r="E161" s="419"/>
      <c r="F161" s="419"/>
      <c r="G161" s="419"/>
      <c r="H161" s="419"/>
      <c r="I161" s="419"/>
      <c r="J161" s="7"/>
    </row>
    <row r="162">
      <c r="A162" s="7"/>
      <c r="B162" s="419"/>
      <c r="C162" s="419"/>
      <c r="D162" s="419"/>
      <c r="E162" s="419"/>
      <c r="F162" s="419"/>
      <c r="G162" s="419"/>
      <c r="H162" s="419"/>
      <c r="I162" s="419"/>
      <c r="J162" s="7"/>
    </row>
    <row r="163">
      <c r="A163" s="7"/>
      <c r="B163" s="419"/>
      <c r="C163" s="419"/>
      <c r="D163" s="419"/>
      <c r="E163" s="419"/>
      <c r="F163" s="419"/>
      <c r="G163" s="419"/>
      <c r="H163" s="419"/>
      <c r="I163" s="419"/>
      <c r="J163" s="7"/>
    </row>
    <row r="164">
      <c r="A164" s="7"/>
      <c r="B164" s="419"/>
      <c r="C164" s="419"/>
      <c r="D164" s="419"/>
      <c r="E164" s="419"/>
      <c r="F164" s="419"/>
      <c r="G164" s="419"/>
      <c r="H164" s="419"/>
      <c r="I164" s="419"/>
      <c r="J164" s="7"/>
    </row>
    <row r="165">
      <c r="A165" s="7"/>
      <c r="B165" s="419"/>
      <c r="C165" s="419"/>
      <c r="D165" s="419"/>
      <c r="E165" s="419"/>
      <c r="F165" s="419"/>
      <c r="G165" s="419"/>
      <c r="H165" s="419"/>
      <c r="I165" s="419"/>
      <c r="J165" s="7"/>
    </row>
    <row r="166">
      <c r="A166" s="7"/>
      <c r="B166" s="419"/>
      <c r="C166" s="419"/>
      <c r="D166" s="419"/>
      <c r="E166" s="419"/>
      <c r="F166" s="419"/>
      <c r="G166" s="419"/>
      <c r="H166" s="419"/>
      <c r="I166" s="419"/>
      <c r="J166" s="7"/>
    </row>
    <row r="167">
      <c r="A167" s="7"/>
      <c r="B167" s="419"/>
      <c r="C167" s="419"/>
      <c r="D167" s="419"/>
      <c r="E167" s="419"/>
      <c r="F167" s="419"/>
      <c r="G167" s="419"/>
      <c r="H167" s="419"/>
      <c r="I167" s="419"/>
      <c r="J167" s="7"/>
    </row>
    <row r="168">
      <c r="A168" s="7"/>
      <c r="B168" s="419"/>
      <c r="C168" s="419"/>
      <c r="D168" s="419"/>
      <c r="E168" s="419"/>
      <c r="F168" s="419"/>
      <c r="G168" s="419"/>
      <c r="H168" s="419"/>
      <c r="I168" s="419"/>
      <c r="J168" s="7"/>
    </row>
    <row r="169">
      <c r="A169" s="7"/>
      <c r="B169" s="419"/>
      <c r="C169" s="419"/>
      <c r="D169" s="419"/>
      <c r="E169" s="419"/>
      <c r="F169" s="419"/>
      <c r="G169" s="419"/>
      <c r="H169" s="419"/>
      <c r="I169" s="419"/>
      <c r="J169" s="7"/>
    </row>
    <row r="170">
      <c r="A170" s="7"/>
      <c r="B170" s="419"/>
      <c r="C170" s="419"/>
      <c r="D170" s="419"/>
      <c r="E170" s="419"/>
      <c r="F170" s="419"/>
      <c r="G170" s="419"/>
      <c r="H170" s="419"/>
      <c r="I170" s="419"/>
      <c r="J170" s="7"/>
    </row>
    <row r="171">
      <c r="A171" s="7"/>
      <c r="B171" s="419"/>
      <c r="C171" s="419"/>
      <c r="D171" s="419"/>
      <c r="E171" s="419"/>
      <c r="F171" s="419"/>
      <c r="G171" s="419"/>
      <c r="H171" s="419"/>
      <c r="I171" s="419"/>
      <c r="J171" s="7"/>
    </row>
    <row r="172">
      <c r="A172" s="7"/>
      <c r="B172" s="419"/>
      <c r="C172" s="419"/>
      <c r="D172" s="419"/>
      <c r="E172" s="419"/>
      <c r="F172" s="419"/>
      <c r="G172" s="419"/>
      <c r="H172" s="419"/>
      <c r="I172" s="419"/>
      <c r="J172" s="7"/>
    </row>
    <row r="173">
      <c r="A173" s="7"/>
      <c r="B173" s="419"/>
      <c r="C173" s="419"/>
      <c r="D173" s="419"/>
      <c r="E173" s="419"/>
      <c r="F173" s="419"/>
      <c r="G173" s="419"/>
      <c r="H173" s="419"/>
      <c r="I173" s="419"/>
      <c r="J173" s="7"/>
    </row>
    <row r="174">
      <c r="A174" s="7"/>
      <c r="B174" s="419"/>
      <c r="C174" s="419"/>
      <c r="D174" s="419"/>
      <c r="E174" s="419"/>
      <c r="F174" s="419"/>
      <c r="G174" s="419"/>
      <c r="H174" s="419"/>
      <c r="I174" s="419"/>
      <c r="J174" s="7"/>
    </row>
    <row r="175">
      <c r="A175" s="7"/>
      <c r="B175" s="419"/>
      <c r="C175" s="419"/>
      <c r="D175" s="419"/>
      <c r="E175" s="419"/>
      <c r="F175" s="419"/>
      <c r="G175" s="419"/>
      <c r="H175" s="419"/>
      <c r="I175" s="419"/>
      <c r="J175" s="7"/>
    </row>
    <row r="176">
      <c r="A176" s="7"/>
      <c r="B176" s="419"/>
      <c r="C176" s="419"/>
      <c r="D176" s="419"/>
      <c r="E176" s="419"/>
      <c r="F176" s="419"/>
      <c r="G176" s="419"/>
      <c r="H176" s="419"/>
      <c r="I176" s="419"/>
      <c r="J176" s="7"/>
    </row>
    <row r="177">
      <c r="A177" s="7"/>
      <c r="B177" s="419"/>
      <c r="C177" s="419"/>
      <c r="D177" s="419"/>
      <c r="E177" s="419"/>
      <c r="F177" s="419"/>
      <c r="G177" s="419"/>
      <c r="H177" s="419"/>
      <c r="I177" s="419"/>
      <c r="J177" s="7"/>
    </row>
    <row r="178">
      <c r="A178" s="7"/>
      <c r="B178" s="419"/>
      <c r="C178" s="419"/>
      <c r="D178" s="419"/>
      <c r="E178" s="419"/>
      <c r="F178" s="419"/>
      <c r="G178" s="419"/>
      <c r="H178" s="419"/>
      <c r="I178" s="419"/>
      <c r="J178" s="7"/>
    </row>
    <row r="179">
      <c r="A179" s="7"/>
      <c r="B179" s="419"/>
      <c r="C179" s="419"/>
      <c r="D179" s="419"/>
      <c r="E179" s="419"/>
      <c r="F179" s="419"/>
      <c r="G179" s="419"/>
      <c r="H179" s="419"/>
      <c r="I179" s="419"/>
      <c r="J179" s="7"/>
    </row>
    <row r="180">
      <c r="A180" s="7"/>
      <c r="B180" s="419"/>
      <c r="C180" s="419"/>
      <c r="D180" s="419"/>
      <c r="E180" s="419"/>
      <c r="F180" s="419"/>
      <c r="G180" s="419"/>
      <c r="H180" s="419"/>
      <c r="I180" s="419"/>
      <c r="J180" s="7"/>
    </row>
    <row r="181">
      <c r="A181" s="7"/>
      <c r="B181" s="419"/>
      <c r="C181" s="419"/>
      <c r="D181" s="419"/>
      <c r="E181" s="419"/>
      <c r="F181" s="419"/>
      <c r="G181" s="419"/>
      <c r="H181" s="419"/>
      <c r="I181" s="419"/>
      <c r="J181" s="7"/>
    </row>
    <row r="182">
      <c r="A182" s="7"/>
      <c r="B182" s="419"/>
      <c r="C182" s="419"/>
      <c r="D182" s="419"/>
      <c r="E182" s="419"/>
      <c r="F182" s="419"/>
      <c r="G182" s="419"/>
      <c r="H182" s="419"/>
      <c r="I182" s="419"/>
      <c r="J182" s="7"/>
    </row>
    <row r="183">
      <c r="A183" s="7"/>
      <c r="B183" s="419"/>
      <c r="C183" s="419"/>
      <c r="D183" s="419"/>
      <c r="E183" s="419"/>
      <c r="F183" s="419"/>
      <c r="G183" s="419"/>
      <c r="H183" s="419"/>
      <c r="I183" s="419"/>
      <c r="J183" s="7"/>
    </row>
    <row r="184">
      <c r="A184" s="7"/>
      <c r="B184" s="419"/>
      <c r="C184" s="419"/>
      <c r="D184" s="419"/>
      <c r="E184" s="419"/>
      <c r="F184" s="419"/>
      <c r="G184" s="419"/>
      <c r="H184" s="419"/>
      <c r="I184" s="419"/>
      <c r="J184" s="7"/>
    </row>
    <row r="185">
      <c r="A185" s="7"/>
      <c r="B185" s="419"/>
      <c r="C185" s="419"/>
      <c r="D185" s="419"/>
      <c r="E185" s="419"/>
      <c r="F185" s="419"/>
      <c r="G185" s="419"/>
      <c r="H185" s="419"/>
      <c r="I185" s="419"/>
      <c r="J185" s="7"/>
    </row>
    <row r="186">
      <c r="A186" s="7"/>
      <c r="B186" s="419"/>
      <c r="C186" s="419"/>
      <c r="D186" s="419"/>
      <c r="E186" s="419"/>
      <c r="F186" s="419"/>
      <c r="G186" s="419"/>
      <c r="H186" s="419"/>
      <c r="I186" s="419"/>
      <c r="J186" s="7"/>
    </row>
    <row r="187">
      <c r="A187" s="7"/>
      <c r="B187" s="419"/>
      <c r="C187" s="419"/>
      <c r="D187" s="419"/>
      <c r="E187" s="419"/>
      <c r="F187" s="419"/>
      <c r="G187" s="419"/>
      <c r="H187" s="419"/>
      <c r="I187" s="419"/>
      <c r="J187" s="7"/>
    </row>
    <row r="188">
      <c r="A188" s="7"/>
      <c r="B188" s="419"/>
      <c r="C188" s="419"/>
      <c r="D188" s="419"/>
      <c r="E188" s="419"/>
      <c r="F188" s="419"/>
      <c r="G188" s="419"/>
      <c r="H188" s="419"/>
      <c r="I188" s="419"/>
      <c r="J188" s="7"/>
    </row>
    <row r="189">
      <c r="A189" s="7"/>
      <c r="B189" s="419"/>
      <c r="C189" s="419"/>
      <c r="D189" s="419"/>
      <c r="E189" s="419"/>
      <c r="F189" s="419"/>
      <c r="G189" s="419"/>
      <c r="H189" s="419"/>
      <c r="I189" s="419"/>
      <c r="J189" s="7"/>
    </row>
    <row r="190">
      <c r="A190" s="7"/>
      <c r="B190" s="419"/>
      <c r="C190" s="419"/>
      <c r="D190" s="419"/>
      <c r="E190" s="419"/>
      <c r="F190" s="419"/>
      <c r="G190" s="419"/>
      <c r="H190" s="419"/>
      <c r="I190" s="419"/>
      <c r="J190" s="7"/>
    </row>
    <row r="191">
      <c r="A191" s="7"/>
      <c r="B191" s="419"/>
      <c r="C191" s="419"/>
      <c r="D191" s="419"/>
      <c r="E191" s="419"/>
      <c r="F191" s="419"/>
      <c r="G191" s="419"/>
      <c r="H191" s="419"/>
      <c r="I191" s="419"/>
      <c r="J191" s="7"/>
    </row>
    <row r="192">
      <c r="A192" s="7"/>
      <c r="B192" s="419"/>
      <c r="C192" s="419"/>
      <c r="D192" s="419"/>
      <c r="E192" s="419"/>
      <c r="F192" s="419"/>
      <c r="G192" s="419"/>
      <c r="H192" s="419"/>
      <c r="I192" s="419"/>
      <c r="J192" s="7"/>
    </row>
    <row r="193">
      <c r="A193" s="7"/>
      <c r="B193" s="419"/>
      <c r="C193" s="419"/>
      <c r="D193" s="419"/>
      <c r="E193" s="419"/>
      <c r="F193" s="419"/>
      <c r="G193" s="419"/>
      <c r="H193" s="419"/>
      <c r="I193" s="419"/>
      <c r="J193" s="7"/>
    </row>
    <row r="194">
      <c r="A194" s="7"/>
      <c r="B194" s="419"/>
      <c r="C194" s="419"/>
      <c r="D194" s="419"/>
      <c r="E194" s="419"/>
      <c r="F194" s="419"/>
      <c r="G194" s="419"/>
      <c r="H194" s="419"/>
      <c r="I194" s="419"/>
      <c r="J194" s="7"/>
    </row>
    <row r="195">
      <c r="A195" s="7"/>
      <c r="B195" s="419"/>
      <c r="C195" s="419"/>
      <c r="D195" s="419"/>
      <c r="E195" s="419"/>
      <c r="F195" s="419"/>
      <c r="G195" s="419"/>
      <c r="H195" s="419"/>
      <c r="I195" s="419"/>
      <c r="J195" s="7"/>
    </row>
    <row r="196">
      <c r="A196" s="7"/>
      <c r="B196" s="419"/>
      <c r="C196" s="419"/>
      <c r="D196" s="419"/>
      <c r="E196" s="419"/>
      <c r="F196" s="419"/>
      <c r="G196" s="419"/>
      <c r="H196" s="419"/>
      <c r="I196" s="419"/>
      <c r="J196" s="7"/>
    </row>
    <row r="197">
      <c r="A197" s="7"/>
      <c r="B197" s="419"/>
      <c r="C197" s="419"/>
      <c r="D197" s="419"/>
      <c r="E197" s="419"/>
      <c r="F197" s="419"/>
      <c r="G197" s="419"/>
      <c r="H197" s="419"/>
      <c r="I197" s="419"/>
      <c r="J197" s="7"/>
    </row>
    <row r="198">
      <c r="A198" s="7"/>
      <c r="B198" s="419"/>
      <c r="C198" s="419"/>
      <c r="D198" s="419"/>
      <c r="E198" s="419"/>
      <c r="F198" s="419"/>
      <c r="G198" s="419"/>
      <c r="H198" s="419"/>
      <c r="I198" s="419"/>
      <c r="J198" s="7"/>
    </row>
    <row r="199">
      <c r="A199" s="7"/>
      <c r="B199" s="419"/>
      <c r="C199" s="419"/>
      <c r="D199" s="419"/>
      <c r="E199" s="419"/>
      <c r="F199" s="419"/>
      <c r="G199" s="419"/>
      <c r="H199" s="419"/>
      <c r="I199" s="419"/>
      <c r="J199" s="7"/>
    </row>
    <row r="200">
      <c r="A200" s="7"/>
      <c r="B200" s="419"/>
      <c r="C200" s="419"/>
      <c r="D200" s="419"/>
      <c r="E200" s="419"/>
      <c r="F200" s="419"/>
      <c r="G200" s="419"/>
      <c r="H200" s="419"/>
      <c r="I200" s="419"/>
      <c r="J200" s="7"/>
    </row>
    <row r="201">
      <c r="A201" s="7"/>
      <c r="B201" s="419"/>
      <c r="C201" s="419"/>
      <c r="D201" s="419"/>
      <c r="E201" s="419"/>
      <c r="F201" s="419"/>
      <c r="G201" s="419"/>
      <c r="H201" s="419"/>
      <c r="I201" s="419"/>
      <c r="J201" s="7"/>
    </row>
    <row r="202">
      <c r="A202" s="7"/>
      <c r="B202" s="419"/>
      <c r="C202" s="419"/>
      <c r="D202" s="419"/>
      <c r="E202" s="419"/>
      <c r="F202" s="419"/>
      <c r="G202" s="419"/>
      <c r="H202" s="419"/>
      <c r="I202" s="419"/>
      <c r="J202" s="7"/>
    </row>
    <row r="203">
      <c r="A203" s="7"/>
      <c r="B203" s="419"/>
      <c r="C203" s="419"/>
      <c r="D203" s="419"/>
      <c r="E203" s="419"/>
      <c r="F203" s="419"/>
      <c r="G203" s="419"/>
      <c r="H203" s="419"/>
      <c r="I203" s="419"/>
      <c r="J203" s="7"/>
    </row>
    <row r="204">
      <c r="A204" s="7"/>
      <c r="B204" s="419"/>
      <c r="C204" s="419"/>
      <c r="D204" s="419"/>
      <c r="E204" s="419"/>
      <c r="F204" s="419"/>
      <c r="G204" s="419"/>
      <c r="H204" s="419"/>
      <c r="I204" s="419"/>
      <c r="J204" s="7"/>
    </row>
    <row r="205">
      <c r="A205" s="7"/>
      <c r="B205" s="419"/>
      <c r="C205" s="419"/>
      <c r="D205" s="419"/>
      <c r="E205" s="419"/>
      <c r="F205" s="419"/>
      <c r="G205" s="419"/>
      <c r="H205" s="419"/>
      <c r="I205" s="419"/>
      <c r="J205" s="7"/>
    </row>
    <row r="206">
      <c r="A206" s="7"/>
      <c r="B206" s="419"/>
      <c r="C206" s="419"/>
      <c r="D206" s="419"/>
      <c r="E206" s="419"/>
      <c r="F206" s="419"/>
      <c r="G206" s="419"/>
      <c r="H206" s="419"/>
      <c r="I206" s="419"/>
      <c r="J206" s="7"/>
    </row>
    <row r="207">
      <c r="A207" s="7"/>
      <c r="B207" s="419"/>
      <c r="C207" s="419"/>
      <c r="D207" s="419"/>
      <c r="E207" s="419"/>
      <c r="F207" s="419"/>
      <c r="G207" s="419"/>
      <c r="H207" s="419"/>
      <c r="I207" s="419"/>
      <c r="J207" s="7"/>
    </row>
    <row r="208">
      <c r="A208" s="7"/>
      <c r="B208" s="419"/>
      <c r="C208" s="419"/>
      <c r="D208" s="419"/>
      <c r="E208" s="419"/>
      <c r="F208" s="419"/>
      <c r="G208" s="419"/>
      <c r="H208" s="419"/>
      <c r="I208" s="419"/>
      <c r="J208" s="7"/>
    </row>
    <row r="209">
      <c r="A209" s="7"/>
      <c r="B209" s="419"/>
      <c r="C209" s="419"/>
      <c r="D209" s="419"/>
      <c r="E209" s="419"/>
      <c r="F209" s="419"/>
      <c r="G209" s="419"/>
      <c r="H209" s="419"/>
      <c r="I209" s="419"/>
      <c r="J209" s="7"/>
    </row>
    <row r="210">
      <c r="A210" s="7"/>
      <c r="B210" s="419"/>
      <c r="C210" s="419"/>
      <c r="D210" s="419"/>
      <c r="E210" s="419"/>
      <c r="F210" s="419"/>
      <c r="G210" s="419"/>
      <c r="H210" s="419"/>
      <c r="I210" s="419"/>
      <c r="J210" s="7"/>
    </row>
    <row r="211">
      <c r="A211" s="7"/>
      <c r="B211" s="419"/>
      <c r="C211" s="419"/>
      <c r="D211" s="419"/>
      <c r="E211" s="419"/>
      <c r="F211" s="419"/>
      <c r="G211" s="419"/>
      <c r="H211" s="419"/>
      <c r="I211" s="419"/>
      <c r="J211" s="7"/>
    </row>
    <row r="212">
      <c r="A212" s="7"/>
      <c r="B212" s="419"/>
      <c r="C212" s="419"/>
      <c r="D212" s="419"/>
      <c r="E212" s="419"/>
      <c r="F212" s="419"/>
      <c r="G212" s="419"/>
      <c r="H212" s="419"/>
      <c r="I212" s="419"/>
      <c r="J212" s="7"/>
    </row>
    <row r="213">
      <c r="A213" s="7"/>
      <c r="B213" s="419"/>
      <c r="C213" s="419"/>
      <c r="D213" s="419"/>
      <c r="E213" s="419"/>
      <c r="F213" s="419"/>
      <c r="G213" s="419"/>
      <c r="H213" s="419"/>
      <c r="I213" s="419"/>
      <c r="J213" s="7"/>
    </row>
    <row r="214">
      <c r="A214" s="7"/>
      <c r="B214" s="419"/>
      <c r="C214" s="419"/>
      <c r="D214" s="419"/>
      <c r="E214" s="419"/>
      <c r="F214" s="419"/>
      <c r="G214" s="419"/>
      <c r="H214" s="419"/>
      <c r="I214" s="419"/>
      <c r="J214" s="7"/>
    </row>
    <row r="215">
      <c r="A215" s="7"/>
      <c r="B215" s="419"/>
      <c r="C215" s="419"/>
      <c r="D215" s="419"/>
      <c r="E215" s="419"/>
      <c r="F215" s="419"/>
      <c r="G215" s="419"/>
      <c r="H215" s="419"/>
      <c r="I215" s="419"/>
      <c r="J215" s="7"/>
    </row>
    <row r="216">
      <c r="A216" s="7"/>
      <c r="B216" s="419"/>
      <c r="C216" s="419"/>
      <c r="D216" s="419"/>
      <c r="E216" s="419"/>
      <c r="F216" s="419"/>
      <c r="G216" s="419"/>
      <c r="H216" s="419"/>
      <c r="I216" s="419"/>
      <c r="J216" s="7"/>
    </row>
    <row r="217">
      <c r="A217" s="7"/>
      <c r="B217" s="419"/>
      <c r="C217" s="419"/>
      <c r="D217" s="419"/>
      <c r="E217" s="419"/>
      <c r="F217" s="419"/>
      <c r="G217" s="419"/>
      <c r="H217" s="419"/>
      <c r="I217" s="419"/>
      <c r="J217" s="7"/>
    </row>
    <row r="218">
      <c r="A218" s="7"/>
      <c r="B218" s="419"/>
      <c r="C218" s="419"/>
      <c r="D218" s="419"/>
      <c r="E218" s="419"/>
      <c r="F218" s="419"/>
      <c r="G218" s="419"/>
      <c r="H218" s="419"/>
      <c r="I218" s="419"/>
      <c r="J218" s="7"/>
    </row>
    <row r="219">
      <c r="A219" s="7"/>
      <c r="B219" s="419"/>
      <c r="C219" s="419"/>
      <c r="D219" s="419"/>
      <c r="E219" s="419"/>
      <c r="F219" s="419"/>
      <c r="G219" s="419"/>
      <c r="H219" s="419"/>
      <c r="I219" s="419"/>
      <c r="J219" s="7"/>
    </row>
    <row r="220">
      <c r="A220" s="7"/>
      <c r="B220" s="419"/>
      <c r="C220" s="419"/>
      <c r="D220" s="419"/>
      <c r="E220" s="419"/>
      <c r="F220" s="419"/>
      <c r="G220" s="419"/>
      <c r="H220" s="419"/>
      <c r="I220" s="419"/>
      <c r="J220" s="7"/>
    </row>
    <row r="221">
      <c r="A221" s="7"/>
      <c r="B221" s="419"/>
      <c r="C221" s="419"/>
      <c r="D221" s="419"/>
      <c r="E221" s="419"/>
      <c r="F221" s="419"/>
      <c r="G221" s="419"/>
      <c r="H221" s="419"/>
      <c r="I221" s="419"/>
      <c r="J221" s="7"/>
    </row>
    <row r="222">
      <c r="A222" s="7"/>
      <c r="B222" s="419"/>
      <c r="C222" s="419"/>
      <c r="D222" s="419"/>
      <c r="E222" s="419"/>
      <c r="F222" s="419"/>
      <c r="G222" s="419"/>
      <c r="H222" s="419"/>
      <c r="I222" s="419"/>
      <c r="J222" s="7"/>
    </row>
    <row r="223">
      <c r="A223" s="7"/>
      <c r="B223" s="419"/>
      <c r="C223" s="419"/>
      <c r="D223" s="419"/>
      <c r="E223" s="419"/>
      <c r="F223" s="419"/>
      <c r="G223" s="419"/>
      <c r="H223" s="419"/>
      <c r="I223" s="419"/>
      <c r="J223" s="7"/>
    </row>
    <row r="224">
      <c r="A224" s="7"/>
      <c r="B224" s="419"/>
      <c r="C224" s="419"/>
      <c r="D224" s="419"/>
      <c r="E224" s="419"/>
      <c r="F224" s="419"/>
      <c r="G224" s="419"/>
      <c r="H224" s="419"/>
      <c r="I224" s="419"/>
      <c r="J224" s="7"/>
    </row>
    <row r="225">
      <c r="A225" s="7"/>
      <c r="B225" s="419"/>
      <c r="C225" s="419"/>
      <c r="D225" s="419"/>
      <c r="E225" s="419"/>
      <c r="F225" s="419"/>
      <c r="G225" s="419"/>
      <c r="H225" s="419"/>
      <c r="I225" s="419"/>
      <c r="J225" s="7"/>
    </row>
    <row r="226">
      <c r="A226" s="7"/>
      <c r="B226" s="419"/>
      <c r="C226" s="419"/>
      <c r="D226" s="419"/>
      <c r="E226" s="419"/>
      <c r="F226" s="419"/>
      <c r="G226" s="419"/>
      <c r="H226" s="419"/>
      <c r="I226" s="419"/>
      <c r="J226" s="7"/>
    </row>
    <row r="227">
      <c r="A227" s="7"/>
      <c r="B227" s="419"/>
      <c r="C227" s="419"/>
      <c r="D227" s="419"/>
      <c r="E227" s="419"/>
      <c r="F227" s="419"/>
      <c r="G227" s="419"/>
      <c r="H227" s="419"/>
      <c r="I227" s="419"/>
      <c r="J227" s="7"/>
    </row>
    <row r="228">
      <c r="A228" s="7"/>
      <c r="B228" s="419"/>
      <c r="C228" s="419"/>
      <c r="D228" s="419"/>
      <c r="E228" s="419"/>
      <c r="F228" s="419"/>
      <c r="G228" s="419"/>
      <c r="H228" s="419"/>
      <c r="I228" s="419"/>
      <c r="J228" s="7"/>
    </row>
    <row r="229">
      <c r="A229" s="7"/>
      <c r="B229" s="419"/>
      <c r="C229" s="419"/>
      <c r="D229" s="419"/>
      <c r="E229" s="419"/>
      <c r="F229" s="419"/>
      <c r="G229" s="419"/>
      <c r="H229" s="419"/>
      <c r="I229" s="419"/>
      <c r="J229" s="7"/>
    </row>
    <row r="230">
      <c r="A230" s="7"/>
      <c r="B230" s="419"/>
      <c r="C230" s="419"/>
      <c r="D230" s="419"/>
      <c r="E230" s="419"/>
      <c r="F230" s="419"/>
      <c r="G230" s="419"/>
      <c r="H230" s="419"/>
      <c r="I230" s="419"/>
      <c r="J230" s="7"/>
    </row>
    <row r="231">
      <c r="A231" s="7"/>
      <c r="B231" s="419"/>
      <c r="C231" s="419"/>
      <c r="D231" s="419"/>
      <c r="E231" s="419"/>
      <c r="F231" s="419"/>
      <c r="G231" s="419"/>
      <c r="H231" s="419"/>
      <c r="I231" s="419"/>
      <c r="J231" s="7"/>
    </row>
    <row r="232">
      <c r="A232" s="7"/>
      <c r="B232" s="419"/>
      <c r="C232" s="419"/>
      <c r="D232" s="419"/>
      <c r="E232" s="419"/>
      <c r="F232" s="419"/>
      <c r="G232" s="419"/>
      <c r="H232" s="419"/>
      <c r="I232" s="419"/>
      <c r="J232" s="7"/>
    </row>
    <row r="233">
      <c r="A233" s="7"/>
      <c r="B233" s="419"/>
      <c r="C233" s="419"/>
      <c r="D233" s="419"/>
      <c r="E233" s="419"/>
      <c r="F233" s="419"/>
      <c r="G233" s="419"/>
      <c r="H233" s="419"/>
      <c r="I233" s="419"/>
      <c r="J233" s="7"/>
    </row>
    <row r="234">
      <c r="A234" s="7"/>
      <c r="B234" s="419"/>
      <c r="C234" s="419"/>
      <c r="D234" s="419"/>
      <c r="E234" s="419"/>
      <c r="F234" s="419"/>
      <c r="G234" s="419"/>
      <c r="H234" s="419"/>
      <c r="I234" s="419"/>
      <c r="J234" s="7"/>
    </row>
    <row r="235">
      <c r="A235" s="7"/>
      <c r="B235" s="419"/>
      <c r="C235" s="419"/>
      <c r="D235" s="419"/>
      <c r="E235" s="419"/>
      <c r="F235" s="419"/>
      <c r="G235" s="419"/>
      <c r="H235" s="419"/>
      <c r="I235" s="419"/>
      <c r="J235" s="7"/>
    </row>
    <row r="236">
      <c r="A236" s="7"/>
      <c r="B236" s="419"/>
      <c r="C236" s="419"/>
      <c r="D236" s="419"/>
      <c r="E236" s="419"/>
      <c r="F236" s="419"/>
      <c r="G236" s="419"/>
      <c r="H236" s="419"/>
      <c r="I236" s="419"/>
      <c r="J236" s="7"/>
    </row>
    <row r="237">
      <c r="A237" s="7"/>
      <c r="B237" s="419"/>
      <c r="C237" s="419"/>
      <c r="D237" s="419"/>
      <c r="E237" s="419"/>
      <c r="F237" s="419"/>
      <c r="G237" s="419"/>
      <c r="H237" s="419"/>
      <c r="I237" s="419"/>
      <c r="J237" s="7"/>
    </row>
    <row r="238">
      <c r="A238" s="7"/>
      <c r="B238" s="419"/>
      <c r="C238" s="419"/>
      <c r="D238" s="419"/>
      <c r="E238" s="419"/>
      <c r="F238" s="419"/>
      <c r="G238" s="419"/>
      <c r="H238" s="419"/>
      <c r="I238" s="419"/>
      <c r="J238" s="7"/>
    </row>
    <row r="239">
      <c r="A239" s="7"/>
      <c r="B239" s="419"/>
      <c r="C239" s="419"/>
      <c r="D239" s="419"/>
      <c r="E239" s="419"/>
      <c r="F239" s="419"/>
      <c r="G239" s="419"/>
      <c r="H239" s="419"/>
      <c r="I239" s="419"/>
      <c r="J239" s="7"/>
    </row>
    <row r="240">
      <c r="A240" s="7"/>
      <c r="B240" s="419"/>
      <c r="C240" s="419"/>
      <c r="D240" s="419"/>
      <c r="E240" s="419"/>
      <c r="F240" s="419"/>
      <c r="G240" s="419"/>
      <c r="H240" s="419"/>
      <c r="I240" s="419"/>
      <c r="J240" s="7"/>
    </row>
    <row r="241">
      <c r="A241" s="7"/>
      <c r="B241" s="419"/>
      <c r="C241" s="419"/>
      <c r="D241" s="419"/>
      <c r="E241" s="419"/>
      <c r="F241" s="419"/>
      <c r="G241" s="419"/>
      <c r="H241" s="419"/>
      <c r="I241" s="419"/>
      <c r="J241" s="7"/>
    </row>
    <row r="242">
      <c r="A242" s="7"/>
      <c r="B242" s="419"/>
      <c r="C242" s="419"/>
      <c r="D242" s="419"/>
      <c r="E242" s="419"/>
      <c r="F242" s="419"/>
      <c r="G242" s="419"/>
      <c r="H242" s="419"/>
      <c r="I242" s="419"/>
      <c r="J242" s="7"/>
    </row>
    <row r="243">
      <c r="A243" s="7"/>
      <c r="B243" s="419"/>
      <c r="C243" s="419"/>
      <c r="D243" s="419"/>
      <c r="E243" s="419"/>
      <c r="F243" s="419"/>
      <c r="G243" s="419"/>
      <c r="H243" s="419"/>
      <c r="I243" s="419"/>
      <c r="J243" s="7"/>
    </row>
    <row r="244">
      <c r="A244" s="7"/>
      <c r="B244" s="419"/>
      <c r="C244" s="419"/>
      <c r="D244" s="419"/>
      <c r="E244" s="419"/>
      <c r="F244" s="419"/>
      <c r="G244" s="419"/>
      <c r="H244" s="419"/>
      <c r="I244" s="419"/>
      <c r="J244" s="7"/>
    </row>
    <row r="245">
      <c r="A245" s="7"/>
      <c r="B245" s="419"/>
      <c r="C245" s="419"/>
      <c r="D245" s="419"/>
      <c r="E245" s="419"/>
      <c r="F245" s="419"/>
      <c r="G245" s="419"/>
      <c r="H245" s="419"/>
      <c r="I245" s="419"/>
      <c r="J245" s="7"/>
    </row>
    <row r="246">
      <c r="A246" s="7"/>
      <c r="B246" s="419"/>
      <c r="C246" s="419"/>
      <c r="D246" s="419"/>
      <c r="E246" s="419"/>
      <c r="F246" s="419"/>
      <c r="G246" s="419"/>
      <c r="H246" s="419"/>
      <c r="I246" s="419"/>
      <c r="J246" s="7"/>
    </row>
    <row r="247">
      <c r="A247" s="7"/>
      <c r="B247" s="419"/>
      <c r="C247" s="419"/>
      <c r="D247" s="419"/>
      <c r="E247" s="419"/>
      <c r="F247" s="419"/>
      <c r="G247" s="419"/>
      <c r="H247" s="419"/>
      <c r="I247" s="419"/>
      <c r="J247" s="7"/>
    </row>
    <row r="248">
      <c r="A248" s="7"/>
      <c r="B248" s="419"/>
      <c r="C248" s="419"/>
      <c r="D248" s="419"/>
      <c r="E248" s="419"/>
      <c r="F248" s="419"/>
      <c r="G248" s="419"/>
      <c r="H248" s="419"/>
      <c r="I248" s="419"/>
      <c r="J248" s="7"/>
    </row>
    <row r="249">
      <c r="A249" s="7"/>
      <c r="B249" s="419"/>
      <c r="C249" s="419"/>
      <c r="D249" s="419"/>
      <c r="E249" s="419"/>
      <c r="F249" s="419"/>
      <c r="G249" s="419"/>
      <c r="H249" s="419"/>
      <c r="I249" s="419"/>
      <c r="J249" s="7"/>
    </row>
    <row r="250">
      <c r="A250" s="7"/>
      <c r="B250" s="419"/>
      <c r="C250" s="419"/>
      <c r="D250" s="419"/>
      <c r="E250" s="419"/>
      <c r="F250" s="419"/>
      <c r="G250" s="419"/>
      <c r="H250" s="419"/>
      <c r="I250" s="419"/>
      <c r="J250" s="7"/>
    </row>
    <row r="251">
      <c r="A251" s="7"/>
      <c r="B251" s="419"/>
      <c r="C251" s="419"/>
      <c r="D251" s="419"/>
      <c r="E251" s="419"/>
      <c r="F251" s="419"/>
      <c r="G251" s="419"/>
      <c r="H251" s="419"/>
      <c r="I251" s="419"/>
      <c r="J251" s="7"/>
    </row>
    <row r="252">
      <c r="A252" s="7"/>
      <c r="B252" s="419"/>
      <c r="C252" s="419"/>
      <c r="D252" s="419"/>
      <c r="E252" s="419"/>
      <c r="F252" s="419"/>
      <c r="G252" s="419"/>
      <c r="H252" s="419"/>
      <c r="I252" s="419"/>
      <c r="J252" s="7"/>
    </row>
    <row r="253">
      <c r="A253" s="7"/>
      <c r="B253" s="419"/>
      <c r="C253" s="419"/>
      <c r="D253" s="419"/>
      <c r="E253" s="419"/>
      <c r="F253" s="419"/>
      <c r="G253" s="419"/>
      <c r="H253" s="419"/>
      <c r="I253" s="419"/>
      <c r="J253" s="7"/>
    </row>
    <row r="254">
      <c r="A254" s="7"/>
      <c r="B254" s="419"/>
      <c r="C254" s="419"/>
      <c r="D254" s="419"/>
      <c r="E254" s="419"/>
      <c r="F254" s="419"/>
      <c r="G254" s="419"/>
      <c r="H254" s="419"/>
      <c r="I254" s="419"/>
      <c r="J254" s="7"/>
    </row>
    <row r="255">
      <c r="A255" s="7"/>
      <c r="B255" s="419"/>
      <c r="C255" s="419"/>
      <c r="D255" s="419"/>
      <c r="E255" s="419"/>
      <c r="F255" s="419"/>
      <c r="G255" s="419"/>
      <c r="H255" s="419"/>
      <c r="I255" s="419"/>
      <c r="J255" s="7"/>
    </row>
    <row r="256">
      <c r="A256" s="7"/>
      <c r="B256" s="419"/>
      <c r="C256" s="419"/>
      <c r="D256" s="419"/>
      <c r="E256" s="419"/>
      <c r="F256" s="419"/>
      <c r="G256" s="419"/>
      <c r="H256" s="419"/>
      <c r="I256" s="419"/>
      <c r="J256" s="7"/>
    </row>
    <row r="257">
      <c r="A257" s="7"/>
      <c r="B257" s="419"/>
      <c r="C257" s="419"/>
      <c r="D257" s="419"/>
      <c r="E257" s="419"/>
      <c r="F257" s="419"/>
      <c r="G257" s="419"/>
      <c r="H257" s="419"/>
      <c r="I257" s="419"/>
      <c r="J257" s="7"/>
    </row>
    <row r="258">
      <c r="A258" s="7"/>
      <c r="B258" s="419"/>
      <c r="C258" s="419"/>
      <c r="D258" s="419"/>
      <c r="E258" s="419"/>
      <c r="F258" s="419"/>
      <c r="G258" s="419"/>
      <c r="H258" s="419"/>
      <c r="I258" s="419"/>
      <c r="J258" s="7"/>
    </row>
    <row r="259">
      <c r="A259" s="7"/>
      <c r="B259" s="419"/>
      <c r="C259" s="419"/>
      <c r="D259" s="419"/>
      <c r="E259" s="419"/>
      <c r="F259" s="419"/>
      <c r="G259" s="419"/>
      <c r="H259" s="419"/>
      <c r="I259" s="419"/>
      <c r="J259" s="7"/>
    </row>
    <row r="260">
      <c r="A260" s="7"/>
      <c r="B260" s="419"/>
      <c r="C260" s="419"/>
      <c r="D260" s="419"/>
      <c r="E260" s="419"/>
      <c r="F260" s="419"/>
      <c r="G260" s="419"/>
      <c r="H260" s="419"/>
      <c r="I260" s="419"/>
      <c r="J260" s="7"/>
    </row>
    <row r="261">
      <c r="A261" s="7"/>
      <c r="B261" s="419"/>
      <c r="C261" s="419"/>
      <c r="D261" s="419"/>
      <c r="E261" s="419"/>
      <c r="F261" s="419"/>
      <c r="G261" s="419"/>
      <c r="H261" s="419"/>
      <c r="I261" s="419"/>
      <c r="J261" s="7"/>
    </row>
    <row r="262">
      <c r="A262" s="7"/>
      <c r="B262" s="419"/>
      <c r="C262" s="419"/>
      <c r="D262" s="419"/>
      <c r="E262" s="419"/>
      <c r="F262" s="419"/>
      <c r="G262" s="419"/>
      <c r="H262" s="419"/>
      <c r="I262" s="419"/>
      <c r="J262" s="7"/>
    </row>
    <row r="263">
      <c r="A263" s="7"/>
      <c r="B263" s="419"/>
      <c r="C263" s="419"/>
      <c r="D263" s="419"/>
      <c r="E263" s="419"/>
      <c r="F263" s="419"/>
      <c r="G263" s="419"/>
      <c r="H263" s="419"/>
      <c r="I263" s="419"/>
      <c r="J263" s="7"/>
    </row>
    <row r="264">
      <c r="A264" s="7"/>
      <c r="B264" s="419"/>
      <c r="C264" s="419"/>
      <c r="D264" s="419"/>
      <c r="E264" s="419"/>
      <c r="F264" s="419"/>
      <c r="G264" s="419"/>
      <c r="H264" s="419"/>
      <c r="I264" s="419"/>
      <c r="J264" s="7"/>
    </row>
    <row r="265">
      <c r="A265" s="7"/>
      <c r="B265" s="419"/>
      <c r="C265" s="419"/>
      <c r="D265" s="419"/>
      <c r="E265" s="419"/>
      <c r="F265" s="419"/>
      <c r="G265" s="419"/>
      <c r="H265" s="419"/>
      <c r="I265" s="419"/>
      <c r="J265" s="7"/>
    </row>
    <row r="266">
      <c r="A266" s="7"/>
      <c r="B266" s="419"/>
      <c r="C266" s="419"/>
      <c r="D266" s="419"/>
      <c r="E266" s="419"/>
      <c r="F266" s="419"/>
      <c r="G266" s="419"/>
      <c r="H266" s="419"/>
      <c r="I266" s="419"/>
      <c r="J266" s="7"/>
    </row>
    <row r="267">
      <c r="A267" s="7"/>
      <c r="B267" s="419"/>
      <c r="C267" s="419"/>
      <c r="D267" s="419"/>
      <c r="E267" s="419"/>
      <c r="F267" s="419"/>
      <c r="G267" s="419"/>
      <c r="H267" s="419"/>
      <c r="I267" s="419"/>
      <c r="J267" s="7"/>
    </row>
    <row r="268">
      <c r="A268" s="7"/>
      <c r="B268" s="419"/>
      <c r="C268" s="419"/>
      <c r="D268" s="419"/>
      <c r="E268" s="419"/>
      <c r="F268" s="419"/>
      <c r="G268" s="419"/>
      <c r="H268" s="419"/>
      <c r="I268" s="419"/>
      <c r="J268" s="7"/>
    </row>
    <row r="269">
      <c r="A269" s="7"/>
      <c r="B269" s="419"/>
      <c r="C269" s="419"/>
      <c r="D269" s="419"/>
      <c r="E269" s="419"/>
      <c r="F269" s="419"/>
      <c r="G269" s="419"/>
      <c r="H269" s="419"/>
      <c r="I269" s="419"/>
      <c r="J269" s="7"/>
    </row>
    <row r="270">
      <c r="A270" s="7"/>
      <c r="B270" s="419"/>
      <c r="C270" s="419"/>
      <c r="D270" s="419"/>
      <c r="E270" s="419"/>
      <c r="F270" s="419"/>
      <c r="G270" s="419"/>
      <c r="H270" s="419"/>
      <c r="I270" s="419"/>
      <c r="J270" s="7"/>
    </row>
    <row r="271">
      <c r="A271" s="7"/>
      <c r="B271" s="419"/>
      <c r="C271" s="419"/>
      <c r="D271" s="419"/>
      <c r="E271" s="419"/>
      <c r="F271" s="419"/>
      <c r="G271" s="419"/>
      <c r="H271" s="419"/>
      <c r="I271" s="419"/>
      <c r="J271" s="7"/>
    </row>
    <row r="272">
      <c r="A272" s="7"/>
      <c r="B272" s="419"/>
      <c r="C272" s="419"/>
      <c r="D272" s="419"/>
      <c r="E272" s="419"/>
      <c r="F272" s="419"/>
      <c r="G272" s="419"/>
      <c r="H272" s="419"/>
      <c r="I272" s="419"/>
      <c r="J272" s="7"/>
    </row>
    <row r="273">
      <c r="A273" s="7"/>
      <c r="B273" s="419"/>
      <c r="C273" s="419"/>
      <c r="D273" s="419"/>
      <c r="E273" s="419"/>
      <c r="F273" s="419"/>
      <c r="G273" s="419"/>
      <c r="H273" s="419"/>
      <c r="I273" s="419"/>
      <c r="J273" s="7"/>
    </row>
    <row r="274">
      <c r="A274" s="7"/>
      <c r="B274" s="419"/>
      <c r="C274" s="419"/>
      <c r="D274" s="419"/>
      <c r="E274" s="419"/>
      <c r="F274" s="419"/>
      <c r="G274" s="419"/>
      <c r="H274" s="419"/>
      <c r="I274" s="419"/>
      <c r="J274" s="7"/>
    </row>
    <row r="275">
      <c r="A275" s="7"/>
      <c r="B275" s="419"/>
      <c r="C275" s="419"/>
      <c r="D275" s="419"/>
      <c r="E275" s="419"/>
      <c r="F275" s="419"/>
      <c r="G275" s="419"/>
      <c r="H275" s="419"/>
      <c r="I275" s="419"/>
      <c r="J275" s="7"/>
    </row>
    <row r="276">
      <c r="A276" s="7"/>
      <c r="B276" s="419"/>
      <c r="C276" s="419"/>
      <c r="D276" s="419"/>
      <c r="E276" s="419"/>
      <c r="F276" s="419"/>
      <c r="G276" s="419"/>
      <c r="H276" s="419"/>
      <c r="I276" s="419"/>
      <c r="J276" s="7"/>
    </row>
    <row r="277">
      <c r="A277" s="7"/>
      <c r="B277" s="419"/>
      <c r="C277" s="419"/>
      <c r="D277" s="419"/>
      <c r="E277" s="419"/>
      <c r="F277" s="419"/>
      <c r="G277" s="419"/>
      <c r="H277" s="419"/>
      <c r="I277" s="419"/>
      <c r="J277" s="7"/>
    </row>
    <row r="278">
      <c r="A278" s="7"/>
      <c r="B278" s="419"/>
      <c r="C278" s="419"/>
      <c r="D278" s="419"/>
      <c r="E278" s="419"/>
      <c r="F278" s="419"/>
      <c r="G278" s="419"/>
      <c r="H278" s="419"/>
      <c r="I278" s="419"/>
      <c r="J278" s="7"/>
    </row>
    <row r="279">
      <c r="A279" s="7"/>
      <c r="B279" s="419"/>
      <c r="C279" s="419"/>
      <c r="D279" s="419"/>
      <c r="E279" s="419"/>
      <c r="F279" s="419"/>
      <c r="G279" s="419"/>
      <c r="H279" s="419"/>
      <c r="I279" s="419"/>
      <c r="J279" s="7"/>
    </row>
    <row r="280">
      <c r="A280" s="7"/>
      <c r="B280" s="419"/>
      <c r="C280" s="419"/>
      <c r="D280" s="419"/>
      <c r="E280" s="419"/>
      <c r="F280" s="419"/>
      <c r="G280" s="419"/>
      <c r="H280" s="419"/>
      <c r="I280" s="419"/>
      <c r="J280" s="7"/>
    </row>
    <row r="281">
      <c r="A281" s="7"/>
      <c r="B281" s="419"/>
      <c r="C281" s="419"/>
      <c r="D281" s="419"/>
      <c r="E281" s="419"/>
      <c r="F281" s="419"/>
      <c r="G281" s="419"/>
      <c r="H281" s="419"/>
      <c r="I281" s="419"/>
      <c r="J281" s="7"/>
    </row>
    <row r="282">
      <c r="A282" s="7"/>
      <c r="B282" s="419"/>
      <c r="C282" s="419"/>
      <c r="D282" s="419"/>
      <c r="E282" s="419"/>
      <c r="F282" s="419"/>
      <c r="G282" s="419"/>
      <c r="H282" s="419"/>
      <c r="I282" s="419"/>
      <c r="J282" s="7"/>
    </row>
    <row r="283">
      <c r="A283" s="7"/>
      <c r="B283" s="419"/>
      <c r="C283" s="419"/>
      <c r="D283" s="419"/>
      <c r="E283" s="419"/>
      <c r="F283" s="419"/>
      <c r="G283" s="419"/>
      <c r="H283" s="419"/>
      <c r="I283" s="419"/>
      <c r="J283" s="7"/>
    </row>
    <row r="284">
      <c r="A284" s="7"/>
      <c r="B284" s="419"/>
      <c r="C284" s="419"/>
      <c r="D284" s="419"/>
      <c r="E284" s="419"/>
      <c r="F284" s="419"/>
      <c r="G284" s="419"/>
      <c r="H284" s="419"/>
      <c r="I284" s="419"/>
      <c r="J284" s="7"/>
    </row>
    <row r="285">
      <c r="A285" s="7"/>
      <c r="B285" s="419"/>
      <c r="C285" s="419"/>
      <c r="D285" s="419"/>
      <c r="E285" s="419"/>
      <c r="F285" s="419"/>
      <c r="G285" s="419"/>
      <c r="H285" s="419"/>
      <c r="I285" s="419"/>
      <c r="J285" s="7"/>
    </row>
    <row r="286">
      <c r="A286" s="7"/>
      <c r="B286" s="419"/>
      <c r="C286" s="419"/>
      <c r="D286" s="419"/>
      <c r="E286" s="419"/>
      <c r="F286" s="419"/>
      <c r="G286" s="419"/>
      <c r="H286" s="419"/>
      <c r="I286" s="419"/>
      <c r="J286" s="7"/>
    </row>
    <row r="287">
      <c r="A287" s="7"/>
      <c r="B287" s="419"/>
      <c r="C287" s="419"/>
      <c r="D287" s="419"/>
      <c r="E287" s="419"/>
      <c r="F287" s="419"/>
      <c r="G287" s="419"/>
      <c r="H287" s="419"/>
      <c r="I287" s="419"/>
      <c r="J287" s="7"/>
    </row>
    <row r="288">
      <c r="A288" s="7"/>
      <c r="B288" s="419"/>
      <c r="C288" s="419"/>
      <c r="D288" s="419"/>
      <c r="E288" s="419"/>
      <c r="F288" s="419"/>
      <c r="G288" s="419"/>
      <c r="H288" s="419"/>
      <c r="I288" s="419"/>
      <c r="J288" s="7"/>
    </row>
    <row r="289">
      <c r="A289" s="7"/>
      <c r="B289" s="419"/>
      <c r="C289" s="419"/>
      <c r="D289" s="419"/>
      <c r="E289" s="419"/>
      <c r="F289" s="419"/>
      <c r="G289" s="419"/>
      <c r="H289" s="419"/>
      <c r="I289" s="419"/>
      <c r="J289" s="7"/>
    </row>
    <row r="290">
      <c r="A290" s="7"/>
      <c r="B290" s="419"/>
      <c r="C290" s="419"/>
      <c r="D290" s="419"/>
      <c r="E290" s="419"/>
      <c r="F290" s="419"/>
      <c r="G290" s="419"/>
      <c r="H290" s="419"/>
      <c r="I290" s="419"/>
      <c r="J290" s="7"/>
    </row>
    <row r="291">
      <c r="A291" s="7"/>
      <c r="B291" s="419"/>
      <c r="C291" s="419"/>
      <c r="D291" s="419"/>
      <c r="E291" s="419"/>
      <c r="F291" s="419"/>
      <c r="G291" s="419"/>
      <c r="H291" s="419"/>
      <c r="I291" s="419"/>
      <c r="J291" s="7"/>
    </row>
    <row r="292">
      <c r="A292" s="7"/>
      <c r="B292" s="419"/>
      <c r="C292" s="419"/>
      <c r="D292" s="419"/>
      <c r="E292" s="419"/>
      <c r="F292" s="419"/>
      <c r="G292" s="419"/>
      <c r="H292" s="419"/>
      <c r="I292" s="419"/>
      <c r="J292" s="7"/>
    </row>
    <row r="293">
      <c r="A293" s="7"/>
      <c r="B293" s="419"/>
      <c r="C293" s="419"/>
      <c r="D293" s="419"/>
      <c r="E293" s="419"/>
      <c r="F293" s="419"/>
      <c r="G293" s="419"/>
      <c r="H293" s="419"/>
      <c r="I293" s="419"/>
      <c r="J293" s="7"/>
    </row>
    <row r="294">
      <c r="A294" s="7"/>
      <c r="B294" s="419"/>
      <c r="C294" s="419"/>
      <c r="D294" s="419"/>
      <c r="E294" s="419"/>
      <c r="F294" s="419"/>
      <c r="G294" s="419"/>
      <c r="H294" s="419"/>
      <c r="I294" s="419"/>
      <c r="J294" s="7"/>
    </row>
    <row r="295">
      <c r="A295" s="7"/>
      <c r="B295" s="419"/>
      <c r="C295" s="419"/>
      <c r="D295" s="419"/>
      <c r="E295" s="419"/>
      <c r="F295" s="419"/>
      <c r="G295" s="419"/>
      <c r="H295" s="419"/>
      <c r="I295" s="419"/>
      <c r="J295" s="7"/>
    </row>
    <row r="296">
      <c r="A296" s="7"/>
      <c r="B296" s="419"/>
      <c r="C296" s="419"/>
      <c r="D296" s="419"/>
      <c r="E296" s="419"/>
      <c r="F296" s="419"/>
      <c r="G296" s="419"/>
      <c r="H296" s="419"/>
      <c r="I296" s="419"/>
      <c r="J296" s="7"/>
    </row>
    <row r="297">
      <c r="A297" s="7"/>
      <c r="B297" s="419"/>
      <c r="C297" s="419"/>
      <c r="D297" s="419"/>
      <c r="E297" s="419"/>
      <c r="F297" s="419"/>
      <c r="G297" s="419"/>
      <c r="H297" s="419"/>
      <c r="I297" s="419"/>
      <c r="J297" s="7"/>
    </row>
    <row r="298">
      <c r="A298" s="7"/>
      <c r="B298" s="419"/>
      <c r="C298" s="419"/>
      <c r="D298" s="419"/>
      <c r="E298" s="419"/>
      <c r="F298" s="419"/>
      <c r="G298" s="419"/>
      <c r="H298" s="419"/>
      <c r="I298" s="419"/>
      <c r="J298" s="7"/>
    </row>
    <row r="299">
      <c r="A299" s="7"/>
      <c r="B299" s="419"/>
      <c r="C299" s="419"/>
      <c r="D299" s="419"/>
      <c r="E299" s="419"/>
      <c r="F299" s="419"/>
      <c r="G299" s="419"/>
      <c r="H299" s="419"/>
      <c r="I299" s="419"/>
      <c r="J299" s="7"/>
    </row>
    <row r="300">
      <c r="A300" s="7"/>
      <c r="B300" s="419"/>
      <c r="C300" s="419"/>
      <c r="D300" s="419"/>
      <c r="E300" s="419"/>
      <c r="F300" s="419"/>
      <c r="G300" s="419"/>
      <c r="H300" s="419"/>
      <c r="I300" s="419"/>
      <c r="J300" s="7"/>
    </row>
    <row r="301">
      <c r="A301" s="7"/>
      <c r="B301" s="419"/>
      <c r="C301" s="419"/>
      <c r="D301" s="419"/>
      <c r="E301" s="419"/>
      <c r="F301" s="419"/>
      <c r="G301" s="419"/>
      <c r="H301" s="419"/>
      <c r="I301" s="419"/>
      <c r="J301" s="7"/>
    </row>
    <row r="302">
      <c r="A302" s="7"/>
      <c r="B302" s="419"/>
      <c r="C302" s="419"/>
      <c r="D302" s="419"/>
      <c r="E302" s="419"/>
      <c r="F302" s="419"/>
      <c r="G302" s="419"/>
      <c r="H302" s="419"/>
      <c r="I302" s="419"/>
      <c r="J302" s="7"/>
    </row>
    <row r="303">
      <c r="A303" s="7"/>
      <c r="B303" s="419"/>
      <c r="C303" s="419"/>
      <c r="D303" s="419"/>
      <c r="E303" s="419"/>
      <c r="F303" s="419"/>
      <c r="G303" s="419"/>
      <c r="H303" s="419"/>
      <c r="I303" s="419"/>
      <c r="J303" s="7"/>
    </row>
    <row r="304">
      <c r="A304" s="7"/>
      <c r="B304" s="419"/>
      <c r="C304" s="419"/>
      <c r="D304" s="419"/>
      <c r="E304" s="419"/>
      <c r="F304" s="419"/>
      <c r="G304" s="419"/>
      <c r="H304" s="419"/>
      <c r="I304" s="419"/>
      <c r="J304" s="7"/>
    </row>
    <row r="305">
      <c r="A305" s="7"/>
      <c r="B305" s="419"/>
      <c r="C305" s="419"/>
      <c r="D305" s="419"/>
      <c r="E305" s="419"/>
      <c r="F305" s="419"/>
      <c r="G305" s="419"/>
      <c r="H305" s="419"/>
      <c r="I305" s="419"/>
      <c r="J305" s="7"/>
    </row>
    <row r="306">
      <c r="A306" s="7"/>
      <c r="B306" s="419"/>
      <c r="C306" s="419"/>
      <c r="D306" s="419"/>
      <c r="E306" s="419"/>
      <c r="F306" s="419"/>
      <c r="G306" s="419"/>
      <c r="H306" s="419"/>
      <c r="I306" s="419"/>
      <c r="J306" s="7"/>
    </row>
    <row r="307">
      <c r="A307" s="7"/>
      <c r="B307" s="419"/>
      <c r="C307" s="419"/>
      <c r="D307" s="419"/>
      <c r="E307" s="419"/>
      <c r="F307" s="419"/>
      <c r="G307" s="419"/>
      <c r="H307" s="419"/>
      <c r="I307" s="419"/>
      <c r="J307" s="7"/>
    </row>
    <row r="308">
      <c r="A308" s="7"/>
      <c r="B308" s="419"/>
      <c r="C308" s="419"/>
      <c r="D308" s="419"/>
      <c r="E308" s="419"/>
      <c r="F308" s="419"/>
      <c r="G308" s="419"/>
      <c r="H308" s="419"/>
      <c r="I308" s="419"/>
      <c r="J308" s="7"/>
    </row>
    <row r="309">
      <c r="A309" s="7"/>
      <c r="B309" s="419"/>
      <c r="C309" s="419"/>
      <c r="D309" s="419"/>
      <c r="E309" s="419"/>
      <c r="F309" s="419"/>
      <c r="G309" s="419"/>
      <c r="H309" s="419"/>
      <c r="I309" s="419"/>
      <c r="J309" s="7"/>
    </row>
    <row r="310">
      <c r="A310" s="7"/>
      <c r="B310" s="419"/>
      <c r="C310" s="419"/>
      <c r="D310" s="419"/>
      <c r="E310" s="419"/>
      <c r="F310" s="419"/>
      <c r="G310" s="419"/>
      <c r="H310" s="419"/>
      <c r="I310" s="419"/>
      <c r="J310" s="7"/>
    </row>
    <row r="311">
      <c r="A311" s="7"/>
      <c r="B311" s="419"/>
      <c r="C311" s="419"/>
      <c r="D311" s="419"/>
      <c r="E311" s="419"/>
      <c r="F311" s="419"/>
      <c r="G311" s="419"/>
      <c r="H311" s="419"/>
      <c r="I311" s="419"/>
      <c r="J311" s="7"/>
    </row>
    <row r="312">
      <c r="A312" s="7"/>
      <c r="B312" s="419"/>
      <c r="C312" s="419"/>
      <c r="D312" s="419"/>
      <c r="E312" s="419"/>
      <c r="F312" s="419"/>
      <c r="G312" s="419"/>
      <c r="H312" s="419"/>
      <c r="I312" s="419"/>
      <c r="J312" s="7"/>
    </row>
    <row r="313">
      <c r="A313" s="7"/>
      <c r="B313" s="419"/>
      <c r="C313" s="419"/>
      <c r="D313" s="419"/>
      <c r="E313" s="419"/>
      <c r="F313" s="419"/>
      <c r="G313" s="419"/>
      <c r="H313" s="419"/>
      <c r="I313" s="419"/>
      <c r="J313" s="7"/>
    </row>
    <row r="314">
      <c r="A314" s="7"/>
      <c r="B314" s="419"/>
      <c r="C314" s="419"/>
      <c r="D314" s="419"/>
      <c r="E314" s="419"/>
      <c r="F314" s="419"/>
      <c r="G314" s="419"/>
      <c r="H314" s="419"/>
      <c r="I314" s="419"/>
      <c r="J314" s="7"/>
    </row>
    <row r="315">
      <c r="A315" s="7"/>
      <c r="B315" s="419"/>
      <c r="C315" s="419"/>
      <c r="D315" s="419"/>
      <c r="E315" s="419"/>
      <c r="F315" s="419"/>
      <c r="G315" s="419"/>
      <c r="H315" s="419"/>
      <c r="I315" s="419"/>
      <c r="J315" s="7"/>
    </row>
    <row r="316">
      <c r="A316" s="7"/>
      <c r="B316" s="419"/>
      <c r="C316" s="419"/>
      <c r="D316" s="419"/>
      <c r="E316" s="419"/>
      <c r="F316" s="419"/>
      <c r="G316" s="419"/>
      <c r="H316" s="419"/>
      <c r="I316" s="419"/>
      <c r="J316" s="7"/>
    </row>
    <row r="317">
      <c r="A317" s="7"/>
      <c r="B317" s="419"/>
      <c r="C317" s="419"/>
      <c r="D317" s="419"/>
      <c r="E317" s="419"/>
      <c r="F317" s="419"/>
      <c r="G317" s="419"/>
      <c r="H317" s="419"/>
      <c r="I317" s="419"/>
      <c r="J317" s="7"/>
    </row>
    <row r="318">
      <c r="A318" s="7"/>
      <c r="B318" s="419"/>
      <c r="C318" s="419"/>
      <c r="D318" s="419"/>
      <c r="E318" s="419"/>
      <c r="F318" s="419"/>
      <c r="G318" s="419"/>
      <c r="H318" s="419"/>
      <c r="I318" s="419"/>
      <c r="J318" s="7"/>
    </row>
    <row r="319">
      <c r="A319" s="7"/>
      <c r="B319" s="419"/>
      <c r="C319" s="419"/>
      <c r="D319" s="419"/>
      <c r="E319" s="419"/>
      <c r="F319" s="419"/>
      <c r="G319" s="419"/>
      <c r="H319" s="419"/>
      <c r="I319" s="419"/>
      <c r="J319" s="7"/>
    </row>
    <row r="320">
      <c r="A320" s="7"/>
      <c r="B320" s="419"/>
      <c r="C320" s="419"/>
      <c r="D320" s="419"/>
      <c r="E320" s="419"/>
      <c r="F320" s="419"/>
      <c r="G320" s="419"/>
      <c r="H320" s="419"/>
      <c r="I320" s="419"/>
      <c r="J320" s="7"/>
    </row>
    <row r="321">
      <c r="A321" s="7"/>
      <c r="B321" s="419"/>
      <c r="C321" s="419"/>
      <c r="D321" s="419"/>
      <c r="E321" s="419"/>
      <c r="F321" s="419"/>
      <c r="G321" s="419"/>
      <c r="H321" s="419"/>
      <c r="I321" s="419"/>
      <c r="J321" s="7"/>
    </row>
    <row r="322">
      <c r="A322" s="7"/>
      <c r="B322" s="419"/>
      <c r="C322" s="419"/>
      <c r="D322" s="419"/>
      <c r="E322" s="419"/>
      <c r="F322" s="419"/>
      <c r="G322" s="419"/>
      <c r="H322" s="419"/>
      <c r="I322" s="419"/>
      <c r="J322" s="7"/>
    </row>
    <row r="323">
      <c r="A323" s="7"/>
      <c r="B323" s="419"/>
      <c r="C323" s="419"/>
      <c r="D323" s="419"/>
      <c r="E323" s="419"/>
      <c r="F323" s="419"/>
      <c r="G323" s="419"/>
      <c r="H323" s="419"/>
      <c r="I323" s="419"/>
      <c r="J323" s="7"/>
    </row>
    <row r="324">
      <c r="A324" s="7"/>
      <c r="B324" s="419"/>
      <c r="C324" s="419"/>
      <c r="D324" s="419"/>
      <c r="E324" s="419"/>
      <c r="F324" s="419"/>
      <c r="G324" s="419"/>
      <c r="H324" s="419"/>
      <c r="I324" s="419"/>
      <c r="J324" s="7"/>
    </row>
    <row r="325">
      <c r="A325" s="7"/>
      <c r="B325" s="419"/>
      <c r="C325" s="419"/>
      <c r="D325" s="419"/>
      <c r="E325" s="419"/>
      <c r="F325" s="419"/>
      <c r="G325" s="419"/>
      <c r="H325" s="419"/>
      <c r="I325" s="419"/>
      <c r="J325" s="7"/>
    </row>
    <row r="326">
      <c r="A326" s="7"/>
      <c r="B326" s="419"/>
      <c r="C326" s="419"/>
      <c r="D326" s="419"/>
      <c r="E326" s="419"/>
      <c r="F326" s="419"/>
      <c r="G326" s="419"/>
      <c r="H326" s="419"/>
      <c r="I326" s="419"/>
      <c r="J326" s="7"/>
    </row>
    <row r="327">
      <c r="A327" s="7"/>
      <c r="B327" s="419"/>
      <c r="C327" s="419"/>
      <c r="D327" s="419"/>
      <c r="E327" s="419"/>
      <c r="F327" s="419"/>
      <c r="G327" s="419"/>
      <c r="H327" s="419"/>
      <c r="I327" s="419"/>
      <c r="J327" s="7"/>
    </row>
    <row r="328">
      <c r="A328" s="7"/>
      <c r="B328" s="419"/>
      <c r="C328" s="419"/>
      <c r="D328" s="419"/>
      <c r="E328" s="419"/>
      <c r="F328" s="419"/>
      <c r="G328" s="419"/>
      <c r="H328" s="419"/>
      <c r="I328" s="419"/>
      <c r="J328" s="7"/>
    </row>
    <row r="329">
      <c r="A329" s="7"/>
      <c r="B329" s="419"/>
      <c r="C329" s="419"/>
      <c r="D329" s="419"/>
      <c r="E329" s="419"/>
      <c r="F329" s="419"/>
      <c r="G329" s="419"/>
      <c r="H329" s="419"/>
      <c r="I329" s="419"/>
      <c r="J329" s="7"/>
    </row>
    <row r="330">
      <c r="A330" s="7"/>
      <c r="B330" s="419"/>
      <c r="C330" s="419"/>
      <c r="D330" s="419"/>
      <c r="E330" s="419"/>
      <c r="F330" s="419"/>
      <c r="G330" s="419"/>
      <c r="H330" s="419"/>
      <c r="I330" s="419"/>
      <c r="J330" s="7"/>
    </row>
    <row r="331">
      <c r="A331" s="7"/>
      <c r="B331" s="419"/>
      <c r="C331" s="419"/>
      <c r="D331" s="419"/>
      <c r="E331" s="419"/>
      <c r="F331" s="419"/>
      <c r="G331" s="419"/>
      <c r="H331" s="419"/>
      <c r="I331" s="419"/>
      <c r="J331" s="7"/>
    </row>
    <row r="332">
      <c r="A332" s="7"/>
      <c r="B332" s="419"/>
      <c r="C332" s="419"/>
      <c r="D332" s="419"/>
      <c r="E332" s="419"/>
      <c r="F332" s="419"/>
      <c r="G332" s="419"/>
      <c r="H332" s="419"/>
      <c r="I332" s="419"/>
      <c r="J332" s="7"/>
    </row>
    <row r="333">
      <c r="A333" s="7"/>
      <c r="B333" s="419"/>
      <c r="C333" s="419"/>
      <c r="D333" s="419"/>
      <c r="E333" s="419"/>
      <c r="F333" s="419"/>
      <c r="G333" s="419"/>
      <c r="H333" s="419"/>
      <c r="I333" s="419"/>
      <c r="J333" s="7"/>
    </row>
    <row r="334">
      <c r="A334" s="7"/>
      <c r="B334" s="419"/>
      <c r="C334" s="419"/>
      <c r="D334" s="419"/>
      <c r="E334" s="419"/>
      <c r="F334" s="419"/>
      <c r="G334" s="419"/>
      <c r="H334" s="419"/>
      <c r="I334" s="419"/>
      <c r="J334" s="7"/>
    </row>
    <row r="335">
      <c r="A335" s="7"/>
      <c r="B335" s="419"/>
      <c r="C335" s="419"/>
      <c r="D335" s="419"/>
      <c r="E335" s="419"/>
      <c r="F335" s="419"/>
      <c r="G335" s="419"/>
      <c r="H335" s="419"/>
      <c r="I335" s="419"/>
      <c r="J335" s="7"/>
    </row>
    <row r="336">
      <c r="A336" s="7"/>
      <c r="B336" s="419"/>
      <c r="C336" s="419"/>
      <c r="D336" s="419"/>
      <c r="E336" s="419"/>
      <c r="F336" s="419"/>
      <c r="G336" s="419"/>
      <c r="H336" s="419"/>
      <c r="I336" s="419"/>
      <c r="J336" s="7"/>
    </row>
    <row r="337">
      <c r="A337" s="7"/>
      <c r="B337" s="419"/>
      <c r="C337" s="419"/>
      <c r="D337" s="419"/>
      <c r="E337" s="419"/>
      <c r="F337" s="419"/>
      <c r="G337" s="419"/>
      <c r="H337" s="419"/>
      <c r="I337" s="419"/>
      <c r="J337" s="7"/>
    </row>
    <row r="338">
      <c r="A338" s="7"/>
      <c r="B338" s="419"/>
      <c r="C338" s="419"/>
      <c r="D338" s="419"/>
      <c r="E338" s="419"/>
      <c r="F338" s="419"/>
      <c r="G338" s="419"/>
      <c r="H338" s="419"/>
      <c r="I338" s="419"/>
      <c r="J338" s="7"/>
    </row>
    <row r="339">
      <c r="A339" s="7"/>
      <c r="B339" s="419"/>
      <c r="C339" s="419"/>
      <c r="D339" s="419"/>
      <c r="E339" s="419"/>
      <c r="F339" s="419"/>
      <c r="G339" s="419"/>
      <c r="H339" s="419"/>
      <c r="I339" s="419"/>
      <c r="J339" s="7"/>
    </row>
    <row r="340">
      <c r="A340" s="7"/>
      <c r="B340" s="419"/>
      <c r="C340" s="419"/>
      <c r="D340" s="419"/>
      <c r="E340" s="419"/>
      <c r="F340" s="419"/>
      <c r="G340" s="419"/>
      <c r="H340" s="419"/>
      <c r="I340" s="419"/>
      <c r="J340" s="7"/>
    </row>
    <row r="341">
      <c r="A341" s="7"/>
      <c r="B341" s="419"/>
      <c r="C341" s="419"/>
      <c r="D341" s="419"/>
      <c r="E341" s="419"/>
      <c r="F341" s="419"/>
      <c r="G341" s="419"/>
      <c r="H341" s="419"/>
      <c r="I341" s="419"/>
      <c r="J341" s="7"/>
    </row>
    <row r="342">
      <c r="A342" s="7"/>
      <c r="B342" s="419"/>
      <c r="C342" s="419"/>
      <c r="D342" s="419"/>
      <c r="E342" s="419"/>
      <c r="F342" s="419"/>
      <c r="G342" s="419"/>
      <c r="H342" s="419"/>
      <c r="I342" s="419"/>
      <c r="J342" s="7"/>
    </row>
    <row r="343">
      <c r="A343" s="7"/>
      <c r="B343" s="419"/>
      <c r="C343" s="419"/>
      <c r="D343" s="419"/>
      <c r="E343" s="419"/>
      <c r="F343" s="419"/>
      <c r="G343" s="419"/>
      <c r="H343" s="419"/>
      <c r="I343" s="419"/>
      <c r="J343" s="7"/>
    </row>
    <row r="344">
      <c r="A344" s="7"/>
      <c r="B344" s="419"/>
      <c r="C344" s="419"/>
      <c r="D344" s="419"/>
      <c r="E344" s="419"/>
      <c r="F344" s="419"/>
      <c r="G344" s="419"/>
      <c r="H344" s="419"/>
      <c r="I344" s="419"/>
      <c r="J344" s="7"/>
    </row>
    <row r="345">
      <c r="A345" s="7"/>
      <c r="B345" s="419"/>
      <c r="C345" s="419"/>
      <c r="D345" s="419"/>
      <c r="E345" s="419"/>
      <c r="F345" s="419"/>
      <c r="G345" s="419"/>
      <c r="H345" s="419"/>
      <c r="I345" s="419"/>
      <c r="J345" s="7"/>
    </row>
    <row r="346">
      <c r="A346" s="7"/>
      <c r="B346" s="419"/>
      <c r="C346" s="419"/>
      <c r="D346" s="419"/>
      <c r="E346" s="419"/>
      <c r="F346" s="419"/>
      <c r="G346" s="419"/>
      <c r="H346" s="419"/>
      <c r="I346" s="419"/>
      <c r="J346" s="7"/>
    </row>
    <row r="347">
      <c r="A347" s="7"/>
      <c r="B347" s="419"/>
      <c r="C347" s="419"/>
      <c r="D347" s="419"/>
      <c r="E347" s="419"/>
      <c r="F347" s="419"/>
      <c r="G347" s="419"/>
      <c r="H347" s="419"/>
      <c r="I347" s="419"/>
      <c r="J347" s="7"/>
    </row>
    <row r="348">
      <c r="A348" s="7"/>
      <c r="B348" s="419"/>
      <c r="C348" s="419"/>
      <c r="D348" s="419"/>
      <c r="E348" s="419"/>
      <c r="F348" s="419"/>
      <c r="G348" s="419"/>
      <c r="H348" s="419"/>
      <c r="I348" s="419"/>
      <c r="J348" s="7"/>
    </row>
    <row r="349">
      <c r="A349" s="7"/>
      <c r="B349" s="419"/>
      <c r="C349" s="419"/>
      <c r="D349" s="419"/>
      <c r="E349" s="419"/>
      <c r="F349" s="419"/>
      <c r="G349" s="419"/>
      <c r="H349" s="419"/>
      <c r="I349" s="419"/>
      <c r="J349" s="7"/>
    </row>
    <row r="350">
      <c r="A350" s="7"/>
      <c r="B350" s="419"/>
      <c r="C350" s="419"/>
      <c r="D350" s="419"/>
      <c r="E350" s="419"/>
      <c r="F350" s="419"/>
      <c r="G350" s="419"/>
      <c r="H350" s="419"/>
      <c r="I350" s="419"/>
      <c r="J350" s="7"/>
    </row>
    <row r="351">
      <c r="A351" s="7"/>
      <c r="B351" s="419"/>
      <c r="C351" s="419"/>
      <c r="D351" s="419"/>
      <c r="E351" s="419"/>
      <c r="F351" s="419"/>
      <c r="G351" s="419"/>
      <c r="H351" s="419"/>
      <c r="I351" s="419"/>
      <c r="J351" s="7"/>
    </row>
    <row r="352">
      <c r="A352" s="7"/>
      <c r="B352" s="419"/>
      <c r="C352" s="419"/>
      <c r="D352" s="419"/>
      <c r="E352" s="419"/>
      <c r="F352" s="419"/>
      <c r="G352" s="419"/>
      <c r="H352" s="419"/>
      <c r="I352" s="419"/>
      <c r="J352" s="7"/>
    </row>
    <row r="353">
      <c r="A353" s="7"/>
      <c r="B353" s="419"/>
      <c r="C353" s="419"/>
      <c r="D353" s="419"/>
      <c r="E353" s="419"/>
      <c r="F353" s="419"/>
      <c r="G353" s="419"/>
      <c r="H353" s="419"/>
      <c r="I353" s="419"/>
      <c r="J353" s="7"/>
    </row>
    <row r="354">
      <c r="A354" s="7"/>
      <c r="B354" s="419"/>
      <c r="C354" s="419"/>
      <c r="D354" s="419"/>
      <c r="E354" s="419"/>
      <c r="F354" s="419"/>
      <c r="G354" s="419"/>
      <c r="H354" s="419"/>
      <c r="I354" s="419"/>
      <c r="J354" s="7"/>
    </row>
    <row r="355">
      <c r="A355" s="7"/>
      <c r="B355" s="419"/>
      <c r="C355" s="419"/>
      <c r="D355" s="419"/>
      <c r="E355" s="419"/>
      <c r="F355" s="419"/>
      <c r="G355" s="419"/>
      <c r="H355" s="419"/>
      <c r="I355" s="419"/>
      <c r="J355" s="7"/>
    </row>
    <row r="356">
      <c r="A356" s="7"/>
      <c r="B356" s="419"/>
      <c r="C356" s="419"/>
      <c r="D356" s="419"/>
      <c r="E356" s="419"/>
      <c r="F356" s="419"/>
      <c r="G356" s="419"/>
      <c r="H356" s="419"/>
      <c r="I356" s="419"/>
      <c r="J356" s="7"/>
    </row>
    <row r="357">
      <c r="A357" s="7"/>
      <c r="B357" s="419"/>
      <c r="C357" s="419"/>
      <c r="D357" s="419"/>
      <c r="E357" s="419"/>
      <c r="F357" s="419"/>
      <c r="G357" s="419"/>
      <c r="H357" s="419"/>
      <c r="I357" s="419"/>
      <c r="J357" s="7"/>
    </row>
    <row r="358">
      <c r="A358" s="7"/>
      <c r="B358" s="419"/>
      <c r="C358" s="419"/>
      <c r="D358" s="419"/>
      <c r="E358" s="419"/>
      <c r="F358" s="419"/>
      <c r="G358" s="419"/>
      <c r="H358" s="419"/>
      <c r="I358" s="419"/>
      <c r="J358" s="7"/>
    </row>
    <row r="359">
      <c r="A359" s="7"/>
      <c r="B359" s="419"/>
      <c r="C359" s="419"/>
      <c r="D359" s="419"/>
      <c r="E359" s="419"/>
      <c r="F359" s="419"/>
      <c r="G359" s="419"/>
      <c r="H359" s="419"/>
      <c r="I359" s="419"/>
      <c r="J359" s="7"/>
    </row>
    <row r="360">
      <c r="A360" s="7"/>
      <c r="B360" s="419"/>
      <c r="C360" s="419"/>
      <c r="D360" s="419"/>
      <c r="E360" s="419"/>
      <c r="F360" s="419"/>
      <c r="G360" s="419"/>
      <c r="H360" s="419"/>
      <c r="I360" s="419"/>
      <c r="J360" s="7"/>
    </row>
    <row r="361">
      <c r="A361" s="7"/>
      <c r="B361" s="419"/>
      <c r="C361" s="419"/>
      <c r="D361" s="419"/>
      <c r="E361" s="419"/>
      <c r="F361" s="419"/>
      <c r="G361" s="419"/>
      <c r="H361" s="419"/>
      <c r="I361" s="419"/>
      <c r="J361" s="7"/>
    </row>
    <row r="362">
      <c r="A362" s="7"/>
      <c r="B362" s="419"/>
      <c r="C362" s="419"/>
      <c r="D362" s="419"/>
      <c r="E362" s="419"/>
      <c r="F362" s="419"/>
      <c r="G362" s="419"/>
      <c r="H362" s="419"/>
      <c r="I362" s="419"/>
      <c r="J362" s="7"/>
    </row>
    <row r="363">
      <c r="A363" s="7"/>
      <c r="B363" s="419"/>
      <c r="C363" s="419"/>
      <c r="D363" s="419"/>
      <c r="E363" s="419"/>
      <c r="F363" s="419"/>
      <c r="G363" s="419"/>
      <c r="H363" s="419"/>
      <c r="I363" s="419"/>
      <c r="J363" s="7"/>
    </row>
    <row r="364">
      <c r="A364" s="7"/>
      <c r="B364" s="419"/>
      <c r="C364" s="419"/>
      <c r="D364" s="419"/>
      <c r="E364" s="419"/>
      <c r="F364" s="419"/>
      <c r="G364" s="419"/>
      <c r="H364" s="419"/>
      <c r="I364" s="419"/>
      <c r="J364" s="7"/>
    </row>
    <row r="365">
      <c r="A365" s="7"/>
      <c r="B365" s="419"/>
      <c r="C365" s="419"/>
      <c r="D365" s="419"/>
      <c r="E365" s="419"/>
      <c r="F365" s="419"/>
      <c r="G365" s="419"/>
      <c r="H365" s="419"/>
      <c r="I365" s="419"/>
      <c r="J365" s="7"/>
    </row>
    <row r="366">
      <c r="A366" s="7"/>
      <c r="B366" s="419"/>
      <c r="C366" s="419"/>
      <c r="D366" s="419"/>
      <c r="E366" s="419"/>
      <c r="F366" s="419"/>
      <c r="G366" s="419"/>
      <c r="H366" s="419"/>
      <c r="I366" s="419"/>
      <c r="J366" s="7"/>
    </row>
    <row r="367">
      <c r="A367" s="7"/>
      <c r="B367" s="419"/>
      <c r="C367" s="419"/>
      <c r="D367" s="419"/>
      <c r="E367" s="419"/>
      <c r="F367" s="419"/>
      <c r="G367" s="419"/>
      <c r="H367" s="419"/>
      <c r="I367" s="419"/>
      <c r="J367" s="7"/>
    </row>
    <row r="368">
      <c r="A368" s="7"/>
      <c r="B368" s="419"/>
      <c r="C368" s="419"/>
      <c r="D368" s="419"/>
      <c r="E368" s="419"/>
      <c r="F368" s="419"/>
      <c r="G368" s="419"/>
      <c r="H368" s="419"/>
      <c r="I368" s="419"/>
      <c r="J368" s="7"/>
    </row>
    <row r="369">
      <c r="A369" s="7"/>
      <c r="B369" s="419"/>
      <c r="C369" s="419"/>
      <c r="D369" s="419"/>
      <c r="E369" s="419"/>
      <c r="F369" s="419"/>
      <c r="G369" s="419"/>
      <c r="H369" s="419"/>
      <c r="I369" s="419"/>
      <c r="J369" s="7"/>
    </row>
    <row r="370">
      <c r="A370" s="7"/>
      <c r="B370" s="419"/>
      <c r="C370" s="419"/>
      <c r="D370" s="419"/>
      <c r="E370" s="419"/>
      <c r="F370" s="419"/>
      <c r="G370" s="419"/>
      <c r="H370" s="419"/>
      <c r="I370" s="419"/>
      <c r="J370" s="7"/>
    </row>
    <row r="371">
      <c r="A371" s="7"/>
      <c r="B371" s="419"/>
      <c r="C371" s="419"/>
      <c r="D371" s="419"/>
      <c r="E371" s="419"/>
      <c r="F371" s="419"/>
      <c r="G371" s="419"/>
      <c r="H371" s="419"/>
      <c r="I371" s="419"/>
      <c r="J371" s="7"/>
    </row>
    <row r="372">
      <c r="A372" s="7"/>
      <c r="B372" s="419"/>
      <c r="C372" s="419"/>
      <c r="D372" s="419"/>
      <c r="E372" s="419"/>
      <c r="F372" s="419"/>
      <c r="G372" s="419"/>
      <c r="H372" s="419"/>
      <c r="I372" s="419"/>
      <c r="J372" s="7"/>
    </row>
    <row r="373">
      <c r="A373" s="7"/>
      <c r="B373" s="419"/>
      <c r="C373" s="419"/>
      <c r="D373" s="419"/>
      <c r="E373" s="419"/>
      <c r="F373" s="419"/>
      <c r="G373" s="419"/>
      <c r="H373" s="419"/>
      <c r="I373" s="419"/>
      <c r="J373" s="7"/>
    </row>
    <row r="374">
      <c r="A374" s="7"/>
      <c r="B374" s="419"/>
      <c r="C374" s="419"/>
      <c r="D374" s="419"/>
      <c r="E374" s="419"/>
      <c r="F374" s="419"/>
      <c r="G374" s="419"/>
      <c r="H374" s="419"/>
      <c r="I374" s="419"/>
      <c r="J374" s="7"/>
    </row>
    <row r="375">
      <c r="A375" s="7"/>
      <c r="B375" s="419"/>
      <c r="C375" s="419"/>
      <c r="D375" s="419"/>
      <c r="E375" s="419"/>
      <c r="F375" s="419"/>
      <c r="G375" s="419"/>
      <c r="H375" s="419"/>
      <c r="I375" s="419"/>
      <c r="J375" s="7"/>
    </row>
    <row r="376">
      <c r="A376" s="7"/>
      <c r="B376" s="419"/>
      <c r="C376" s="419"/>
      <c r="D376" s="419"/>
      <c r="E376" s="419"/>
      <c r="F376" s="419"/>
      <c r="G376" s="419"/>
      <c r="H376" s="419"/>
      <c r="I376" s="419"/>
      <c r="J376" s="7"/>
    </row>
    <row r="377">
      <c r="A377" s="7"/>
      <c r="B377" s="419"/>
      <c r="C377" s="419"/>
      <c r="D377" s="419"/>
      <c r="E377" s="419"/>
      <c r="F377" s="419"/>
      <c r="G377" s="419"/>
      <c r="H377" s="419"/>
      <c r="I377" s="419"/>
      <c r="J377" s="7"/>
    </row>
    <row r="378">
      <c r="A378" s="7"/>
      <c r="B378" s="419"/>
      <c r="C378" s="419"/>
      <c r="D378" s="419"/>
      <c r="E378" s="419"/>
      <c r="F378" s="419"/>
      <c r="G378" s="419"/>
      <c r="H378" s="419"/>
      <c r="I378" s="419"/>
      <c r="J378" s="7"/>
    </row>
    <row r="379">
      <c r="A379" s="7"/>
      <c r="B379" s="419"/>
      <c r="C379" s="419"/>
      <c r="D379" s="419"/>
      <c r="E379" s="419"/>
      <c r="F379" s="419"/>
      <c r="G379" s="419"/>
      <c r="H379" s="419"/>
      <c r="I379" s="419"/>
      <c r="J379" s="7"/>
    </row>
    <row r="380">
      <c r="A380" s="7"/>
      <c r="B380" s="419"/>
      <c r="C380" s="419"/>
      <c r="D380" s="419"/>
      <c r="E380" s="419"/>
      <c r="F380" s="419"/>
      <c r="G380" s="419"/>
      <c r="H380" s="419"/>
      <c r="I380" s="419"/>
      <c r="J380" s="7"/>
    </row>
    <row r="381">
      <c r="A381" s="7"/>
      <c r="B381" s="419"/>
      <c r="C381" s="419"/>
      <c r="D381" s="419"/>
      <c r="E381" s="419"/>
      <c r="F381" s="419"/>
      <c r="G381" s="419"/>
      <c r="H381" s="419"/>
      <c r="I381" s="419"/>
      <c r="J381" s="7"/>
    </row>
    <row r="382">
      <c r="A382" s="7"/>
      <c r="B382" s="419"/>
      <c r="C382" s="419"/>
      <c r="D382" s="419"/>
      <c r="E382" s="419"/>
      <c r="F382" s="419"/>
      <c r="G382" s="419"/>
      <c r="H382" s="419"/>
      <c r="I382" s="419"/>
      <c r="J382" s="7"/>
    </row>
    <row r="383">
      <c r="A383" s="7"/>
      <c r="B383" s="419"/>
      <c r="C383" s="419"/>
      <c r="D383" s="419"/>
      <c r="E383" s="419"/>
      <c r="F383" s="419"/>
      <c r="G383" s="419"/>
      <c r="H383" s="419"/>
      <c r="I383" s="419"/>
      <c r="J383" s="7"/>
    </row>
    <row r="384">
      <c r="A384" s="7"/>
      <c r="B384" s="419"/>
      <c r="C384" s="419"/>
      <c r="D384" s="419"/>
      <c r="E384" s="419"/>
      <c r="F384" s="419"/>
      <c r="G384" s="419"/>
      <c r="H384" s="419"/>
      <c r="I384" s="419"/>
      <c r="J384" s="7"/>
    </row>
    <row r="385">
      <c r="A385" s="7"/>
      <c r="B385" s="419"/>
      <c r="C385" s="419"/>
      <c r="D385" s="419"/>
      <c r="E385" s="419"/>
      <c r="F385" s="419"/>
      <c r="G385" s="419"/>
      <c r="H385" s="419"/>
      <c r="I385" s="419"/>
      <c r="J385" s="7"/>
    </row>
    <row r="386">
      <c r="A386" s="7"/>
      <c r="B386" s="419"/>
      <c r="C386" s="419"/>
      <c r="D386" s="419"/>
      <c r="E386" s="419"/>
      <c r="F386" s="419"/>
      <c r="G386" s="419"/>
      <c r="H386" s="419"/>
      <c r="I386" s="419"/>
      <c r="J386" s="7"/>
    </row>
    <row r="387">
      <c r="A387" s="7"/>
      <c r="B387" s="419"/>
      <c r="C387" s="419"/>
      <c r="D387" s="419"/>
      <c r="E387" s="419"/>
      <c r="F387" s="419"/>
      <c r="G387" s="419"/>
      <c r="H387" s="419"/>
      <c r="I387" s="419"/>
      <c r="J387" s="7"/>
    </row>
    <row r="388">
      <c r="A388" s="7"/>
      <c r="B388" s="419"/>
      <c r="C388" s="419"/>
      <c r="D388" s="419"/>
      <c r="E388" s="419"/>
      <c r="F388" s="419"/>
      <c r="G388" s="419"/>
      <c r="H388" s="419"/>
      <c r="I388" s="419"/>
      <c r="J388" s="7"/>
    </row>
    <row r="389">
      <c r="A389" s="7"/>
      <c r="B389" s="419"/>
      <c r="C389" s="419"/>
      <c r="D389" s="419"/>
      <c r="E389" s="419"/>
      <c r="F389" s="419"/>
      <c r="G389" s="419"/>
      <c r="H389" s="419"/>
      <c r="I389" s="419"/>
      <c r="J389" s="7"/>
    </row>
    <row r="390">
      <c r="A390" s="7"/>
      <c r="B390" s="419"/>
      <c r="C390" s="419"/>
      <c r="D390" s="419"/>
      <c r="E390" s="419"/>
      <c r="F390" s="419"/>
      <c r="G390" s="419"/>
      <c r="H390" s="419"/>
      <c r="I390" s="419"/>
      <c r="J390" s="7"/>
    </row>
    <row r="391">
      <c r="A391" s="7"/>
      <c r="B391" s="419"/>
      <c r="C391" s="419"/>
      <c r="D391" s="419"/>
      <c r="E391" s="419"/>
      <c r="F391" s="419"/>
      <c r="G391" s="419"/>
      <c r="H391" s="419"/>
      <c r="I391" s="419"/>
      <c r="J391" s="7"/>
    </row>
    <row r="392">
      <c r="A392" s="7"/>
      <c r="B392" s="419"/>
      <c r="C392" s="419"/>
      <c r="D392" s="419"/>
      <c r="E392" s="419"/>
      <c r="F392" s="419"/>
      <c r="G392" s="419"/>
      <c r="H392" s="419"/>
      <c r="I392" s="419"/>
      <c r="J392" s="7"/>
    </row>
    <row r="393">
      <c r="A393" s="7"/>
      <c r="B393" s="419"/>
      <c r="C393" s="419"/>
      <c r="D393" s="419"/>
      <c r="E393" s="419"/>
      <c r="F393" s="419"/>
      <c r="G393" s="419"/>
      <c r="H393" s="419"/>
      <c r="I393" s="419"/>
      <c r="J393" s="7"/>
    </row>
    <row r="394">
      <c r="A394" s="7"/>
      <c r="B394" s="419"/>
      <c r="C394" s="419"/>
      <c r="D394" s="419"/>
      <c r="E394" s="419"/>
      <c r="F394" s="419"/>
      <c r="G394" s="419"/>
      <c r="H394" s="419"/>
      <c r="I394" s="419"/>
      <c r="J394" s="7"/>
    </row>
    <row r="395">
      <c r="A395" s="7"/>
      <c r="B395" s="419"/>
      <c r="C395" s="419"/>
      <c r="D395" s="419"/>
      <c r="E395" s="419"/>
      <c r="F395" s="419"/>
      <c r="G395" s="419"/>
      <c r="H395" s="419"/>
      <c r="I395" s="419"/>
      <c r="J395" s="7"/>
    </row>
    <row r="396">
      <c r="A396" s="7"/>
      <c r="B396" s="419"/>
      <c r="C396" s="419"/>
      <c r="D396" s="419"/>
      <c r="E396" s="419"/>
      <c r="F396" s="419"/>
      <c r="G396" s="419"/>
      <c r="H396" s="419"/>
      <c r="I396" s="419"/>
      <c r="J396" s="7"/>
    </row>
    <row r="397">
      <c r="A397" s="7"/>
      <c r="B397" s="419"/>
      <c r="C397" s="419"/>
      <c r="D397" s="419"/>
      <c r="E397" s="419"/>
      <c r="F397" s="419"/>
      <c r="G397" s="419"/>
      <c r="H397" s="419"/>
      <c r="I397" s="419"/>
      <c r="J397" s="7"/>
    </row>
    <row r="398">
      <c r="A398" s="7"/>
      <c r="B398" s="419"/>
      <c r="C398" s="419"/>
      <c r="D398" s="419"/>
      <c r="E398" s="419"/>
      <c r="F398" s="419"/>
      <c r="G398" s="419"/>
      <c r="H398" s="419"/>
      <c r="I398" s="419"/>
      <c r="J398" s="7"/>
    </row>
    <row r="399">
      <c r="A399" s="7"/>
      <c r="B399" s="419"/>
      <c r="C399" s="419"/>
      <c r="D399" s="419"/>
      <c r="E399" s="419"/>
      <c r="F399" s="419"/>
      <c r="G399" s="419"/>
      <c r="H399" s="419"/>
      <c r="I399" s="419"/>
      <c r="J399" s="7"/>
    </row>
    <row r="400">
      <c r="A400" s="7"/>
      <c r="B400" s="419"/>
      <c r="C400" s="419"/>
      <c r="D400" s="419"/>
      <c r="E400" s="419"/>
      <c r="F400" s="419"/>
      <c r="G400" s="419"/>
      <c r="H400" s="419"/>
      <c r="I400" s="419"/>
      <c r="J400" s="7"/>
    </row>
    <row r="401">
      <c r="A401" s="7"/>
      <c r="B401" s="419"/>
      <c r="C401" s="419"/>
      <c r="D401" s="419"/>
      <c r="E401" s="419"/>
      <c r="F401" s="419"/>
      <c r="G401" s="419"/>
      <c r="H401" s="419"/>
      <c r="I401" s="419"/>
      <c r="J401" s="7"/>
    </row>
    <row r="402">
      <c r="A402" s="7"/>
      <c r="B402" s="419"/>
      <c r="C402" s="419"/>
      <c r="D402" s="419"/>
      <c r="E402" s="419"/>
      <c r="F402" s="419"/>
      <c r="G402" s="419"/>
      <c r="H402" s="419"/>
      <c r="I402" s="419"/>
      <c r="J402" s="7"/>
    </row>
    <row r="403">
      <c r="A403" s="7"/>
      <c r="B403" s="419"/>
      <c r="C403" s="419"/>
      <c r="D403" s="419"/>
      <c r="E403" s="419"/>
      <c r="F403" s="419"/>
      <c r="G403" s="419"/>
      <c r="H403" s="419"/>
      <c r="I403" s="419"/>
      <c r="J403" s="7"/>
    </row>
    <row r="404">
      <c r="A404" s="7"/>
      <c r="B404" s="419"/>
      <c r="C404" s="419"/>
      <c r="D404" s="419"/>
      <c r="E404" s="419"/>
      <c r="F404" s="419"/>
      <c r="G404" s="419"/>
      <c r="H404" s="419"/>
      <c r="I404" s="419"/>
      <c r="J404" s="7"/>
    </row>
    <row r="405">
      <c r="A405" s="7"/>
      <c r="B405" s="419"/>
      <c r="C405" s="419"/>
      <c r="D405" s="419"/>
      <c r="E405" s="419"/>
      <c r="F405" s="419"/>
      <c r="G405" s="419"/>
      <c r="H405" s="419"/>
      <c r="I405" s="419"/>
      <c r="J405" s="7"/>
    </row>
    <row r="406">
      <c r="A406" s="7"/>
      <c r="B406" s="419"/>
      <c r="C406" s="419"/>
      <c r="D406" s="419"/>
      <c r="E406" s="419"/>
      <c r="F406" s="419"/>
      <c r="G406" s="419"/>
      <c r="H406" s="419"/>
      <c r="I406" s="419"/>
      <c r="J406" s="7"/>
    </row>
    <row r="407">
      <c r="A407" s="7"/>
      <c r="B407" s="419"/>
      <c r="C407" s="419"/>
      <c r="D407" s="419"/>
      <c r="E407" s="419"/>
      <c r="F407" s="419"/>
      <c r="G407" s="419"/>
      <c r="H407" s="419"/>
      <c r="I407" s="419"/>
      <c r="J407" s="7"/>
    </row>
    <row r="408">
      <c r="A408" s="7"/>
      <c r="B408" s="419"/>
      <c r="C408" s="419"/>
      <c r="D408" s="419"/>
      <c r="E408" s="419"/>
      <c r="F408" s="419"/>
      <c r="G408" s="419"/>
      <c r="H408" s="419"/>
      <c r="I408" s="419"/>
      <c r="J408" s="7"/>
    </row>
    <row r="409">
      <c r="A409" s="7"/>
      <c r="B409" s="419"/>
      <c r="C409" s="419"/>
      <c r="D409" s="419"/>
      <c r="E409" s="419"/>
      <c r="F409" s="419"/>
      <c r="G409" s="419"/>
      <c r="H409" s="419"/>
      <c r="I409" s="419"/>
      <c r="J409" s="7"/>
    </row>
    <row r="410">
      <c r="A410" s="7"/>
      <c r="B410" s="419"/>
      <c r="C410" s="419"/>
      <c r="D410" s="419"/>
      <c r="E410" s="419"/>
      <c r="F410" s="419"/>
      <c r="G410" s="419"/>
      <c r="H410" s="419"/>
      <c r="I410" s="419"/>
      <c r="J410" s="7"/>
    </row>
    <row r="411">
      <c r="A411" s="7"/>
      <c r="B411" s="419"/>
      <c r="C411" s="419"/>
      <c r="D411" s="419"/>
      <c r="E411" s="419"/>
      <c r="F411" s="419"/>
      <c r="G411" s="419"/>
      <c r="H411" s="419"/>
      <c r="I411" s="419"/>
      <c r="J411" s="7"/>
    </row>
    <row r="412">
      <c r="A412" s="7"/>
      <c r="B412" s="419"/>
      <c r="C412" s="419"/>
      <c r="D412" s="419"/>
      <c r="E412" s="419"/>
      <c r="F412" s="419"/>
      <c r="G412" s="419"/>
      <c r="H412" s="419"/>
      <c r="I412" s="419"/>
      <c r="J412" s="7"/>
    </row>
    <row r="413">
      <c r="A413" s="7"/>
      <c r="B413" s="419"/>
      <c r="C413" s="419"/>
      <c r="D413" s="419"/>
      <c r="E413" s="419"/>
      <c r="F413" s="419"/>
      <c r="G413" s="419"/>
      <c r="H413" s="419"/>
      <c r="I413" s="419"/>
      <c r="J413" s="7"/>
    </row>
    <row r="414">
      <c r="A414" s="7"/>
      <c r="B414" s="419"/>
      <c r="C414" s="419"/>
      <c r="D414" s="419"/>
      <c r="E414" s="419"/>
      <c r="F414" s="419"/>
      <c r="G414" s="419"/>
      <c r="H414" s="419"/>
      <c r="I414" s="419"/>
      <c r="J414" s="7"/>
    </row>
    <row r="415">
      <c r="A415" s="7"/>
      <c r="B415" s="419"/>
      <c r="C415" s="419"/>
      <c r="D415" s="419"/>
      <c r="E415" s="419"/>
      <c r="F415" s="419"/>
      <c r="G415" s="419"/>
      <c r="H415" s="419"/>
      <c r="I415" s="419"/>
      <c r="J415" s="7"/>
    </row>
    <row r="416">
      <c r="A416" s="7"/>
      <c r="B416" s="419"/>
      <c r="C416" s="419"/>
      <c r="D416" s="419"/>
      <c r="E416" s="419"/>
      <c r="F416" s="419"/>
      <c r="G416" s="419"/>
      <c r="H416" s="419"/>
      <c r="I416" s="419"/>
      <c r="J416" s="7"/>
    </row>
    <row r="417">
      <c r="A417" s="7"/>
      <c r="B417" s="419"/>
      <c r="C417" s="419"/>
      <c r="D417" s="419"/>
      <c r="E417" s="419"/>
      <c r="F417" s="419"/>
      <c r="G417" s="419"/>
      <c r="H417" s="419"/>
      <c r="I417" s="419"/>
      <c r="J417" s="7"/>
    </row>
    <row r="418">
      <c r="A418" s="7"/>
      <c r="B418" s="419"/>
      <c r="C418" s="419"/>
      <c r="D418" s="419"/>
      <c r="E418" s="419"/>
      <c r="F418" s="419"/>
      <c r="G418" s="419"/>
      <c r="H418" s="419"/>
      <c r="I418" s="419"/>
      <c r="J418" s="7"/>
    </row>
    <row r="419">
      <c r="A419" s="7"/>
      <c r="B419" s="419"/>
      <c r="C419" s="419"/>
      <c r="D419" s="419"/>
      <c r="E419" s="419"/>
      <c r="F419" s="419"/>
      <c r="G419" s="419"/>
      <c r="H419" s="419"/>
      <c r="I419" s="419"/>
      <c r="J419" s="7"/>
    </row>
    <row r="420">
      <c r="A420" s="7"/>
      <c r="B420" s="419"/>
      <c r="C420" s="419"/>
      <c r="D420" s="419"/>
      <c r="E420" s="419"/>
      <c r="F420" s="419"/>
      <c r="G420" s="419"/>
      <c r="H420" s="419"/>
      <c r="I420" s="419"/>
      <c r="J420" s="7"/>
    </row>
    <row r="421">
      <c r="A421" s="7"/>
      <c r="B421" s="419"/>
      <c r="C421" s="419"/>
      <c r="D421" s="419"/>
      <c r="E421" s="419"/>
      <c r="F421" s="419"/>
      <c r="G421" s="419"/>
      <c r="H421" s="419"/>
      <c r="I421" s="419"/>
      <c r="J421" s="7"/>
    </row>
    <row r="422">
      <c r="A422" s="7"/>
      <c r="B422" s="419"/>
      <c r="C422" s="419"/>
      <c r="D422" s="419"/>
      <c r="E422" s="419"/>
      <c r="F422" s="419"/>
      <c r="G422" s="419"/>
      <c r="H422" s="419"/>
      <c r="I422" s="419"/>
      <c r="J422" s="7"/>
    </row>
    <row r="423">
      <c r="A423" s="7"/>
      <c r="B423" s="419"/>
      <c r="C423" s="419"/>
      <c r="D423" s="419"/>
      <c r="E423" s="419"/>
      <c r="F423" s="419"/>
      <c r="G423" s="419"/>
      <c r="H423" s="419"/>
      <c r="I423" s="419"/>
      <c r="J423" s="7"/>
    </row>
    <row r="424">
      <c r="A424" s="7"/>
      <c r="B424" s="419"/>
      <c r="C424" s="419"/>
      <c r="D424" s="419"/>
      <c r="E424" s="419"/>
      <c r="F424" s="419"/>
      <c r="G424" s="419"/>
      <c r="H424" s="419"/>
      <c r="I424" s="419"/>
      <c r="J424" s="7"/>
    </row>
    <row r="425">
      <c r="A425" s="7"/>
      <c r="B425" s="419"/>
      <c r="C425" s="419"/>
      <c r="D425" s="419"/>
      <c r="E425" s="419"/>
      <c r="F425" s="419"/>
      <c r="G425" s="419"/>
      <c r="H425" s="419"/>
      <c r="I425" s="419"/>
      <c r="J425" s="7"/>
    </row>
    <row r="426">
      <c r="A426" s="7"/>
      <c r="B426" s="419"/>
      <c r="C426" s="419"/>
      <c r="D426" s="419"/>
      <c r="E426" s="419"/>
      <c r="F426" s="419"/>
      <c r="G426" s="419"/>
      <c r="H426" s="419"/>
      <c r="I426" s="419"/>
      <c r="J426" s="7"/>
    </row>
    <row r="427">
      <c r="A427" s="7"/>
      <c r="B427" s="419"/>
      <c r="C427" s="419"/>
      <c r="D427" s="419"/>
      <c r="E427" s="419"/>
      <c r="F427" s="419"/>
      <c r="G427" s="419"/>
      <c r="H427" s="419"/>
      <c r="I427" s="419"/>
      <c r="J427" s="7"/>
    </row>
    <row r="428">
      <c r="A428" s="7"/>
      <c r="B428" s="419"/>
      <c r="C428" s="419"/>
      <c r="D428" s="419"/>
      <c r="E428" s="419"/>
      <c r="F428" s="419"/>
      <c r="G428" s="419"/>
      <c r="H428" s="419"/>
      <c r="I428" s="419"/>
      <c r="J428" s="7"/>
    </row>
    <row r="429">
      <c r="A429" s="7"/>
      <c r="B429" s="419"/>
      <c r="C429" s="419"/>
      <c r="D429" s="419"/>
      <c r="E429" s="419"/>
      <c r="F429" s="419"/>
      <c r="G429" s="419"/>
      <c r="H429" s="419"/>
      <c r="I429" s="419"/>
      <c r="J429" s="7"/>
    </row>
    <row r="430">
      <c r="A430" s="7"/>
      <c r="B430" s="419"/>
      <c r="C430" s="419"/>
      <c r="D430" s="419"/>
      <c r="E430" s="419"/>
      <c r="F430" s="419"/>
      <c r="G430" s="419"/>
      <c r="H430" s="419"/>
      <c r="I430" s="419"/>
      <c r="J430" s="7"/>
    </row>
    <row r="431">
      <c r="A431" s="7"/>
      <c r="B431" s="419"/>
      <c r="C431" s="419"/>
      <c r="D431" s="419"/>
      <c r="E431" s="419"/>
      <c r="F431" s="419"/>
      <c r="G431" s="419"/>
      <c r="H431" s="419"/>
      <c r="I431" s="419"/>
      <c r="J431" s="7"/>
    </row>
    <row r="432">
      <c r="A432" s="7"/>
      <c r="B432" s="419"/>
      <c r="C432" s="419"/>
      <c r="D432" s="419"/>
      <c r="E432" s="419"/>
      <c r="F432" s="419"/>
      <c r="G432" s="419"/>
      <c r="H432" s="419"/>
      <c r="I432" s="419"/>
      <c r="J432" s="7"/>
    </row>
    <row r="433">
      <c r="A433" s="7"/>
      <c r="B433" s="419"/>
      <c r="C433" s="419"/>
      <c r="D433" s="419"/>
      <c r="E433" s="419"/>
      <c r="F433" s="419"/>
      <c r="G433" s="419"/>
      <c r="H433" s="419"/>
      <c r="I433" s="419"/>
      <c r="J433" s="7"/>
    </row>
    <row r="434">
      <c r="A434" s="7"/>
      <c r="B434" s="419"/>
      <c r="C434" s="419"/>
      <c r="D434" s="419"/>
      <c r="E434" s="419"/>
      <c r="F434" s="419"/>
      <c r="G434" s="419"/>
      <c r="H434" s="419"/>
      <c r="I434" s="419"/>
      <c r="J434" s="7"/>
    </row>
    <row r="435">
      <c r="A435" s="7"/>
      <c r="B435" s="419"/>
      <c r="C435" s="419"/>
      <c r="D435" s="419"/>
      <c r="E435" s="419"/>
      <c r="F435" s="419"/>
      <c r="G435" s="419"/>
      <c r="H435" s="419"/>
      <c r="I435" s="419"/>
      <c r="J435" s="7"/>
    </row>
    <row r="436">
      <c r="A436" s="7"/>
      <c r="B436" s="419"/>
      <c r="C436" s="419"/>
      <c r="D436" s="419"/>
      <c r="E436" s="419"/>
      <c r="F436" s="419"/>
      <c r="G436" s="419"/>
      <c r="H436" s="419"/>
      <c r="I436" s="419"/>
      <c r="J436" s="7"/>
    </row>
    <row r="437">
      <c r="A437" s="7"/>
      <c r="B437" s="419"/>
      <c r="C437" s="419"/>
      <c r="D437" s="419"/>
      <c r="E437" s="419"/>
      <c r="F437" s="419"/>
      <c r="G437" s="419"/>
      <c r="H437" s="419"/>
      <c r="I437" s="419"/>
      <c r="J437" s="7"/>
    </row>
    <row r="438">
      <c r="A438" s="7"/>
      <c r="B438" s="419"/>
      <c r="C438" s="419"/>
      <c r="D438" s="419"/>
      <c r="E438" s="419"/>
      <c r="F438" s="419"/>
      <c r="G438" s="419"/>
      <c r="H438" s="419"/>
      <c r="I438" s="419"/>
      <c r="J438" s="7"/>
    </row>
    <row r="439">
      <c r="A439" s="7"/>
      <c r="B439" s="419"/>
      <c r="C439" s="419"/>
      <c r="D439" s="419"/>
      <c r="E439" s="419"/>
      <c r="F439" s="419"/>
      <c r="G439" s="419"/>
      <c r="H439" s="419"/>
      <c r="I439" s="419"/>
      <c r="J439" s="7"/>
    </row>
    <row r="440">
      <c r="A440" s="7"/>
      <c r="B440" s="419"/>
      <c r="C440" s="419"/>
      <c r="D440" s="419"/>
      <c r="E440" s="419"/>
      <c r="F440" s="419"/>
      <c r="G440" s="419"/>
      <c r="H440" s="419"/>
      <c r="I440" s="419"/>
      <c r="J440" s="7"/>
    </row>
    <row r="441">
      <c r="A441" s="7"/>
      <c r="B441" s="419"/>
      <c r="C441" s="419"/>
      <c r="D441" s="419"/>
      <c r="E441" s="419"/>
      <c r="F441" s="419"/>
      <c r="G441" s="419"/>
      <c r="H441" s="419"/>
      <c r="I441" s="419"/>
      <c r="J441" s="7"/>
    </row>
    <row r="442">
      <c r="A442" s="7"/>
      <c r="B442" s="419"/>
      <c r="C442" s="419"/>
      <c r="D442" s="419"/>
      <c r="E442" s="419"/>
      <c r="F442" s="419"/>
      <c r="G442" s="419"/>
      <c r="H442" s="419"/>
      <c r="I442" s="419"/>
      <c r="J442" s="7"/>
    </row>
    <row r="443">
      <c r="A443" s="7"/>
      <c r="B443" s="419"/>
      <c r="C443" s="419"/>
      <c r="D443" s="419"/>
      <c r="E443" s="419"/>
      <c r="F443" s="419"/>
      <c r="G443" s="419"/>
      <c r="H443" s="419"/>
      <c r="I443" s="419"/>
      <c r="J443" s="7"/>
    </row>
    <row r="444">
      <c r="A444" s="7"/>
      <c r="B444" s="419"/>
      <c r="C444" s="419"/>
      <c r="D444" s="419"/>
      <c r="E444" s="419"/>
      <c r="F444" s="419"/>
      <c r="G444" s="419"/>
      <c r="H444" s="419"/>
      <c r="I444" s="419"/>
      <c r="J444" s="7"/>
    </row>
    <row r="445">
      <c r="A445" s="7"/>
      <c r="B445" s="419"/>
      <c r="C445" s="419"/>
      <c r="D445" s="419"/>
      <c r="E445" s="419"/>
      <c r="F445" s="419"/>
      <c r="G445" s="419"/>
      <c r="H445" s="419"/>
      <c r="I445" s="419"/>
      <c r="J445" s="7"/>
    </row>
    <row r="446">
      <c r="A446" s="7"/>
      <c r="B446" s="419"/>
      <c r="C446" s="419"/>
      <c r="D446" s="419"/>
      <c r="E446" s="419"/>
      <c r="F446" s="419"/>
      <c r="G446" s="419"/>
      <c r="H446" s="419"/>
      <c r="I446" s="419"/>
      <c r="J446" s="7"/>
    </row>
    <row r="447">
      <c r="A447" s="7"/>
      <c r="B447" s="419"/>
      <c r="C447" s="419"/>
      <c r="D447" s="419"/>
      <c r="E447" s="419"/>
      <c r="F447" s="419"/>
      <c r="G447" s="419"/>
      <c r="H447" s="419"/>
      <c r="I447" s="419"/>
      <c r="J447" s="7"/>
    </row>
    <row r="448">
      <c r="A448" s="7"/>
      <c r="B448" s="419"/>
      <c r="C448" s="419"/>
      <c r="D448" s="419"/>
      <c r="E448" s="419"/>
      <c r="F448" s="419"/>
      <c r="G448" s="419"/>
      <c r="H448" s="419"/>
      <c r="I448" s="419"/>
      <c r="J448" s="7"/>
    </row>
    <row r="449">
      <c r="A449" s="7"/>
      <c r="B449" s="419"/>
      <c r="C449" s="419"/>
      <c r="D449" s="419"/>
      <c r="E449" s="419"/>
      <c r="F449" s="419"/>
      <c r="G449" s="419"/>
      <c r="H449" s="419"/>
      <c r="I449" s="419"/>
      <c r="J449" s="7"/>
    </row>
    <row r="450">
      <c r="A450" s="7"/>
      <c r="B450" s="419"/>
      <c r="C450" s="419"/>
      <c r="D450" s="419"/>
      <c r="E450" s="419"/>
      <c r="F450" s="419"/>
      <c r="G450" s="419"/>
      <c r="H450" s="419"/>
      <c r="I450" s="419"/>
      <c r="J450" s="7"/>
    </row>
    <row r="451">
      <c r="A451" s="7"/>
      <c r="B451" s="419"/>
      <c r="C451" s="419"/>
      <c r="D451" s="419"/>
      <c r="E451" s="419"/>
      <c r="F451" s="419"/>
      <c r="G451" s="419"/>
      <c r="H451" s="419"/>
      <c r="I451" s="419"/>
      <c r="J451" s="7"/>
    </row>
    <row r="452">
      <c r="A452" s="7"/>
      <c r="B452" s="419"/>
      <c r="C452" s="419"/>
      <c r="D452" s="419"/>
      <c r="E452" s="419"/>
      <c r="F452" s="419"/>
      <c r="G452" s="419"/>
      <c r="H452" s="419"/>
      <c r="I452" s="419"/>
      <c r="J452" s="7"/>
    </row>
    <row r="453">
      <c r="A453" s="7"/>
      <c r="B453" s="419"/>
      <c r="C453" s="419"/>
      <c r="D453" s="419"/>
      <c r="E453" s="419"/>
      <c r="F453" s="419"/>
      <c r="G453" s="419"/>
      <c r="H453" s="419"/>
      <c r="I453" s="419"/>
      <c r="J453" s="7"/>
    </row>
    <row r="454">
      <c r="A454" s="7"/>
      <c r="B454" s="419"/>
      <c r="C454" s="419"/>
      <c r="D454" s="419"/>
      <c r="E454" s="419"/>
      <c r="F454" s="419"/>
      <c r="G454" s="419"/>
      <c r="H454" s="419"/>
      <c r="I454" s="419"/>
      <c r="J454" s="7"/>
    </row>
    <row r="455">
      <c r="A455" s="7"/>
      <c r="B455" s="419"/>
      <c r="C455" s="419"/>
      <c r="D455" s="419"/>
      <c r="E455" s="419"/>
      <c r="F455" s="419"/>
      <c r="G455" s="419"/>
      <c r="H455" s="419"/>
      <c r="I455" s="419"/>
      <c r="J455" s="7"/>
    </row>
    <row r="456">
      <c r="A456" s="7"/>
      <c r="B456" s="419"/>
      <c r="C456" s="419"/>
      <c r="D456" s="419"/>
      <c r="E456" s="419"/>
      <c r="F456" s="419"/>
      <c r="G456" s="419"/>
      <c r="H456" s="419"/>
      <c r="I456" s="419"/>
      <c r="J456" s="7"/>
    </row>
    <row r="457">
      <c r="A457" s="7"/>
      <c r="B457" s="419"/>
      <c r="C457" s="419"/>
      <c r="D457" s="419"/>
      <c r="E457" s="419"/>
      <c r="F457" s="419"/>
      <c r="G457" s="419"/>
      <c r="H457" s="419"/>
      <c r="I457" s="419"/>
      <c r="J457" s="7"/>
    </row>
    <row r="458">
      <c r="A458" s="7"/>
      <c r="B458" s="419"/>
      <c r="C458" s="419"/>
      <c r="D458" s="419"/>
      <c r="E458" s="419"/>
      <c r="F458" s="419"/>
      <c r="G458" s="419"/>
      <c r="H458" s="419"/>
      <c r="I458" s="419"/>
      <c r="J458" s="7"/>
    </row>
    <row r="459">
      <c r="A459" s="7"/>
      <c r="B459" s="419"/>
      <c r="C459" s="419"/>
      <c r="D459" s="419"/>
      <c r="E459" s="419"/>
      <c r="F459" s="419"/>
      <c r="G459" s="419"/>
      <c r="H459" s="419"/>
      <c r="I459" s="419"/>
      <c r="J459" s="7"/>
    </row>
    <row r="460">
      <c r="A460" s="7"/>
      <c r="B460" s="419"/>
      <c r="C460" s="419"/>
      <c r="D460" s="419"/>
      <c r="E460" s="419"/>
      <c r="F460" s="419"/>
      <c r="G460" s="419"/>
      <c r="H460" s="419"/>
      <c r="I460" s="419"/>
      <c r="J460" s="7"/>
    </row>
    <row r="461">
      <c r="A461" s="7"/>
      <c r="B461" s="419"/>
      <c r="C461" s="419"/>
      <c r="D461" s="419"/>
      <c r="E461" s="419"/>
      <c r="F461" s="419"/>
      <c r="G461" s="419"/>
      <c r="H461" s="419"/>
      <c r="I461" s="419"/>
      <c r="J461" s="7"/>
    </row>
    <row r="462">
      <c r="A462" s="7"/>
      <c r="B462" s="419"/>
      <c r="C462" s="419"/>
      <c r="D462" s="419"/>
      <c r="E462" s="419"/>
      <c r="F462" s="419"/>
      <c r="G462" s="419"/>
      <c r="H462" s="419"/>
      <c r="I462" s="419"/>
      <c r="J462" s="7"/>
    </row>
    <row r="463">
      <c r="A463" s="7"/>
      <c r="B463" s="419"/>
      <c r="C463" s="419"/>
      <c r="D463" s="419"/>
      <c r="E463" s="419"/>
      <c r="F463" s="419"/>
      <c r="G463" s="419"/>
      <c r="H463" s="419"/>
      <c r="I463" s="419"/>
      <c r="J463" s="7"/>
    </row>
    <row r="464">
      <c r="A464" s="7"/>
      <c r="B464" s="419"/>
      <c r="C464" s="419"/>
      <c r="D464" s="419"/>
      <c r="E464" s="419"/>
      <c r="F464" s="419"/>
      <c r="G464" s="419"/>
      <c r="H464" s="419"/>
      <c r="I464" s="419"/>
      <c r="J464" s="7"/>
    </row>
    <row r="465">
      <c r="A465" s="7"/>
      <c r="B465" s="419"/>
      <c r="C465" s="419"/>
      <c r="D465" s="419"/>
      <c r="E465" s="419"/>
      <c r="F465" s="419"/>
      <c r="G465" s="419"/>
      <c r="H465" s="419"/>
      <c r="I465" s="419"/>
      <c r="J465" s="7"/>
    </row>
    <row r="466">
      <c r="A466" s="7"/>
      <c r="B466" s="419"/>
      <c r="C466" s="419"/>
      <c r="D466" s="419"/>
      <c r="E466" s="419"/>
      <c r="F466" s="419"/>
      <c r="G466" s="419"/>
      <c r="H466" s="419"/>
      <c r="I466" s="419"/>
      <c r="J466" s="7"/>
    </row>
    <row r="467">
      <c r="A467" s="7"/>
      <c r="B467" s="419"/>
      <c r="C467" s="419"/>
      <c r="D467" s="419"/>
      <c r="E467" s="419"/>
      <c r="F467" s="419"/>
      <c r="G467" s="419"/>
      <c r="H467" s="419"/>
      <c r="I467" s="419"/>
      <c r="J467" s="7"/>
    </row>
    <row r="468">
      <c r="A468" s="7"/>
      <c r="B468" s="419"/>
      <c r="C468" s="419"/>
      <c r="D468" s="419"/>
      <c r="E468" s="419"/>
      <c r="F468" s="419"/>
      <c r="G468" s="419"/>
      <c r="H468" s="419"/>
      <c r="I468" s="419"/>
      <c r="J468" s="7"/>
    </row>
    <row r="469">
      <c r="A469" s="7"/>
      <c r="B469" s="419"/>
      <c r="C469" s="419"/>
      <c r="D469" s="419"/>
      <c r="E469" s="419"/>
      <c r="F469" s="419"/>
      <c r="G469" s="419"/>
      <c r="H469" s="419"/>
      <c r="I469" s="419"/>
      <c r="J469" s="7"/>
    </row>
    <row r="470">
      <c r="A470" s="7"/>
      <c r="B470" s="419"/>
      <c r="C470" s="419"/>
      <c r="D470" s="419"/>
      <c r="E470" s="419"/>
      <c r="F470" s="419"/>
      <c r="G470" s="419"/>
      <c r="H470" s="419"/>
      <c r="I470" s="419"/>
      <c r="J470" s="7"/>
    </row>
    <row r="471">
      <c r="A471" s="7"/>
      <c r="B471" s="419"/>
      <c r="C471" s="419"/>
      <c r="D471" s="419"/>
      <c r="E471" s="419"/>
      <c r="F471" s="419"/>
      <c r="G471" s="419"/>
      <c r="H471" s="419"/>
      <c r="I471" s="419"/>
      <c r="J471" s="7"/>
    </row>
    <row r="472">
      <c r="A472" s="7"/>
      <c r="B472" s="419"/>
      <c r="C472" s="419"/>
      <c r="D472" s="419"/>
      <c r="E472" s="419"/>
      <c r="F472" s="419"/>
      <c r="G472" s="419"/>
      <c r="H472" s="419"/>
      <c r="I472" s="419"/>
      <c r="J472" s="7"/>
    </row>
    <row r="473">
      <c r="A473" s="7"/>
      <c r="B473" s="419"/>
      <c r="C473" s="419"/>
      <c r="D473" s="419"/>
      <c r="E473" s="419"/>
      <c r="F473" s="419"/>
      <c r="G473" s="419"/>
      <c r="H473" s="419"/>
      <c r="I473" s="419"/>
      <c r="J473" s="7"/>
    </row>
    <row r="474">
      <c r="A474" s="7"/>
      <c r="B474" s="419"/>
      <c r="C474" s="419"/>
      <c r="D474" s="419"/>
      <c r="E474" s="419"/>
      <c r="F474" s="419"/>
      <c r="G474" s="419"/>
      <c r="H474" s="419"/>
      <c r="I474" s="419"/>
      <c r="J474" s="7"/>
    </row>
    <row r="475">
      <c r="A475" s="7"/>
      <c r="B475" s="419"/>
      <c r="C475" s="419"/>
      <c r="D475" s="419"/>
      <c r="E475" s="419"/>
      <c r="F475" s="419"/>
      <c r="G475" s="419"/>
      <c r="H475" s="419"/>
      <c r="I475" s="419"/>
      <c r="J475" s="7"/>
    </row>
    <row r="476">
      <c r="A476" s="7"/>
      <c r="B476" s="419"/>
      <c r="C476" s="419"/>
      <c r="D476" s="419"/>
      <c r="E476" s="419"/>
      <c r="F476" s="419"/>
      <c r="G476" s="419"/>
      <c r="H476" s="419"/>
      <c r="I476" s="419"/>
      <c r="J476" s="7"/>
    </row>
    <row r="477">
      <c r="A477" s="7"/>
      <c r="B477" s="419"/>
      <c r="C477" s="419"/>
      <c r="D477" s="419"/>
      <c r="E477" s="419"/>
      <c r="F477" s="419"/>
      <c r="G477" s="419"/>
      <c r="H477" s="419"/>
      <c r="I477" s="419"/>
      <c r="J477" s="7"/>
    </row>
    <row r="478">
      <c r="A478" s="7"/>
      <c r="B478" s="419"/>
      <c r="C478" s="419"/>
      <c r="D478" s="419"/>
      <c r="E478" s="419"/>
      <c r="F478" s="419"/>
      <c r="G478" s="419"/>
      <c r="H478" s="419"/>
      <c r="I478" s="419"/>
      <c r="J478" s="7"/>
    </row>
    <row r="479">
      <c r="A479" s="7"/>
      <c r="B479" s="419"/>
      <c r="C479" s="419"/>
      <c r="D479" s="419"/>
      <c r="E479" s="419"/>
      <c r="F479" s="419"/>
      <c r="G479" s="419"/>
      <c r="H479" s="419"/>
      <c r="I479" s="419"/>
      <c r="J479" s="7"/>
    </row>
    <row r="480">
      <c r="A480" s="7"/>
      <c r="B480" s="419"/>
      <c r="C480" s="419"/>
      <c r="D480" s="419"/>
      <c r="E480" s="419"/>
      <c r="F480" s="419"/>
      <c r="G480" s="419"/>
      <c r="H480" s="419"/>
      <c r="I480" s="419"/>
      <c r="J480" s="7"/>
    </row>
    <row r="481">
      <c r="A481" s="7"/>
      <c r="B481" s="419"/>
      <c r="C481" s="419"/>
      <c r="D481" s="419"/>
      <c r="E481" s="419"/>
      <c r="F481" s="419"/>
      <c r="G481" s="419"/>
      <c r="H481" s="419"/>
      <c r="I481" s="419"/>
      <c r="J481" s="7"/>
    </row>
    <row r="482">
      <c r="A482" s="7"/>
      <c r="B482" s="419"/>
      <c r="C482" s="419"/>
      <c r="D482" s="419"/>
      <c r="E482" s="419"/>
      <c r="F482" s="419"/>
      <c r="G482" s="419"/>
      <c r="H482" s="419"/>
      <c r="I482" s="419"/>
      <c r="J482" s="7"/>
    </row>
    <row r="483">
      <c r="A483" s="7"/>
      <c r="B483" s="419"/>
      <c r="C483" s="419"/>
      <c r="D483" s="419"/>
      <c r="E483" s="419"/>
      <c r="F483" s="419"/>
      <c r="G483" s="419"/>
      <c r="H483" s="419"/>
      <c r="I483" s="419"/>
      <c r="J483" s="7"/>
    </row>
    <row r="484">
      <c r="A484" s="7"/>
      <c r="B484" s="419"/>
      <c r="C484" s="419"/>
      <c r="D484" s="419"/>
      <c r="E484" s="419"/>
      <c r="F484" s="419"/>
      <c r="G484" s="419"/>
      <c r="H484" s="419"/>
      <c r="I484" s="419"/>
      <c r="J484" s="7"/>
    </row>
    <row r="485">
      <c r="A485" s="7"/>
      <c r="B485" s="419"/>
      <c r="C485" s="419"/>
      <c r="D485" s="419"/>
      <c r="E485" s="419"/>
      <c r="F485" s="419"/>
      <c r="G485" s="419"/>
      <c r="H485" s="419"/>
      <c r="I485" s="419"/>
      <c r="J485" s="7"/>
    </row>
    <row r="486">
      <c r="A486" s="7"/>
      <c r="B486" s="419"/>
      <c r="C486" s="419"/>
      <c r="D486" s="419"/>
      <c r="E486" s="419"/>
      <c r="F486" s="419"/>
      <c r="G486" s="419"/>
      <c r="H486" s="419"/>
      <c r="I486" s="419"/>
      <c r="J486" s="7"/>
    </row>
    <row r="487">
      <c r="A487" s="7"/>
      <c r="B487" s="419"/>
      <c r="C487" s="419"/>
      <c r="D487" s="419"/>
      <c r="E487" s="419"/>
      <c r="F487" s="419"/>
      <c r="G487" s="419"/>
      <c r="H487" s="419"/>
      <c r="I487" s="419"/>
      <c r="J487" s="7"/>
    </row>
    <row r="488">
      <c r="A488" s="7"/>
      <c r="B488" s="419"/>
      <c r="C488" s="419"/>
      <c r="D488" s="419"/>
      <c r="E488" s="419"/>
      <c r="F488" s="419"/>
      <c r="G488" s="419"/>
      <c r="H488" s="419"/>
      <c r="I488" s="419"/>
      <c r="J488" s="7"/>
    </row>
    <row r="489">
      <c r="A489" s="7"/>
      <c r="B489" s="419"/>
      <c r="C489" s="419"/>
      <c r="D489" s="419"/>
      <c r="E489" s="419"/>
      <c r="F489" s="419"/>
      <c r="G489" s="419"/>
      <c r="H489" s="419"/>
      <c r="I489" s="419"/>
      <c r="J489" s="7"/>
    </row>
    <row r="490">
      <c r="A490" s="7"/>
      <c r="B490" s="419"/>
      <c r="C490" s="419"/>
      <c r="D490" s="419"/>
      <c r="E490" s="419"/>
      <c r="F490" s="419"/>
      <c r="G490" s="419"/>
      <c r="H490" s="419"/>
      <c r="I490" s="419"/>
      <c r="J490" s="7"/>
    </row>
    <row r="491">
      <c r="A491" s="7"/>
      <c r="B491" s="419"/>
      <c r="C491" s="419"/>
      <c r="D491" s="419"/>
      <c r="E491" s="419"/>
      <c r="F491" s="419"/>
      <c r="G491" s="419"/>
      <c r="H491" s="419"/>
      <c r="I491" s="419"/>
      <c r="J491" s="7"/>
    </row>
    <row r="492">
      <c r="A492" s="7"/>
      <c r="B492" s="419"/>
      <c r="C492" s="419"/>
      <c r="D492" s="419"/>
      <c r="E492" s="419"/>
      <c r="F492" s="419"/>
      <c r="G492" s="419"/>
      <c r="H492" s="419"/>
      <c r="I492" s="419"/>
      <c r="J492" s="7"/>
    </row>
    <row r="493">
      <c r="A493" s="7"/>
      <c r="B493" s="419"/>
      <c r="C493" s="419"/>
      <c r="D493" s="419"/>
      <c r="E493" s="419"/>
      <c r="F493" s="419"/>
      <c r="G493" s="419"/>
      <c r="H493" s="419"/>
      <c r="I493" s="419"/>
      <c r="J493" s="7"/>
    </row>
    <row r="494">
      <c r="A494" s="7"/>
      <c r="B494" s="419"/>
      <c r="C494" s="419"/>
      <c r="D494" s="419"/>
      <c r="E494" s="419"/>
      <c r="F494" s="419"/>
      <c r="G494" s="419"/>
      <c r="H494" s="419"/>
      <c r="I494" s="419"/>
      <c r="J494" s="7"/>
    </row>
    <row r="495">
      <c r="A495" s="7"/>
      <c r="B495" s="419"/>
      <c r="C495" s="419"/>
      <c r="D495" s="419"/>
      <c r="E495" s="419"/>
      <c r="F495" s="419"/>
      <c r="G495" s="419"/>
      <c r="H495" s="419"/>
      <c r="I495" s="419"/>
      <c r="J495" s="7"/>
    </row>
    <row r="496">
      <c r="A496" s="7"/>
      <c r="B496" s="419"/>
      <c r="C496" s="419"/>
      <c r="D496" s="419"/>
      <c r="E496" s="419"/>
      <c r="F496" s="419"/>
      <c r="G496" s="419"/>
      <c r="H496" s="419"/>
      <c r="I496" s="419"/>
      <c r="J496" s="7"/>
    </row>
    <row r="497">
      <c r="A497" s="7"/>
      <c r="B497" s="419"/>
      <c r="C497" s="419"/>
      <c r="D497" s="419"/>
      <c r="E497" s="419"/>
      <c r="F497" s="419"/>
      <c r="G497" s="419"/>
      <c r="H497" s="419"/>
      <c r="I497" s="419"/>
      <c r="J497" s="7"/>
    </row>
    <row r="498">
      <c r="A498" s="7"/>
      <c r="B498" s="419"/>
      <c r="C498" s="419"/>
      <c r="D498" s="419"/>
      <c r="E498" s="419"/>
      <c r="F498" s="419"/>
      <c r="G498" s="419"/>
      <c r="H498" s="419"/>
      <c r="I498" s="419"/>
      <c r="J498" s="7"/>
    </row>
    <row r="499">
      <c r="A499" s="7"/>
      <c r="B499" s="419"/>
      <c r="C499" s="419"/>
      <c r="D499" s="419"/>
      <c r="E499" s="419"/>
      <c r="F499" s="419"/>
      <c r="G499" s="419"/>
      <c r="H499" s="419"/>
      <c r="I499" s="419"/>
      <c r="J499" s="7"/>
    </row>
    <row r="500">
      <c r="A500" s="7"/>
      <c r="B500" s="419"/>
      <c r="C500" s="419"/>
      <c r="D500" s="419"/>
      <c r="E500" s="419"/>
      <c r="F500" s="419"/>
      <c r="G500" s="419"/>
      <c r="H500" s="419"/>
      <c r="I500" s="419"/>
      <c r="J500" s="7"/>
    </row>
    <row r="501">
      <c r="A501" s="7"/>
      <c r="B501" s="419"/>
      <c r="C501" s="419"/>
      <c r="D501" s="419"/>
      <c r="E501" s="419"/>
      <c r="F501" s="419"/>
      <c r="G501" s="419"/>
      <c r="H501" s="419"/>
      <c r="I501" s="419"/>
      <c r="J501" s="7"/>
    </row>
    <row r="502">
      <c r="A502" s="7"/>
      <c r="B502" s="419"/>
      <c r="C502" s="419"/>
      <c r="D502" s="419"/>
      <c r="E502" s="419"/>
      <c r="F502" s="419"/>
      <c r="G502" s="419"/>
      <c r="H502" s="419"/>
      <c r="I502" s="419"/>
      <c r="J502" s="7"/>
    </row>
    <row r="503">
      <c r="A503" s="7"/>
      <c r="B503" s="419"/>
      <c r="C503" s="419"/>
      <c r="D503" s="419"/>
      <c r="E503" s="419"/>
      <c r="F503" s="419"/>
      <c r="G503" s="419"/>
      <c r="H503" s="419"/>
      <c r="I503" s="419"/>
      <c r="J503" s="7"/>
    </row>
    <row r="504">
      <c r="A504" s="7"/>
      <c r="B504" s="419"/>
      <c r="C504" s="419"/>
      <c r="D504" s="419"/>
      <c r="E504" s="419"/>
      <c r="F504" s="419"/>
      <c r="G504" s="419"/>
      <c r="H504" s="419"/>
      <c r="I504" s="419"/>
      <c r="J504" s="7"/>
    </row>
    <row r="505">
      <c r="A505" s="7"/>
      <c r="B505" s="419"/>
      <c r="C505" s="419"/>
      <c r="D505" s="419"/>
      <c r="E505" s="419"/>
      <c r="F505" s="419"/>
      <c r="G505" s="419"/>
      <c r="H505" s="419"/>
      <c r="I505" s="419"/>
      <c r="J505" s="7"/>
    </row>
    <row r="506">
      <c r="A506" s="7"/>
      <c r="B506" s="419"/>
      <c r="C506" s="419"/>
      <c r="D506" s="419"/>
      <c r="E506" s="419"/>
      <c r="F506" s="419"/>
      <c r="G506" s="419"/>
      <c r="H506" s="419"/>
      <c r="I506" s="419"/>
      <c r="J506" s="7"/>
    </row>
    <row r="507">
      <c r="A507" s="7"/>
      <c r="B507" s="419"/>
      <c r="C507" s="419"/>
      <c r="D507" s="419"/>
      <c r="E507" s="419"/>
      <c r="F507" s="419"/>
      <c r="G507" s="419"/>
      <c r="H507" s="419"/>
      <c r="I507" s="419"/>
      <c r="J507" s="7"/>
    </row>
    <row r="508">
      <c r="A508" s="7"/>
      <c r="B508" s="419"/>
      <c r="C508" s="419"/>
      <c r="D508" s="419"/>
      <c r="E508" s="419"/>
      <c r="F508" s="419"/>
      <c r="G508" s="419"/>
      <c r="H508" s="419"/>
      <c r="I508" s="419"/>
      <c r="J508" s="7"/>
    </row>
    <row r="509">
      <c r="A509" s="7"/>
      <c r="B509" s="419"/>
      <c r="C509" s="419"/>
      <c r="D509" s="419"/>
      <c r="E509" s="419"/>
      <c r="F509" s="419"/>
      <c r="G509" s="419"/>
      <c r="H509" s="419"/>
      <c r="I509" s="419"/>
      <c r="J509" s="7"/>
    </row>
    <row r="510">
      <c r="A510" s="7"/>
      <c r="B510" s="419"/>
      <c r="C510" s="419"/>
      <c r="D510" s="419"/>
      <c r="E510" s="419"/>
      <c r="F510" s="419"/>
      <c r="G510" s="419"/>
      <c r="H510" s="419"/>
      <c r="I510" s="419"/>
      <c r="J510" s="7"/>
    </row>
    <row r="511">
      <c r="A511" s="7"/>
      <c r="B511" s="419"/>
      <c r="C511" s="419"/>
      <c r="D511" s="419"/>
      <c r="E511" s="419"/>
      <c r="F511" s="419"/>
      <c r="G511" s="419"/>
      <c r="H511" s="419"/>
      <c r="I511" s="419"/>
      <c r="J511" s="7"/>
    </row>
    <row r="512">
      <c r="A512" s="7"/>
      <c r="B512" s="419"/>
      <c r="C512" s="419"/>
      <c r="D512" s="419"/>
      <c r="E512" s="419"/>
      <c r="F512" s="419"/>
      <c r="G512" s="419"/>
      <c r="H512" s="419"/>
      <c r="I512" s="419"/>
      <c r="J512" s="7"/>
    </row>
    <row r="513">
      <c r="A513" s="7"/>
      <c r="B513" s="419"/>
      <c r="C513" s="419"/>
      <c r="D513" s="419"/>
      <c r="E513" s="419"/>
      <c r="F513" s="419"/>
      <c r="G513" s="419"/>
      <c r="H513" s="419"/>
      <c r="I513" s="419"/>
      <c r="J513" s="7"/>
    </row>
    <row r="514">
      <c r="A514" s="7"/>
      <c r="B514" s="419"/>
      <c r="C514" s="419"/>
      <c r="D514" s="419"/>
      <c r="E514" s="419"/>
      <c r="F514" s="419"/>
      <c r="G514" s="419"/>
      <c r="H514" s="419"/>
      <c r="I514" s="419"/>
      <c r="J514" s="7"/>
    </row>
    <row r="515">
      <c r="A515" s="7"/>
      <c r="B515" s="419"/>
      <c r="C515" s="419"/>
      <c r="D515" s="419"/>
      <c r="E515" s="419"/>
      <c r="F515" s="419"/>
      <c r="G515" s="419"/>
      <c r="H515" s="419"/>
      <c r="I515" s="419"/>
      <c r="J515" s="7"/>
    </row>
    <row r="516">
      <c r="A516" s="7"/>
      <c r="B516" s="419"/>
      <c r="C516" s="419"/>
      <c r="D516" s="419"/>
      <c r="E516" s="419"/>
      <c r="F516" s="419"/>
      <c r="G516" s="419"/>
      <c r="H516" s="419"/>
      <c r="I516" s="419"/>
      <c r="J516" s="7"/>
    </row>
    <row r="517">
      <c r="A517" s="7"/>
      <c r="B517" s="419"/>
      <c r="C517" s="419"/>
      <c r="D517" s="419"/>
      <c r="E517" s="419"/>
      <c r="F517" s="419"/>
      <c r="G517" s="419"/>
      <c r="H517" s="419"/>
      <c r="I517" s="419"/>
      <c r="J517" s="7"/>
    </row>
    <row r="518">
      <c r="A518" s="7"/>
      <c r="B518" s="419"/>
      <c r="C518" s="419"/>
      <c r="D518" s="419"/>
      <c r="E518" s="419"/>
      <c r="F518" s="419"/>
      <c r="G518" s="419"/>
      <c r="H518" s="419"/>
      <c r="I518" s="419"/>
      <c r="J518" s="7"/>
    </row>
    <row r="519">
      <c r="A519" s="7"/>
      <c r="B519" s="419"/>
      <c r="C519" s="419"/>
      <c r="D519" s="419"/>
      <c r="E519" s="419"/>
      <c r="F519" s="419"/>
      <c r="G519" s="419"/>
      <c r="H519" s="419"/>
      <c r="I519" s="419"/>
      <c r="J519" s="7"/>
    </row>
    <row r="520">
      <c r="A520" s="7"/>
      <c r="B520" s="419"/>
      <c r="C520" s="419"/>
      <c r="D520" s="419"/>
      <c r="E520" s="419"/>
      <c r="F520" s="419"/>
      <c r="G520" s="419"/>
      <c r="H520" s="419"/>
      <c r="I520" s="419"/>
      <c r="J520" s="7"/>
    </row>
    <row r="521">
      <c r="A521" s="7"/>
      <c r="B521" s="419"/>
      <c r="C521" s="419"/>
      <c r="D521" s="419"/>
      <c r="E521" s="419"/>
      <c r="F521" s="419"/>
      <c r="G521" s="419"/>
      <c r="H521" s="419"/>
      <c r="I521" s="419"/>
      <c r="J521" s="7"/>
    </row>
    <row r="522">
      <c r="A522" s="7"/>
      <c r="B522" s="419"/>
      <c r="C522" s="419"/>
      <c r="D522" s="419"/>
      <c r="E522" s="419"/>
      <c r="F522" s="419"/>
      <c r="G522" s="419"/>
      <c r="H522" s="419"/>
      <c r="I522" s="419"/>
      <c r="J522" s="7"/>
    </row>
    <row r="523">
      <c r="A523" s="7"/>
      <c r="B523" s="419"/>
      <c r="C523" s="419"/>
      <c r="D523" s="419"/>
      <c r="E523" s="419"/>
      <c r="F523" s="419"/>
      <c r="G523" s="419"/>
      <c r="H523" s="419"/>
      <c r="I523" s="419"/>
      <c r="J523" s="7"/>
    </row>
    <row r="524">
      <c r="A524" s="7"/>
      <c r="B524" s="419"/>
      <c r="C524" s="419"/>
      <c r="D524" s="419"/>
      <c r="E524" s="419"/>
      <c r="F524" s="419"/>
      <c r="G524" s="419"/>
      <c r="H524" s="419"/>
      <c r="I524" s="419"/>
      <c r="J524" s="7"/>
    </row>
    <row r="525">
      <c r="A525" s="7"/>
      <c r="B525" s="419"/>
      <c r="C525" s="419"/>
      <c r="D525" s="419"/>
      <c r="E525" s="419"/>
      <c r="F525" s="419"/>
      <c r="G525" s="419"/>
      <c r="H525" s="419"/>
      <c r="I525" s="419"/>
      <c r="J525" s="7"/>
    </row>
    <row r="526">
      <c r="A526" s="7"/>
      <c r="B526" s="419"/>
      <c r="C526" s="419"/>
      <c r="D526" s="419"/>
      <c r="E526" s="419"/>
      <c r="F526" s="419"/>
      <c r="G526" s="419"/>
      <c r="H526" s="419"/>
      <c r="I526" s="419"/>
      <c r="J526" s="7"/>
    </row>
    <row r="527">
      <c r="A527" s="7"/>
      <c r="B527" s="419"/>
      <c r="C527" s="419"/>
      <c r="D527" s="419"/>
      <c r="E527" s="419"/>
      <c r="F527" s="419"/>
      <c r="G527" s="419"/>
      <c r="H527" s="419"/>
      <c r="I527" s="419"/>
      <c r="J527" s="7"/>
    </row>
    <row r="528">
      <c r="A528" s="7"/>
      <c r="B528" s="419"/>
      <c r="C528" s="419"/>
      <c r="D528" s="419"/>
      <c r="E528" s="419"/>
      <c r="F528" s="419"/>
      <c r="G528" s="419"/>
      <c r="H528" s="419"/>
      <c r="I528" s="419"/>
      <c r="J528" s="7"/>
    </row>
    <row r="529">
      <c r="A529" s="7"/>
      <c r="B529" s="419"/>
      <c r="C529" s="419"/>
      <c r="D529" s="419"/>
      <c r="E529" s="419"/>
      <c r="F529" s="419"/>
      <c r="G529" s="419"/>
      <c r="H529" s="419"/>
      <c r="I529" s="419"/>
      <c r="J529" s="7"/>
    </row>
    <row r="530">
      <c r="A530" s="7"/>
      <c r="B530" s="419"/>
      <c r="C530" s="419"/>
      <c r="D530" s="419"/>
      <c r="E530" s="419"/>
      <c r="F530" s="419"/>
      <c r="G530" s="419"/>
      <c r="H530" s="419"/>
      <c r="I530" s="419"/>
      <c r="J530" s="7"/>
    </row>
    <row r="531">
      <c r="A531" s="7"/>
      <c r="B531" s="419"/>
      <c r="C531" s="419"/>
      <c r="D531" s="419"/>
      <c r="E531" s="419"/>
      <c r="F531" s="419"/>
      <c r="G531" s="419"/>
      <c r="H531" s="419"/>
      <c r="I531" s="419"/>
      <c r="J531" s="7"/>
    </row>
    <row r="532">
      <c r="A532" s="7"/>
      <c r="B532" s="419"/>
      <c r="C532" s="419"/>
      <c r="D532" s="419"/>
      <c r="E532" s="419"/>
      <c r="F532" s="419"/>
      <c r="G532" s="419"/>
      <c r="H532" s="419"/>
      <c r="I532" s="419"/>
      <c r="J532" s="7"/>
    </row>
    <row r="533">
      <c r="A533" s="7"/>
      <c r="B533" s="419"/>
      <c r="C533" s="419"/>
      <c r="D533" s="419"/>
      <c r="E533" s="419"/>
      <c r="F533" s="419"/>
      <c r="G533" s="419"/>
      <c r="H533" s="419"/>
      <c r="I533" s="419"/>
      <c r="J533" s="7"/>
    </row>
    <row r="534">
      <c r="A534" s="7"/>
      <c r="B534" s="419"/>
      <c r="C534" s="419"/>
      <c r="D534" s="419"/>
      <c r="E534" s="419"/>
      <c r="F534" s="419"/>
      <c r="G534" s="419"/>
      <c r="H534" s="419"/>
      <c r="I534" s="419"/>
      <c r="J534" s="7"/>
    </row>
    <row r="535">
      <c r="A535" s="7"/>
      <c r="B535" s="419"/>
      <c r="C535" s="419"/>
      <c r="D535" s="419"/>
      <c r="E535" s="419"/>
      <c r="F535" s="419"/>
      <c r="G535" s="419"/>
      <c r="H535" s="419"/>
      <c r="I535" s="419"/>
      <c r="J535" s="7"/>
    </row>
    <row r="536">
      <c r="A536" s="7"/>
      <c r="B536" s="419"/>
      <c r="C536" s="419"/>
      <c r="D536" s="419"/>
      <c r="E536" s="419"/>
      <c r="F536" s="419"/>
      <c r="G536" s="419"/>
      <c r="H536" s="419"/>
      <c r="I536" s="419"/>
      <c r="J536" s="7"/>
    </row>
    <row r="537">
      <c r="A537" s="7"/>
      <c r="B537" s="419"/>
      <c r="C537" s="419"/>
      <c r="D537" s="419"/>
      <c r="E537" s="419"/>
      <c r="F537" s="419"/>
      <c r="G537" s="419"/>
      <c r="H537" s="419"/>
      <c r="I537" s="419"/>
      <c r="J537" s="7"/>
    </row>
    <row r="538">
      <c r="A538" s="7"/>
      <c r="B538" s="419"/>
      <c r="C538" s="419"/>
      <c r="D538" s="419"/>
      <c r="E538" s="419"/>
      <c r="F538" s="419"/>
      <c r="G538" s="419"/>
      <c r="H538" s="419"/>
      <c r="I538" s="419"/>
      <c r="J538" s="7"/>
    </row>
    <row r="539">
      <c r="A539" s="7"/>
      <c r="B539" s="419"/>
      <c r="C539" s="419"/>
      <c r="D539" s="419"/>
      <c r="E539" s="419"/>
      <c r="F539" s="419"/>
      <c r="G539" s="419"/>
      <c r="H539" s="419"/>
      <c r="I539" s="419"/>
      <c r="J539" s="7"/>
    </row>
    <row r="540">
      <c r="A540" s="7"/>
      <c r="B540" s="419"/>
      <c r="C540" s="419"/>
      <c r="D540" s="419"/>
      <c r="E540" s="419"/>
      <c r="F540" s="419"/>
      <c r="G540" s="419"/>
      <c r="H540" s="419"/>
      <c r="I540" s="419"/>
      <c r="J540" s="7"/>
    </row>
    <row r="541">
      <c r="A541" s="7"/>
      <c r="B541" s="419"/>
      <c r="C541" s="419"/>
      <c r="D541" s="419"/>
      <c r="E541" s="419"/>
      <c r="F541" s="419"/>
      <c r="G541" s="419"/>
      <c r="H541" s="419"/>
      <c r="I541" s="419"/>
      <c r="J541" s="7"/>
    </row>
    <row r="542">
      <c r="A542" s="7"/>
      <c r="B542" s="419"/>
      <c r="C542" s="419"/>
      <c r="D542" s="419"/>
      <c r="E542" s="419"/>
      <c r="F542" s="419"/>
      <c r="G542" s="419"/>
      <c r="H542" s="419"/>
      <c r="I542" s="419"/>
      <c r="J542" s="7"/>
    </row>
    <row r="543">
      <c r="A543" s="7"/>
      <c r="B543" s="419"/>
      <c r="C543" s="419"/>
      <c r="D543" s="419"/>
      <c r="E543" s="419"/>
      <c r="F543" s="419"/>
      <c r="G543" s="419"/>
      <c r="H543" s="419"/>
      <c r="I543" s="419"/>
      <c r="J543" s="7"/>
    </row>
    <row r="544">
      <c r="A544" s="7"/>
      <c r="B544" s="419"/>
      <c r="C544" s="419"/>
      <c r="D544" s="419"/>
      <c r="E544" s="419"/>
      <c r="F544" s="419"/>
      <c r="G544" s="419"/>
      <c r="H544" s="419"/>
      <c r="I544" s="419"/>
      <c r="J544" s="7"/>
    </row>
    <row r="545">
      <c r="A545" s="7"/>
      <c r="B545" s="419"/>
      <c r="C545" s="419"/>
      <c r="D545" s="419"/>
      <c r="E545" s="419"/>
      <c r="F545" s="419"/>
      <c r="G545" s="419"/>
      <c r="H545" s="419"/>
      <c r="I545" s="419"/>
      <c r="J545" s="7"/>
    </row>
    <row r="546">
      <c r="A546" s="7"/>
      <c r="B546" s="419"/>
      <c r="C546" s="419"/>
      <c r="D546" s="419"/>
      <c r="E546" s="419"/>
      <c r="F546" s="419"/>
      <c r="G546" s="419"/>
      <c r="H546" s="419"/>
      <c r="I546" s="419"/>
      <c r="J546" s="7"/>
    </row>
    <row r="547">
      <c r="A547" s="7"/>
      <c r="B547" s="419"/>
      <c r="C547" s="419"/>
      <c r="D547" s="419"/>
      <c r="E547" s="419"/>
      <c r="F547" s="419"/>
      <c r="G547" s="419"/>
      <c r="H547" s="419"/>
      <c r="I547" s="419"/>
      <c r="J547" s="7"/>
    </row>
    <row r="548">
      <c r="A548" s="7"/>
      <c r="B548" s="419"/>
      <c r="C548" s="419"/>
      <c r="D548" s="419"/>
      <c r="E548" s="419"/>
      <c r="F548" s="419"/>
      <c r="G548" s="419"/>
      <c r="H548" s="419"/>
      <c r="I548" s="419"/>
      <c r="J548" s="7"/>
    </row>
    <row r="549">
      <c r="A549" s="7"/>
      <c r="B549" s="419"/>
      <c r="C549" s="419"/>
      <c r="D549" s="419"/>
      <c r="E549" s="419"/>
      <c r="F549" s="419"/>
      <c r="G549" s="419"/>
      <c r="H549" s="419"/>
      <c r="I549" s="419"/>
      <c r="J549" s="7"/>
    </row>
    <row r="550">
      <c r="A550" s="7"/>
      <c r="B550" s="419"/>
      <c r="C550" s="419"/>
      <c r="D550" s="419"/>
      <c r="E550" s="419"/>
      <c r="F550" s="419"/>
      <c r="G550" s="419"/>
      <c r="H550" s="419"/>
      <c r="I550" s="419"/>
      <c r="J550" s="7"/>
    </row>
    <row r="551">
      <c r="A551" s="7"/>
      <c r="B551" s="419"/>
      <c r="C551" s="419"/>
      <c r="D551" s="419"/>
      <c r="E551" s="419"/>
      <c r="F551" s="419"/>
      <c r="G551" s="419"/>
      <c r="H551" s="419"/>
      <c r="I551" s="419"/>
      <c r="J551" s="7"/>
    </row>
    <row r="552">
      <c r="A552" s="7"/>
      <c r="B552" s="419"/>
      <c r="C552" s="419"/>
      <c r="D552" s="419"/>
      <c r="E552" s="419"/>
      <c r="F552" s="419"/>
      <c r="G552" s="419"/>
      <c r="H552" s="419"/>
      <c r="I552" s="419"/>
      <c r="J552" s="7"/>
    </row>
    <row r="553">
      <c r="A553" s="7"/>
      <c r="B553" s="419"/>
      <c r="C553" s="419"/>
      <c r="D553" s="419"/>
      <c r="E553" s="419"/>
      <c r="F553" s="419"/>
      <c r="G553" s="419"/>
      <c r="H553" s="419"/>
      <c r="I553" s="419"/>
      <c r="J553" s="7"/>
    </row>
    <row r="554">
      <c r="A554" s="7"/>
      <c r="B554" s="419"/>
      <c r="C554" s="419"/>
      <c r="D554" s="419"/>
      <c r="E554" s="419"/>
      <c r="F554" s="419"/>
      <c r="G554" s="419"/>
      <c r="H554" s="419"/>
      <c r="I554" s="419"/>
      <c r="J554" s="7"/>
    </row>
    <row r="555">
      <c r="A555" s="7"/>
      <c r="B555" s="419"/>
      <c r="C555" s="419"/>
      <c r="D555" s="419"/>
      <c r="E555" s="419"/>
      <c r="F555" s="419"/>
      <c r="G555" s="419"/>
      <c r="H555" s="419"/>
      <c r="I555" s="419"/>
      <c r="J555" s="7"/>
    </row>
    <row r="556">
      <c r="A556" s="7"/>
      <c r="B556" s="419"/>
      <c r="C556" s="419"/>
      <c r="D556" s="419"/>
      <c r="E556" s="419"/>
      <c r="F556" s="419"/>
      <c r="G556" s="419"/>
      <c r="H556" s="419"/>
      <c r="I556" s="419"/>
      <c r="J556" s="7"/>
    </row>
    <row r="557">
      <c r="A557" s="7"/>
      <c r="B557" s="419"/>
      <c r="C557" s="419"/>
      <c r="D557" s="419"/>
      <c r="E557" s="419"/>
      <c r="F557" s="419"/>
      <c r="G557" s="419"/>
      <c r="H557" s="419"/>
      <c r="I557" s="419"/>
      <c r="J557" s="7"/>
    </row>
    <row r="558">
      <c r="A558" s="7"/>
      <c r="B558" s="419"/>
      <c r="C558" s="419"/>
      <c r="D558" s="419"/>
      <c r="E558" s="419"/>
      <c r="F558" s="419"/>
      <c r="G558" s="419"/>
      <c r="H558" s="419"/>
      <c r="I558" s="419"/>
      <c r="J558" s="7"/>
    </row>
    <row r="559">
      <c r="A559" s="7"/>
      <c r="B559" s="419"/>
      <c r="C559" s="419"/>
      <c r="D559" s="419"/>
      <c r="E559" s="419"/>
      <c r="F559" s="419"/>
      <c r="G559" s="419"/>
      <c r="H559" s="419"/>
      <c r="I559" s="419"/>
      <c r="J559" s="7"/>
    </row>
    <row r="560">
      <c r="A560" s="7"/>
      <c r="B560" s="419"/>
      <c r="C560" s="419"/>
      <c r="D560" s="419"/>
      <c r="E560" s="419"/>
      <c r="F560" s="419"/>
      <c r="G560" s="419"/>
      <c r="H560" s="419"/>
      <c r="I560" s="419"/>
      <c r="J560" s="7"/>
    </row>
    <row r="561">
      <c r="A561" s="7"/>
      <c r="B561" s="419"/>
      <c r="C561" s="419"/>
      <c r="D561" s="419"/>
      <c r="E561" s="419"/>
      <c r="F561" s="419"/>
      <c r="G561" s="419"/>
      <c r="H561" s="419"/>
      <c r="I561" s="419"/>
      <c r="J561" s="7"/>
    </row>
    <row r="562">
      <c r="A562" s="7"/>
      <c r="B562" s="419"/>
      <c r="C562" s="419"/>
      <c r="D562" s="419"/>
      <c r="E562" s="419"/>
      <c r="F562" s="419"/>
      <c r="G562" s="419"/>
      <c r="H562" s="419"/>
      <c r="I562" s="419"/>
      <c r="J562" s="7"/>
    </row>
    <row r="563">
      <c r="A563" s="7"/>
      <c r="B563" s="419"/>
      <c r="C563" s="419"/>
      <c r="D563" s="419"/>
      <c r="E563" s="419"/>
      <c r="F563" s="419"/>
      <c r="G563" s="419"/>
      <c r="H563" s="419"/>
      <c r="I563" s="419"/>
      <c r="J563" s="7"/>
    </row>
    <row r="564">
      <c r="A564" s="7"/>
      <c r="B564" s="419"/>
      <c r="C564" s="419"/>
      <c r="D564" s="419"/>
      <c r="E564" s="419"/>
      <c r="F564" s="419"/>
      <c r="G564" s="419"/>
      <c r="H564" s="419"/>
      <c r="I564" s="419"/>
      <c r="J564" s="7"/>
    </row>
    <row r="565">
      <c r="A565" s="7"/>
      <c r="B565" s="419"/>
      <c r="C565" s="419"/>
      <c r="D565" s="419"/>
      <c r="E565" s="419"/>
      <c r="F565" s="419"/>
      <c r="G565" s="419"/>
      <c r="H565" s="419"/>
      <c r="I565" s="419"/>
      <c r="J565" s="7"/>
    </row>
    <row r="566">
      <c r="A566" s="7"/>
      <c r="B566" s="419"/>
      <c r="C566" s="419"/>
      <c r="D566" s="419"/>
      <c r="E566" s="419"/>
      <c r="F566" s="419"/>
      <c r="G566" s="419"/>
      <c r="H566" s="419"/>
      <c r="I566" s="419"/>
      <c r="J566" s="7"/>
    </row>
    <row r="567">
      <c r="A567" s="7"/>
      <c r="B567" s="419"/>
      <c r="C567" s="419"/>
      <c r="D567" s="419"/>
      <c r="E567" s="419"/>
      <c r="F567" s="419"/>
      <c r="G567" s="419"/>
      <c r="H567" s="419"/>
      <c r="I567" s="419"/>
      <c r="J567" s="7"/>
    </row>
    <row r="568">
      <c r="A568" s="7"/>
      <c r="B568" s="419"/>
      <c r="C568" s="419"/>
      <c r="D568" s="419"/>
      <c r="E568" s="419"/>
      <c r="F568" s="419"/>
      <c r="G568" s="419"/>
      <c r="H568" s="419"/>
      <c r="I568" s="419"/>
      <c r="J568" s="7"/>
    </row>
    <row r="569">
      <c r="A569" s="7"/>
      <c r="B569" s="419"/>
      <c r="C569" s="419"/>
      <c r="D569" s="419"/>
      <c r="E569" s="419"/>
      <c r="F569" s="419"/>
      <c r="G569" s="419"/>
      <c r="H569" s="419"/>
      <c r="I569" s="419"/>
      <c r="J569" s="7"/>
    </row>
    <row r="570">
      <c r="A570" s="7"/>
      <c r="B570" s="419"/>
      <c r="C570" s="419"/>
      <c r="D570" s="419"/>
      <c r="E570" s="419"/>
      <c r="F570" s="419"/>
      <c r="G570" s="419"/>
      <c r="H570" s="419"/>
      <c r="I570" s="419"/>
      <c r="J570" s="7"/>
    </row>
    <row r="571">
      <c r="A571" s="7"/>
      <c r="B571" s="419"/>
      <c r="C571" s="419"/>
      <c r="D571" s="419"/>
      <c r="E571" s="419"/>
      <c r="F571" s="419"/>
      <c r="G571" s="419"/>
      <c r="H571" s="419"/>
      <c r="I571" s="419"/>
      <c r="J571" s="7"/>
    </row>
    <row r="572">
      <c r="A572" s="7"/>
      <c r="B572" s="419"/>
      <c r="C572" s="419"/>
      <c r="D572" s="419"/>
      <c r="E572" s="419"/>
      <c r="F572" s="419"/>
      <c r="G572" s="419"/>
      <c r="H572" s="419"/>
      <c r="I572" s="419"/>
      <c r="J572" s="7"/>
    </row>
    <row r="573">
      <c r="A573" s="7"/>
      <c r="B573" s="419"/>
      <c r="C573" s="419"/>
      <c r="D573" s="419"/>
      <c r="E573" s="419"/>
      <c r="F573" s="419"/>
      <c r="G573" s="419"/>
      <c r="H573" s="419"/>
      <c r="I573" s="419"/>
      <c r="J573" s="7"/>
    </row>
    <row r="574">
      <c r="A574" s="7"/>
      <c r="B574" s="419"/>
      <c r="C574" s="419"/>
      <c r="D574" s="419"/>
      <c r="E574" s="419"/>
      <c r="F574" s="419"/>
      <c r="G574" s="419"/>
      <c r="H574" s="419"/>
      <c r="I574" s="419"/>
      <c r="J574" s="7"/>
    </row>
    <row r="575">
      <c r="A575" s="7"/>
      <c r="B575" s="419"/>
      <c r="C575" s="419"/>
      <c r="D575" s="419"/>
      <c r="E575" s="419"/>
      <c r="F575" s="419"/>
      <c r="G575" s="419"/>
      <c r="H575" s="419"/>
      <c r="I575" s="419"/>
      <c r="J575" s="7"/>
    </row>
    <row r="576">
      <c r="A576" s="7"/>
      <c r="B576" s="419"/>
      <c r="C576" s="419"/>
      <c r="D576" s="419"/>
      <c r="E576" s="419"/>
      <c r="F576" s="419"/>
      <c r="G576" s="419"/>
      <c r="H576" s="419"/>
      <c r="I576" s="419"/>
      <c r="J576" s="7"/>
    </row>
    <row r="577">
      <c r="A577" s="7"/>
      <c r="B577" s="419"/>
      <c r="C577" s="419"/>
      <c r="D577" s="419"/>
      <c r="E577" s="419"/>
      <c r="F577" s="419"/>
      <c r="G577" s="419"/>
      <c r="H577" s="419"/>
      <c r="I577" s="419"/>
      <c r="J577" s="7"/>
    </row>
    <row r="578">
      <c r="A578" s="7"/>
      <c r="B578" s="419"/>
      <c r="C578" s="419"/>
      <c r="D578" s="419"/>
      <c r="E578" s="419"/>
      <c r="F578" s="419"/>
      <c r="G578" s="419"/>
      <c r="H578" s="419"/>
      <c r="I578" s="419"/>
      <c r="J578" s="7"/>
    </row>
    <row r="579">
      <c r="A579" s="7"/>
      <c r="B579" s="419"/>
      <c r="C579" s="419"/>
      <c r="D579" s="419"/>
      <c r="E579" s="419"/>
      <c r="F579" s="419"/>
      <c r="G579" s="419"/>
      <c r="H579" s="419"/>
      <c r="I579" s="419"/>
      <c r="J579" s="7"/>
    </row>
    <row r="580">
      <c r="A580" s="7"/>
      <c r="B580" s="419"/>
      <c r="C580" s="419"/>
      <c r="D580" s="419"/>
      <c r="E580" s="419"/>
      <c r="F580" s="419"/>
      <c r="G580" s="419"/>
      <c r="H580" s="419"/>
      <c r="I580" s="419"/>
      <c r="J580" s="7"/>
    </row>
    <row r="581">
      <c r="A581" s="7"/>
      <c r="B581" s="419"/>
      <c r="C581" s="419"/>
      <c r="D581" s="419"/>
      <c r="E581" s="419"/>
      <c r="F581" s="419"/>
      <c r="G581" s="419"/>
      <c r="H581" s="419"/>
      <c r="I581" s="419"/>
      <c r="J581" s="7"/>
    </row>
    <row r="582">
      <c r="A582" s="7"/>
      <c r="B582" s="419"/>
      <c r="C582" s="419"/>
      <c r="D582" s="419"/>
      <c r="E582" s="419"/>
      <c r="F582" s="419"/>
      <c r="G582" s="419"/>
      <c r="H582" s="419"/>
      <c r="I582" s="419"/>
      <c r="J582" s="7"/>
    </row>
    <row r="583">
      <c r="A583" s="7"/>
      <c r="B583" s="419"/>
      <c r="C583" s="419"/>
      <c r="D583" s="419"/>
      <c r="E583" s="419"/>
      <c r="F583" s="419"/>
      <c r="G583" s="419"/>
      <c r="H583" s="419"/>
      <c r="I583" s="419"/>
      <c r="J583" s="7"/>
    </row>
    <row r="584">
      <c r="A584" s="7"/>
      <c r="B584" s="419"/>
      <c r="C584" s="419"/>
      <c r="D584" s="419"/>
      <c r="E584" s="419"/>
      <c r="F584" s="419"/>
      <c r="G584" s="419"/>
      <c r="H584" s="419"/>
      <c r="I584" s="419"/>
      <c r="J584" s="7"/>
    </row>
    <row r="585">
      <c r="A585" s="7"/>
      <c r="B585" s="419"/>
      <c r="C585" s="419"/>
      <c r="D585" s="419"/>
      <c r="E585" s="419"/>
      <c r="F585" s="419"/>
      <c r="G585" s="419"/>
      <c r="H585" s="419"/>
      <c r="I585" s="419"/>
      <c r="J585" s="7"/>
    </row>
    <row r="586">
      <c r="A586" s="7"/>
      <c r="B586" s="419"/>
      <c r="C586" s="419"/>
      <c r="D586" s="419"/>
      <c r="E586" s="419"/>
      <c r="F586" s="419"/>
      <c r="G586" s="419"/>
      <c r="H586" s="419"/>
      <c r="I586" s="419"/>
      <c r="J586" s="7"/>
    </row>
    <row r="587">
      <c r="A587" s="7"/>
      <c r="B587" s="419"/>
      <c r="C587" s="419"/>
      <c r="D587" s="419"/>
      <c r="E587" s="419"/>
      <c r="F587" s="419"/>
      <c r="G587" s="419"/>
      <c r="H587" s="419"/>
      <c r="I587" s="419"/>
      <c r="J587" s="7"/>
    </row>
    <row r="588">
      <c r="A588" s="7"/>
      <c r="B588" s="419"/>
      <c r="C588" s="419"/>
      <c r="D588" s="419"/>
      <c r="E588" s="419"/>
      <c r="F588" s="419"/>
      <c r="G588" s="419"/>
      <c r="H588" s="419"/>
      <c r="I588" s="419"/>
      <c r="J588" s="7"/>
    </row>
    <row r="589">
      <c r="A589" s="7"/>
      <c r="B589" s="419"/>
      <c r="C589" s="419"/>
      <c r="D589" s="419"/>
      <c r="E589" s="419"/>
      <c r="F589" s="419"/>
      <c r="G589" s="419"/>
      <c r="H589" s="419"/>
      <c r="I589" s="419"/>
      <c r="J589" s="7"/>
    </row>
    <row r="590">
      <c r="A590" s="7"/>
      <c r="B590" s="419"/>
      <c r="C590" s="419"/>
      <c r="D590" s="419"/>
      <c r="E590" s="419"/>
      <c r="F590" s="419"/>
      <c r="G590" s="419"/>
      <c r="H590" s="419"/>
      <c r="I590" s="419"/>
      <c r="J590" s="7"/>
    </row>
    <row r="591">
      <c r="A591" s="7"/>
      <c r="B591" s="419"/>
      <c r="C591" s="419"/>
      <c r="D591" s="419"/>
      <c r="E591" s="419"/>
      <c r="F591" s="419"/>
      <c r="G591" s="419"/>
      <c r="H591" s="419"/>
      <c r="I591" s="419"/>
      <c r="J591" s="7"/>
    </row>
    <row r="592">
      <c r="A592" s="7"/>
      <c r="B592" s="419"/>
      <c r="C592" s="419"/>
      <c r="D592" s="419"/>
      <c r="E592" s="419"/>
      <c r="F592" s="419"/>
      <c r="G592" s="419"/>
      <c r="H592" s="419"/>
      <c r="I592" s="419"/>
      <c r="J592" s="7"/>
    </row>
    <row r="593">
      <c r="A593" s="7"/>
      <c r="B593" s="419"/>
      <c r="C593" s="419"/>
      <c r="D593" s="419"/>
      <c r="E593" s="419"/>
      <c r="F593" s="419"/>
      <c r="G593" s="419"/>
      <c r="H593" s="419"/>
      <c r="I593" s="419"/>
      <c r="J593" s="7"/>
    </row>
    <row r="594">
      <c r="A594" s="7"/>
      <c r="B594" s="419"/>
      <c r="C594" s="419"/>
      <c r="D594" s="419"/>
      <c r="E594" s="419"/>
      <c r="F594" s="419"/>
      <c r="G594" s="419"/>
      <c r="H594" s="419"/>
      <c r="I594" s="419"/>
      <c r="J594" s="7"/>
    </row>
    <row r="595">
      <c r="A595" s="7"/>
      <c r="B595" s="419"/>
      <c r="C595" s="419"/>
      <c r="D595" s="419"/>
      <c r="E595" s="419"/>
      <c r="F595" s="419"/>
      <c r="G595" s="419"/>
      <c r="H595" s="419"/>
      <c r="I595" s="419"/>
      <c r="J595" s="7"/>
    </row>
    <row r="596">
      <c r="A596" s="7"/>
      <c r="B596" s="419"/>
      <c r="C596" s="419"/>
      <c r="D596" s="419"/>
      <c r="E596" s="419"/>
      <c r="F596" s="419"/>
      <c r="G596" s="419"/>
      <c r="H596" s="419"/>
      <c r="I596" s="419"/>
      <c r="J596" s="7"/>
    </row>
    <row r="597">
      <c r="A597" s="7"/>
      <c r="B597" s="419"/>
      <c r="C597" s="419"/>
      <c r="D597" s="419"/>
      <c r="E597" s="419"/>
      <c r="F597" s="419"/>
      <c r="G597" s="419"/>
      <c r="H597" s="419"/>
      <c r="I597" s="419"/>
      <c r="J597" s="7"/>
    </row>
    <row r="598">
      <c r="A598" s="7"/>
      <c r="B598" s="419"/>
      <c r="C598" s="419"/>
      <c r="D598" s="419"/>
      <c r="E598" s="419"/>
      <c r="F598" s="419"/>
      <c r="G598" s="419"/>
      <c r="H598" s="419"/>
      <c r="I598" s="419"/>
      <c r="J598" s="7"/>
    </row>
    <row r="599">
      <c r="A599" s="7"/>
      <c r="B599" s="419"/>
      <c r="C599" s="419"/>
      <c r="D599" s="419"/>
      <c r="E599" s="419"/>
      <c r="F599" s="419"/>
      <c r="G599" s="419"/>
      <c r="H599" s="419"/>
      <c r="I599" s="419"/>
      <c r="J599" s="7"/>
    </row>
    <row r="600">
      <c r="A600" s="7"/>
      <c r="B600" s="419"/>
      <c r="C600" s="419"/>
      <c r="D600" s="419"/>
      <c r="E600" s="419"/>
      <c r="F600" s="419"/>
      <c r="G600" s="419"/>
      <c r="H600" s="419"/>
      <c r="I600" s="419"/>
      <c r="J600" s="7"/>
    </row>
    <row r="601">
      <c r="A601" s="7"/>
      <c r="B601" s="419"/>
      <c r="C601" s="419"/>
      <c r="D601" s="419"/>
      <c r="E601" s="419"/>
      <c r="F601" s="419"/>
      <c r="G601" s="419"/>
      <c r="H601" s="419"/>
      <c r="I601" s="419"/>
      <c r="J601" s="7"/>
    </row>
    <row r="602">
      <c r="A602" s="7"/>
      <c r="B602" s="419"/>
      <c r="C602" s="419"/>
      <c r="D602" s="419"/>
      <c r="E602" s="419"/>
      <c r="F602" s="419"/>
      <c r="G602" s="419"/>
      <c r="H602" s="419"/>
      <c r="I602" s="419"/>
      <c r="J602" s="7"/>
    </row>
    <row r="603">
      <c r="A603" s="7"/>
      <c r="B603" s="419"/>
      <c r="C603" s="419"/>
      <c r="D603" s="419"/>
      <c r="E603" s="419"/>
      <c r="F603" s="419"/>
      <c r="G603" s="419"/>
      <c r="H603" s="419"/>
      <c r="I603" s="419"/>
      <c r="J603" s="7"/>
    </row>
    <row r="604">
      <c r="A604" s="7"/>
      <c r="B604" s="419"/>
      <c r="C604" s="419"/>
      <c r="D604" s="419"/>
      <c r="E604" s="419"/>
      <c r="F604" s="419"/>
      <c r="G604" s="419"/>
      <c r="H604" s="419"/>
      <c r="I604" s="419"/>
      <c r="J604" s="7"/>
    </row>
    <row r="605">
      <c r="A605" s="7"/>
      <c r="B605" s="419"/>
      <c r="C605" s="419"/>
      <c r="D605" s="419"/>
      <c r="E605" s="419"/>
      <c r="F605" s="419"/>
      <c r="G605" s="419"/>
      <c r="H605" s="419"/>
      <c r="I605" s="419"/>
      <c r="J605" s="7"/>
    </row>
    <row r="606">
      <c r="A606" s="7"/>
      <c r="B606" s="419"/>
      <c r="C606" s="419"/>
      <c r="D606" s="419"/>
      <c r="E606" s="419"/>
      <c r="F606" s="419"/>
      <c r="G606" s="419"/>
      <c r="H606" s="419"/>
      <c r="I606" s="419"/>
      <c r="J606" s="7"/>
    </row>
    <row r="607">
      <c r="A607" s="7"/>
      <c r="B607" s="419"/>
      <c r="C607" s="419"/>
      <c r="D607" s="419"/>
      <c r="E607" s="419"/>
      <c r="F607" s="419"/>
      <c r="G607" s="419"/>
      <c r="H607" s="419"/>
      <c r="I607" s="419"/>
      <c r="J607" s="7"/>
    </row>
    <row r="608">
      <c r="A608" s="7"/>
      <c r="B608" s="419"/>
      <c r="C608" s="419"/>
      <c r="D608" s="419"/>
      <c r="E608" s="419"/>
      <c r="F608" s="419"/>
      <c r="G608" s="419"/>
      <c r="H608" s="419"/>
      <c r="I608" s="419"/>
      <c r="J608" s="7"/>
    </row>
    <row r="609">
      <c r="A609" s="7"/>
      <c r="B609" s="419"/>
      <c r="C609" s="419"/>
      <c r="D609" s="419"/>
      <c r="E609" s="419"/>
      <c r="F609" s="419"/>
      <c r="G609" s="419"/>
      <c r="H609" s="419"/>
      <c r="I609" s="419"/>
      <c r="J609" s="7"/>
    </row>
    <row r="610">
      <c r="A610" s="7"/>
      <c r="B610" s="419"/>
      <c r="C610" s="419"/>
      <c r="D610" s="419"/>
      <c r="E610" s="419"/>
      <c r="F610" s="419"/>
      <c r="G610" s="419"/>
      <c r="H610" s="419"/>
      <c r="I610" s="419"/>
      <c r="J610" s="7"/>
    </row>
    <row r="611">
      <c r="A611" s="7"/>
      <c r="B611" s="419"/>
      <c r="C611" s="419"/>
      <c r="D611" s="419"/>
      <c r="E611" s="419"/>
      <c r="F611" s="419"/>
      <c r="G611" s="419"/>
      <c r="H611" s="419"/>
      <c r="I611" s="419"/>
      <c r="J611" s="7"/>
    </row>
    <row r="612">
      <c r="A612" s="7"/>
      <c r="B612" s="419"/>
      <c r="C612" s="419"/>
      <c r="D612" s="419"/>
      <c r="E612" s="419"/>
      <c r="F612" s="419"/>
      <c r="G612" s="419"/>
      <c r="H612" s="419"/>
      <c r="I612" s="419"/>
      <c r="J612" s="7"/>
    </row>
    <row r="613">
      <c r="A613" s="7"/>
      <c r="B613" s="419"/>
      <c r="C613" s="419"/>
      <c r="D613" s="419"/>
      <c r="E613" s="419"/>
      <c r="F613" s="419"/>
      <c r="G613" s="419"/>
      <c r="H613" s="419"/>
      <c r="I613" s="419"/>
      <c r="J613" s="7"/>
    </row>
    <row r="614">
      <c r="A614" s="7"/>
      <c r="B614" s="419"/>
      <c r="C614" s="419"/>
      <c r="D614" s="419"/>
      <c r="E614" s="419"/>
      <c r="F614" s="419"/>
      <c r="G614" s="419"/>
      <c r="H614" s="419"/>
      <c r="I614" s="419"/>
      <c r="J614" s="7"/>
    </row>
    <row r="615">
      <c r="A615" s="7"/>
      <c r="B615" s="419"/>
      <c r="C615" s="419"/>
      <c r="D615" s="419"/>
      <c r="E615" s="419"/>
      <c r="F615" s="419"/>
      <c r="G615" s="419"/>
      <c r="H615" s="419"/>
      <c r="I615" s="419"/>
      <c r="J615" s="7"/>
    </row>
    <row r="616">
      <c r="A616" s="7"/>
      <c r="B616" s="419"/>
      <c r="C616" s="419"/>
      <c r="D616" s="419"/>
      <c r="E616" s="419"/>
      <c r="F616" s="419"/>
      <c r="G616" s="419"/>
      <c r="H616" s="419"/>
      <c r="I616" s="419"/>
      <c r="J616" s="7"/>
    </row>
    <row r="617">
      <c r="A617" s="7"/>
      <c r="B617" s="419"/>
      <c r="C617" s="419"/>
      <c r="D617" s="419"/>
      <c r="E617" s="419"/>
      <c r="F617" s="419"/>
      <c r="G617" s="419"/>
      <c r="H617" s="419"/>
      <c r="I617" s="419"/>
      <c r="J617" s="7"/>
    </row>
    <row r="618">
      <c r="A618" s="7"/>
      <c r="B618" s="419"/>
      <c r="C618" s="419"/>
      <c r="D618" s="419"/>
      <c r="E618" s="419"/>
      <c r="F618" s="419"/>
      <c r="G618" s="419"/>
      <c r="H618" s="419"/>
      <c r="I618" s="419"/>
      <c r="J618" s="7"/>
    </row>
    <row r="619">
      <c r="A619" s="7"/>
      <c r="B619" s="419"/>
      <c r="C619" s="419"/>
      <c r="D619" s="419"/>
      <c r="E619" s="419"/>
      <c r="F619" s="419"/>
      <c r="G619" s="419"/>
      <c r="H619" s="419"/>
      <c r="I619" s="419"/>
      <c r="J619" s="7"/>
    </row>
    <row r="620">
      <c r="A620" s="7"/>
      <c r="B620" s="419"/>
      <c r="C620" s="419"/>
      <c r="D620" s="419"/>
      <c r="E620" s="419"/>
      <c r="F620" s="419"/>
      <c r="G620" s="419"/>
      <c r="H620" s="419"/>
      <c r="I620" s="419"/>
      <c r="J620" s="7"/>
    </row>
    <row r="621">
      <c r="A621" s="7"/>
      <c r="B621" s="419"/>
      <c r="C621" s="419"/>
      <c r="D621" s="419"/>
      <c r="E621" s="419"/>
      <c r="F621" s="419"/>
      <c r="G621" s="419"/>
      <c r="H621" s="419"/>
      <c r="I621" s="419"/>
      <c r="J621" s="7"/>
    </row>
    <row r="622">
      <c r="A622" s="7"/>
      <c r="B622" s="419"/>
      <c r="C622" s="419"/>
      <c r="D622" s="419"/>
      <c r="E622" s="419"/>
      <c r="F622" s="419"/>
      <c r="G622" s="419"/>
      <c r="H622" s="419"/>
      <c r="I622" s="419"/>
      <c r="J622" s="7"/>
    </row>
    <row r="623">
      <c r="A623" s="7"/>
      <c r="B623" s="419"/>
      <c r="C623" s="419"/>
      <c r="D623" s="419"/>
      <c r="E623" s="419"/>
      <c r="F623" s="419"/>
      <c r="G623" s="419"/>
      <c r="H623" s="419"/>
      <c r="I623" s="419"/>
      <c r="J623" s="7"/>
    </row>
    <row r="624">
      <c r="A624" s="7"/>
      <c r="B624" s="419"/>
      <c r="C624" s="419"/>
      <c r="D624" s="419"/>
      <c r="E624" s="419"/>
      <c r="F624" s="419"/>
      <c r="G624" s="419"/>
      <c r="H624" s="419"/>
      <c r="I624" s="419"/>
      <c r="J624" s="7"/>
    </row>
    <row r="625">
      <c r="A625" s="7"/>
      <c r="B625" s="419"/>
      <c r="C625" s="419"/>
      <c r="D625" s="419"/>
      <c r="E625" s="419"/>
      <c r="F625" s="419"/>
      <c r="G625" s="419"/>
      <c r="H625" s="419"/>
      <c r="I625" s="419"/>
      <c r="J625" s="7"/>
    </row>
    <row r="626">
      <c r="A626" s="7"/>
      <c r="B626" s="419"/>
      <c r="C626" s="419"/>
      <c r="D626" s="419"/>
      <c r="E626" s="419"/>
      <c r="F626" s="419"/>
      <c r="G626" s="419"/>
      <c r="H626" s="419"/>
      <c r="I626" s="419"/>
      <c r="J626" s="7"/>
    </row>
    <row r="627">
      <c r="A627" s="7"/>
      <c r="B627" s="419"/>
      <c r="C627" s="419"/>
      <c r="D627" s="419"/>
      <c r="E627" s="419"/>
      <c r="F627" s="419"/>
      <c r="G627" s="419"/>
      <c r="H627" s="419"/>
      <c r="I627" s="419"/>
      <c r="J627" s="7"/>
    </row>
    <row r="628">
      <c r="A628" s="7"/>
      <c r="B628" s="419"/>
      <c r="C628" s="419"/>
      <c r="D628" s="419"/>
      <c r="E628" s="419"/>
      <c r="F628" s="419"/>
      <c r="G628" s="419"/>
      <c r="H628" s="419"/>
      <c r="I628" s="419"/>
      <c r="J628" s="7"/>
    </row>
    <row r="629">
      <c r="A629" s="7"/>
      <c r="B629" s="419"/>
      <c r="C629" s="419"/>
      <c r="D629" s="419"/>
      <c r="E629" s="419"/>
      <c r="F629" s="419"/>
      <c r="G629" s="419"/>
      <c r="H629" s="419"/>
      <c r="I629" s="419"/>
      <c r="J629" s="7"/>
    </row>
    <row r="630">
      <c r="A630" s="7"/>
      <c r="B630" s="419"/>
      <c r="C630" s="419"/>
      <c r="D630" s="419"/>
      <c r="E630" s="419"/>
      <c r="F630" s="419"/>
      <c r="G630" s="419"/>
      <c r="H630" s="419"/>
      <c r="I630" s="419"/>
      <c r="J630" s="7"/>
    </row>
    <row r="631">
      <c r="A631" s="7"/>
      <c r="B631" s="419"/>
      <c r="C631" s="419"/>
      <c r="D631" s="419"/>
      <c r="E631" s="419"/>
      <c r="F631" s="419"/>
      <c r="G631" s="419"/>
      <c r="H631" s="419"/>
      <c r="I631" s="419"/>
      <c r="J631" s="7"/>
    </row>
    <row r="632">
      <c r="A632" s="7"/>
      <c r="B632" s="419"/>
      <c r="C632" s="419"/>
      <c r="D632" s="419"/>
      <c r="E632" s="419"/>
      <c r="F632" s="419"/>
      <c r="G632" s="419"/>
      <c r="H632" s="419"/>
      <c r="I632" s="419"/>
      <c r="J632" s="7"/>
    </row>
    <row r="633">
      <c r="A633" s="7"/>
      <c r="B633" s="419"/>
      <c r="C633" s="419"/>
      <c r="D633" s="419"/>
      <c r="E633" s="419"/>
      <c r="F633" s="419"/>
      <c r="G633" s="419"/>
      <c r="H633" s="419"/>
      <c r="I633" s="419"/>
      <c r="J633" s="7"/>
    </row>
    <row r="634">
      <c r="A634" s="7"/>
      <c r="B634" s="419"/>
      <c r="C634" s="419"/>
      <c r="D634" s="419"/>
      <c r="E634" s="419"/>
      <c r="F634" s="419"/>
      <c r="G634" s="419"/>
      <c r="H634" s="419"/>
      <c r="I634" s="419"/>
      <c r="J634" s="7"/>
    </row>
    <row r="635">
      <c r="A635" s="7"/>
      <c r="B635" s="419"/>
      <c r="C635" s="419"/>
      <c r="D635" s="419"/>
      <c r="E635" s="419"/>
      <c r="F635" s="419"/>
      <c r="G635" s="419"/>
      <c r="H635" s="419"/>
      <c r="I635" s="419"/>
      <c r="J635" s="7"/>
    </row>
    <row r="636">
      <c r="A636" s="7"/>
      <c r="B636" s="419"/>
      <c r="C636" s="419"/>
      <c r="D636" s="419"/>
      <c r="E636" s="419"/>
      <c r="F636" s="419"/>
      <c r="G636" s="419"/>
      <c r="H636" s="419"/>
      <c r="I636" s="419"/>
      <c r="J636" s="7"/>
    </row>
    <row r="637">
      <c r="A637" s="7"/>
      <c r="B637" s="419"/>
      <c r="C637" s="419"/>
      <c r="D637" s="419"/>
      <c r="E637" s="419"/>
      <c r="F637" s="419"/>
      <c r="G637" s="419"/>
      <c r="H637" s="419"/>
      <c r="I637" s="419"/>
      <c r="J637" s="7"/>
    </row>
    <row r="638">
      <c r="A638" s="7"/>
      <c r="B638" s="419"/>
      <c r="C638" s="419"/>
      <c r="D638" s="419"/>
      <c r="E638" s="419"/>
      <c r="F638" s="419"/>
      <c r="G638" s="419"/>
      <c r="H638" s="419"/>
      <c r="I638" s="419"/>
      <c r="J638" s="7"/>
    </row>
    <row r="639">
      <c r="A639" s="7"/>
      <c r="B639" s="419"/>
      <c r="C639" s="419"/>
      <c r="D639" s="419"/>
      <c r="E639" s="419"/>
      <c r="F639" s="419"/>
      <c r="G639" s="419"/>
      <c r="H639" s="419"/>
      <c r="I639" s="419"/>
      <c r="J639" s="7"/>
    </row>
    <row r="640">
      <c r="A640" s="7"/>
      <c r="B640" s="419"/>
      <c r="C640" s="419"/>
      <c r="D640" s="419"/>
      <c r="E640" s="419"/>
      <c r="F640" s="419"/>
      <c r="G640" s="419"/>
      <c r="H640" s="419"/>
      <c r="I640" s="419"/>
      <c r="J640" s="7"/>
    </row>
    <row r="641">
      <c r="A641" s="7"/>
      <c r="B641" s="419"/>
      <c r="C641" s="419"/>
      <c r="D641" s="419"/>
      <c r="E641" s="419"/>
      <c r="F641" s="419"/>
      <c r="G641" s="419"/>
      <c r="H641" s="419"/>
      <c r="I641" s="419"/>
      <c r="J641" s="7"/>
    </row>
    <row r="642">
      <c r="A642" s="7"/>
      <c r="B642" s="419"/>
      <c r="C642" s="419"/>
      <c r="D642" s="419"/>
      <c r="E642" s="419"/>
      <c r="F642" s="419"/>
      <c r="G642" s="419"/>
      <c r="H642" s="419"/>
      <c r="I642" s="419"/>
      <c r="J642" s="7"/>
    </row>
    <row r="643">
      <c r="A643" s="7"/>
      <c r="B643" s="419"/>
      <c r="C643" s="419"/>
      <c r="D643" s="419"/>
      <c r="E643" s="419"/>
      <c r="F643" s="419"/>
      <c r="G643" s="419"/>
      <c r="H643" s="419"/>
      <c r="I643" s="419"/>
      <c r="J643" s="7"/>
    </row>
    <row r="644">
      <c r="A644" s="7"/>
      <c r="B644" s="419"/>
      <c r="C644" s="419"/>
      <c r="D644" s="419"/>
      <c r="E644" s="419"/>
      <c r="F644" s="419"/>
      <c r="G644" s="419"/>
      <c r="H644" s="419"/>
      <c r="I644" s="419"/>
      <c r="J644" s="7"/>
    </row>
    <row r="645">
      <c r="A645" s="7"/>
      <c r="B645" s="419"/>
      <c r="C645" s="419"/>
      <c r="D645" s="419"/>
      <c r="E645" s="419"/>
      <c r="F645" s="419"/>
      <c r="G645" s="419"/>
      <c r="H645" s="419"/>
      <c r="I645" s="419"/>
      <c r="J645" s="7"/>
    </row>
    <row r="646">
      <c r="A646" s="7"/>
      <c r="B646" s="419"/>
      <c r="C646" s="419"/>
      <c r="D646" s="419"/>
      <c r="E646" s="419"/>
      <c r="F646" s="419"/>
      <c r="G646" s="419"/>
      <c r="H646" s="419"/>
      <c r="I646" s="419"/>
      <c r="J646" s="7"/>
    </row>
    <row r="647">
      <c r="A647" s="7"/>
      <c r="B647" s="419"/>
      <c r="C647" s="419"/>
      <c r="D647" s="419"/>
      <c r="E647" s="419"/>
      <c r="F647" s="419"/>
      <c r="G647" s="419"/>
      <c r="H647" s="419"/>
      <c r="I647" s="419"/>
      <c r="J647" s="7"/>
    </row>
    <row r="648">
      <c r="A648" s="7"/>
      <c r="B648" s="419"/>
      <c r="C648" s="419"/>
      <c r="D648" s="419"/>
      <c r="E648" s="419"/>
      <c r="F648" s="419"/>
      <c r="G648" s="419"/>
      <c r="H648" s="419"/>
      <c r="I648" s="419"/>
      <c r="J648" s="7"/>
    </row>
    <row r="649">
      <c r="A649" s="7"/>
      <c r="B649" s="419"/>
      <c r="C649" s="419"/>
      <c r="D649" s="419"/>
      <c r="E649" s="419"/>
      <c r="F649" s="419"/>
      <c r="G649" s="419"/>
      <c r="H649" s="419"/>
      <c r="I649" s="419"/>
      <c r="J649" s="7"/>
    </row>
    <row r="650">
      <c r="A650" s="7"/>
      <c r="B650" s="419"/>
      <c r="C650" s="419"/>
      <c r="D650" s="419"/>
      <c r="E650" s="419"/>
      <c r="F650" s="419"/>
      <c r="G650" s="419"/>
      <c r="H650" s="419"/>
      <c r="I650" s="419"/>
      <c r="J650" s="7"/>
    </row>
    <row r="651">
      <c r="A651" s="7"/>
      <c r="B651" s="419"/>
      <c r="C651" s="419"/>
      <c r="D651" s="419"/>
      <c r="E651" s="419"/>
      <c r="F651" s="419"/>
      <c r="G651" s="419"/>
      <c r="H651" s="419"/>
      <c r="I651" s="419"/>
      <c r="J651" s="7"/>
    </row>
    <row r="652">
      <c r="A652" s="7"/>
      <c r="B652" s="419"/>
      <c r="C652" s="419"/>
      <c r="D652" s="419"/>
      <c r="E652" s="419"/>
      <c r="F652" s="419"/>
      <c r="G652" s="419"/>
      <c r="H652" s="419"/>
      <c r="I652" s="419"/>
      <c r="J652" s="7"/>
    </row>
    <row r="653">
      <c r="A653" s="7"/>
      <c r="B653" s="419"/>
      <c r="C653" s="419"/>
      <c r="D653" s="419"/>
      <c r="E653" s="419"/>
      <c r="F653" s="419"/>
      <c r="G653" s="419"/>
      <c r="H653" s="419"/>
      <c r="I653" s="419"/>
      <c r="J653" s="7"/>
    </row>
    <row r="654">
      <c r="A654" s="7"/>
      <c r="B654" s="419"/>
      <c r="C654" s="419"/>
      <c r="D654" s="419"/>
      <c r="E654" s="419"/>
      <c r="F654" s="419"/>
      <c r="G654" s="419"/>
      <c r="H654" s="419"/>
      <c r="I654" s="419"/>
      <c r="J654" s="7"/>
    </row>
    <row r="655">
      <c r="A655" s="7"/>
      <c r="B655" s="419"/>
      <c r="C655" s="419"/>
      <c r="D655" s="419"/>
      <c r="E655" s="419"/>
      <c r="F655" s="419"/>
      <c r="G655" s="419"/>
      <c r="H655" s="419"/>
      <c r="I655" s="419"/>
      <c r="J655" s="7"/>
    </row>
    <row r="656">
      <c r="A656" s="7"/>
      <c r="B656" s="419"/>
      <c r="C656" s="419"/>
      <c r="D656" s="419"/>
      <c r="E656" s="419"/>
      <c r="F656" s="419"/>
      <c r="G656" s="419"/>
      <c r="H656" s="419"/>
      <c r="I656" s="419"/>
      <c r="J656" s="7"/>
    </row>
    <row r="657">
      <c r="A657" s="7"/>
      <c r="B657" s="419"/>
      <c r="C657" s="419"/>
      <c r="D657" s="419"/>
      <c r="E657" s="419"/>
      <c r="F657" s="419"/>
      <c r="G657" s="419"/>
      <c r="H657" s="419"/>
      <c r="I657" s="419"/>
      <c r="J657" s="7"/>
    </row>
    <row r="658">
      <c r="A658" s="7"/>
      <c r="B658" s="419"/>
      <c r="C658" s="419"/>
      <c r="D658" s="419"/>
      <c r="E658" s="419"/>
      <c r="F658" s="419"/>
      <c r="G658" s="419"/>
      <c r="H658" s="419"/>
      <c r="I658" s="419"/>
      <c r="J658" s="7"/>
    </row>
    <row r="659">
      <c r="A659" s="7"/>
      <c r="B659" s="419"/>
      <c r="C659" s="419"/>
      <c r="D659" s="419"/>
      <c r="E659" s="419"/>
      <c r="F659" s="419"/>
      <c r="G659" s="419"/>
      <c r="H659" s="419"/>
      <c r="I659" s="419"/>
      <c r="J659" s="7"/>
    </row>
    <row r="660">
      <c r="A660" s="7"/>
      <c r="B660" s="419"/>
      <c r="C660" s="419"/>
      <c r="D660" s="419"/>
      <c r="E660" s="419"/>
      <c r="F660" s="419"/>
      <c r="G660" s="419"/>
      <c r="H660" s="419"/>
      <c r="I660" s="419"/>
      <c r="J660" s="7"/>
    </row>
    <row r="661">
      <c r="A661" s="7"/>
      <c r="B661" s="419"/>
      <c r="C661" s="419"/>
      <c r="D661" s="419"/>
      <c r="E661" s="419"/>
      <c r="F661" s="419"/>
      <c r="G661" s="419"/>
      <c r="H661" s="419"/>
      <c r="I661" s="419"/>
      <c r="J661" s="7"/>
    </row>
    <row r="662">
      <c r="A662" s="7"/>
      <c r="B662" s="419"/>
      <c r="C662" s="419"/>
      <c r="D662" s="419"/>
      <c r="E662" s="419"/>
      <c r="F662" s="419"/>
      <c r="G662" s="419"/>
      <c r="H662" s="419"/>
      <c r="I662" s="419"/>
      <c r="J662" s="7"/>
    </row>
    <row r="663">
      <c r="A663" s="7"/>
      <c r="B663" s="419"/>
      <c r="C663" s="419"/>
      <c r="D663" s="419"/>
      <c r="E663" s="419"/>
      <c r="F663" s="419"/>
      <c r="G663" s="419"/>
      <c r="H663" s="419"/>
      <c r="I663" s="419"/>
      <c r="J663" s="7"/>
    </row>
    <row r="664">
      <c r="A664" s="7"/>
      <c r="B664" s="419"/>
      <c r="C664" s="419"/>
      <c r="D664" s="419"/>
      <c r="E664" s="419"/>
      <c r="F664" s="419"/>
      <c r="G664" s="419"/>
      <c r="H664" s="419"/>
      <c r="I664" s="419"/>
      <c r="J664" s="7"/>
    </row>
    <row r="665">
      <c r="A665" s="7"/>
      <c r="B665" s="419"/>
      <c r="C665" s="419"/>
      <c r="D665" s="419"/>
      <c r="E665" s="419"/>
      <c r="F665" s="419"/>
      <c r="G665" s="419"/>
      <c r="H665" s="419"/>
      <c r="I665" s="419"/>
      <c r="J665" s="7"/>
    </row>
    <row r="666">
      <c r="A666" s="7"/>
      <c r="B666" s="419"/>
      <c r="C666" s="419"/>
      <c r="D666" s="419"/>
      <c r="E666" s="419"/>
      <c r="F666" s="419"/>
      <c r="G666" s="419"/>
      <c r="H666" s="419"/>
      <c r="I666" s="419"/>
      <c r="J666" s="7"/>
    </row>
    <row r="667">
      <c r="A667" s="7"/>
      <c r="B667" s="419"/>
      <c r="C667" s="419"/>
      <c r="D667" s="419"/>
      <c r="E667" s="419"/>
      <c r="F667" s="419"/>
      <c r="G667" s="419"/>
      <c r="H667" s="419"/>
      <c r="I667" s="419"/>
      <c r="J667" s="7"/>
    </row>
    <row r="668">
      <c r="A668" s="7"/>
      <c r="B668" s="419"/>
      <c r="C668" s="419"/>
      <c r="D668" s="419"/>
      <c r="E668" s="419"/>
      <c r="F668" s="419"/>
      <c r="G668" s="419"/>
      <c r="H668" s="419"/>
      <c r="I668" s="419"/>
      <c r="J668" s="7"/>
    </row>
    <row r="669">
      <c r="A669" s="7"/>
      <c r="B669" s="419"/>
      <c r="C669" s="419"/>
      <c r="D669" s="419"/>
      <c r="E669" s="419"/>
      <c r="F669" s="419"/>
      <c r="G669" s="419"/>
      <c r="H669" s="419"/>
      <c r="I669" s="419"/>
      <c r="J669" s="7"/>
    </row>
    <row r="670">
      <c r="A670" s="7"/>
      <c r="B670" s="419"/>
      <c r="C670" s="419"/>
      <c r="D670" s="419"/>
      <c r="E670" s="419"/>
      <c r="F670" s="419"/>
      <c r="G670" s="419"/>
      <c r="H670" s="419"/>
      <c r="I670" s="419"/>
      <c r="J670" s="7"/>
    </row>
    <row r="671">
      <c r="A671" s="7"/>
      <c r="B671" s="419"/>
      <c r="C671" s="419"/>
      <c r="D671" s="419"/>
      <c r="E671" s="419"/>
      <c r="F671" s="419"/>
      <c r="G671" s="419"/>
      <c r="H671" s="419"/>
      <c r="I671" s="419"/>
      <c r="J671" s="7"/>
    </row>
    <row r="672">
      <c r="A672" s="7"/>
      <c r="B672" s="419"/>
      <c r="C672" s="419"/>
      <c r="D672" s="419"/>
      <c r="E672" s="419"/>
      <c r="F672" s="419"/>
      <c r="G672" s="419"/>
      <c r="H672" s="419"/>
      <c r="I672" s="419"/>
      <c r="J672" s="7"/>
    </row>
    <row r="673">
      <c r="A673" s="7"/>
      <c r="B673" s="419"/>
      <c r="C673" s="419"/>
      <c r="D673" s="419"/>
      <c r="E673" s="419"/>
      <c r="F673" s="419"/>
      <c r="G673" s="419"/>
      <c r="H673" s="419"/>
      <c r="I673" s="419"/>
      <c r="J673" s="7"/>
    </row>
    <row r="674">
      <c r="A674" s="7"/>
      <c r="B674" s="419"/>
      <c r="C674" s="419"/>
      <c r="D674" s="419"/>
      <c r="E674" s="419"/>
      <c r="F674" s="419"/>
      <c r="G674" s="419"/>
      <c r="H674" s="419"/>
      <c r="I674" s="419"/>
      <c r="J674" s="7"/>
    </row>
    <row r="675">
      <c r="A675" s="7"/>
      <c r="B675" s="419"/>
      <c r="C675" s="419"/>
      <c r="D675" s="419"/>
      <c r="E675" s="419"/>
      <c r="F675" s="419"/>
      <c r="G675" s="419"/>
      <c r="H675" s="419"/>
      <c r="I675" s="419"/>
      <c r="J675" s="7"/>
    </row>
    <row r="676">
      <c r="A676" s="7"/>
      <c r="B676" s="419"/>
      <c r="C676" s="419"/>
      <c r="D676" s="419"/>
      <c r="E676" s="419"/>
      <c r="F676" s="419"/>
      <c r="G676" s="419"/>
      <c r="H676" s="419"/>
      <c r="I676" s="419"/>
      <c r="J676" s="7"/>
    </row>
    <row r="677">
      <c r="A677" s="7"/>
      <c r="B677" s="419"/>
      <c r="C677" s="419"/>
      <c r="D677" s="419"/>
      <c r="E677" s="419"/>
      <c r="F677" s="419"/>
      <c r="G677" s="419"/>
      <c r="H677" s="419"/>
      <c r="I677" s="419"/>
      <c r="J677" s="7"/>
    </row>
    <row r="678">
      <c r="A678" s="7"/>
      <c r="B678" s="419"/>
      <c r="C678" s="419"/>
      <c r="D678" s="419"/>
      <c r="E678" s="419"/>
      <c r="F678" s="419"/>
      <c r="G678" s="419"/>
      <c r="H678" s="419"/>
      <c r="I678" s="419"/>
      <c r="J678" s="7"/>
    </row>
    <row r="679">
      <c r="A679" s="7"/>
      <c r="B679" s="419"/>
      <c r="C679" s="419"/>
      <c r="D679" s="419"/>
      <c r="E679" s="419"/>
      <c r="F679" s="419"/>
      <c r="G679" s="419"/>
      <c r="H679" s="419"/>
      <c r="I679" s="419"/>
      <c r="J679" s="7"/>
    </row>
    <row r="680">
      <c r="A680" s="7"/>
      <c r="B680" s="419"/>
      <c r="C680" s="419"/>
      <c r="D680" s="419"/>
      <c r="E680" s="419"/>
      <c r="F680" s="419"/>
      <c r="G680" s="419"/>
      <c r="H680" s="419"/>
      <c r="I680" s="419"/>
      <c r="J680" s="7"/>
    </row>
    <row r="681">
      <c r="A681" s="7"/>
      <c r="B681" s="419"/>
      <c r="C681" s="419"/>
      <c r="D681" s="419"/>
      <c r="E681" s="419"/>
      <c r="F681" s="419"/>
      <c r="G681" s="419"/>
      <c r="H681" s="419"/>
      <c r="I681" s="419"/>
      <c r="J681" s="7"/>
    </row>
    <row r="682">
      <c r="A682" s="7"/>
      <c r="B682" s="419"/>
      <c r="C682" s="419"/>
      <c r="D682" s="419"/>
      <c r="E682" s="419"/>
      <c r="F682" s="419"/>
      <c r="G682" s="419"/>
      <c r="H682" s="419"/>
      <c r="I682" s="419"/>
      <c r="J682" s="7"/>
    </row>
    <row r="683">
      <c r="A683" s="7"/>
      <c r="B683" s="419"/>
      <c r="C683" s="419"/>
      <c r="D683" s="419"/>
      <c r="E683" s="419"/>
      <c r="F683" s="419"/>
      <c r="G683" s="419"/>
      <c r="H683" s="419"/>
      <c r="I683" s="419"/>
      <c r="J683" s="7"/>
    </row>
    <row r="684">
      <c r="A684" s="7"/>
      <c r="B684" s="419"/>
      <c r="C684" s="419"/>
      <c r="D684" s="419"/>
      <c r="E684" s="419"/>
      <c r="F684" s="419"/>
      <c r="G684" s="419"/>
      <c r="H684" s="419"/>
      <c r="I684" s="419"/>
      <c r="J684" s="7"/>
    </row>
    <row r="685">
      <c r="A685" s="7"/>
      <c r="B685" s="419"/>
      <c r="C685" s="419"/>
      <c r="D685" s="419"/>
      <c r="E685" s="419"/>
      <c r="F685" s="419"/>
      <c r="G685" s="419"/>
      <c r="H685" s="419"/>
      <c r="I685" s="419"/>
      <c r="J685" s="7"/>
    </row>
    <row r="686">
      <c r="A686" s="7"/>
      <c r="B686" s="419"/>
      <c r="C686" s="419"/>
      <c r="D686" s="419"/>
      <c r="E686" s="419"/>
      <c r="F686" s="419"/>
      <c r="G686" s="419"/>
      <c r="H686" s="419"/>
      <c r="I686" s="419"/>
      <c r="J686" s="7"/>
    </row>
    <row r="687">
      <c r="A687" s="7"/>
      <c r="B687" s="419"/>
      <c r="C687" s="419"/>
      <c r="D687" s="419"/>
      <c r="E687" s="419"/>
      <c r="F687" s="419"/>
      <c r="G687" s="419"/>
      <c r="H687" s="419"/>
      <c r="I687" s="419"/>
      <c r="J687" s="7"/>
    </row>
    <row r="688">
      <c r="A688" s="7"/>
      <c r="B688" s="419"/>
      <c r="C688" s="419"/>
      <c r="D688" s="419"/>
      <c r="E688" s="419"/>
      <c r="F688" s="419"/>
      <c r="G688" s="419"/>
      <c r="H688" s="419"/>
      <c r="I688" s="419"/>
      <c r="J688" s="7"/>
    </row>
    <row r="689">
      <c r="A689" s="7"/>
      <c r="B689" s="419"/>
      <c r="C689" s="419"/>
      <c r="D689" s="419"/>
      <c r="E689" s="419"/>
      <c r="F689" s="419"/>
      <c r="G689" s="419"/>
      <c r="H689" s="419"/>
      <c r="I689" s="419"/>
      <c r="J689" s="7"/>
    </row>
    <row r="690">
      <c r="A690" s="7"/>
      <c r="B690" s="419"/>
      <c r="C690" s="419"/>
      <c r="D690" s="419"/>
      <c r="E690" s="419"/>
      <c r="F690" s="419"/>
      <c r="G690" s="419"/>
      <c r="H690" s="419"/>
      <c r="I690" s="419"/>
      <c r="J690" s="7"/>
    </row>
    <row r="691">
      <c r="A691" s="7"/>
      <c r="B691" s="419"/>
      <c r="C691" s="419"/>
      <c r="D691" s="419"/>
      <c r="E691" s="419"/>
      <c r="F691" s="419"/>
      <c r="G691" s="419"/>
      <c r="H691" s="419"/>
      <c r="I691" s="419"/>
      <c r="J691" s="7"/>
    </row>
    <row r="692">
      <c r="A692" s="7"/>
      <c r="B692" s="419"/>
      <c r="C692" s="419"/>
      <c r="D692" s="419"/>
      <c r="E692" s="419"/>
      <c r="F692" s="419"/>
      <c r="G692" s="419"/>
      <c r="H692" s="419"/>
      <c r="I692" s="419"/>
      <c r="J692" s="7"/>
    </row>
    <row r="693">
      <c r="A693" s="7"/>
      <c r="B693" s="419"/>
      <c r="C693" s="419"/>
      <c r="D693" s="419"/>
      <c r="E693" s="419"/>
      <c r="F693" s="419"/>
      <c r="G693" s="419"/>
      <c r="H693" s="419"/>
      <c r="I693" s="419"/>
      <c r="J693" s="7"/>
    </row>
    <row r="694">
      <c r="A694" s="7"/>
      <c r="B694" s="419"/>
      <c r="C694" s="419"/>
      <c r="D694" s="419"/>
      <c r="E694" s="419"/>
      <c r="F694" s="419"/>
      <c r="G694" s="419"/>
      <c r="H694" s="419"/>
      <c r="I694" s="419"/>
      <c r="J694" s="7"/>
    </row>
    <row r="695">
      <c r="A695" s="7"/>
      <c r="B695" s="419"/>
      <c r="C695" s="419"/>
      <c r="D695" s="419"/>
      <c r="E695" s="419"/>
      <c r="F695" s="419"/>
      <c r="G695" s="419"/>
      <c r="H695" s="419"/>
      <c r="I695" s="419"/>
      <c r="J695" s="7"/>
    </row>
    <row r="696">
      <c r="A696" s="7"/>
      <c r="B696" s="419"/>
      <c r="C696" s="419"/>
      <c r="D696" s="419"/>
      <c r="E696" s="419"/>
      <c r="F696" s="419"/>
      <c r="G696" s="419"/>
      <c r="H696" s="419"/>
      <c r="I696" s="419"/>
      <c r="J696" s="7"/>
    </row>
    <row r="697">
      <c r="A697" s="7"/>
      <c r="B697" s="419"/>
      <c r="C697" s="419"/>
      <c r="D697" s="419"/>
      <c r="E697" s="419"/>
      <c r="F697" s="419"/>
      <c r="G697" s="419"/>
      <c r="H697" s="419"/>
      <c r="I697" s="419"/>
      <c r="J697" s="7"/>
    </row>
    <row r="698">
      <c r="A698" s="7"/>
      <c r="B698" s="419"/>
      <c r="C698" s="419"/>
      <c r="D698" s="419"/>
      <c r="E698" s="419"/>
      <c r="F698" s="419"/>
      <c r="G698" s="419"/>
      <c r="H698" s="419"/>
      <c r="I698" s="419"/>
      <c r="J698" s="7"/>
    </row>
    <row r="699">
      <c r="A699" s="7"/>
      <c r="B699" s="419"/>
      <c r="C699" s="419"/>
      <c r="D699" s="419"/>
      <c r="E699" s="419"/>
      <c r="F699" s="419"/>
      <c r="G699" s="419"/>
      <c r="H699" s="419"/>
      <c r="I699" s="419"/>
      <c r="J699" s="7"/>
    </row>
    <row r="700">
      <c r="A700" s="7"/>
      <c r="B700" s="419"/>
      <c r="C700" s="419"/>
      <c r="D700" s="419"/>
      <c r="E700" s="419"/>
      <c r="F700" s="419"/>
      <c r="G700" s="419"/>
      <c r="H700" s="419"/>
      <c r="I700" s="419"/>
      <c r="J700" s="7"/>
    </row>
    <row r="701">
      <c r="A701" s="7"/>
      <c r="B701" s="419"/>
      <c r="C701" s="419"/>
      <c r="D701" s="419"/>
      <c r="E701" s="419"/>
      <c r="F701" s="419"/>
      <c r="G701" s="419"/>
      <c r="H701" s="419"/>
      <c r="I701" s="419"/>
      <c r="J701" s="7"/>
    </row>
    <row r="702">
      <c r="A702" s="7"/>
      <c r="B702" s="419"/>
      <c r="C702" s="419"/>
      <c r="D702" s="419"/>
      <c r="E702" s="419"/>
      <c r="F702" s="419"/>
      <c r="G702" s="419"/>
      <c r="H702" s="419"/>
      <c r="I702" s="419"/>
      <c r="J702" s="7"/>
    </row>
    <row r="703">
      <c r="A703" s="7"/>
      <c r="B703" s="419"/>
      <c r="C703" s="419"/>
      <c r="D703" s="419"/>
      <c r="E703" s="419"/>
      <c r="F703" s="419"/>
      <c r="G703" s="419"/>
      <c r="H703" s="419"/>
      <c r="I703" s="419"/>
      <c r="J703" s="7"/>
    </row>
    <row r="704">
      <c r="A704" s="7"/>
      <c r="B704" s="419"/>
      <c r="C704" s="419"/>
      <c r="D704" s="419"/>
      <c r="E704" s="419"/>
      <c r="F704" s="419"/>
      <c r="G704" s="419"/>
      <c r="H704" s="419"/>
      <c r="I704" s="419"/>
      <c r="J704" s="7"/>
    </row>
    <row r="705">
      <c r="A705" s="7"/>
      <c r="B705" s="419"/>
      <c r="C705" s="419"/>
      <c r="D705" s="419"/>
      <c r="E705" s="419"/>
      <c r="F705" s="419"/>
      <c r="G705" s="419"/>
      <c r="H705" s="419"/>
      <c r="I705" s="419"/>
      <c r="J705" s="7"/>
    </row>
    <row r="706">
      <c r="A706" s="7"/>
      <c r="B706" s="419"/>
      <c r="C706" s="419"/>
      <c r="D706" s="419"/>
      <c r="E706" s="419"/>
      <c r="F706" s="419"/>
      <c r="G706" s="419"/>
      <c r="H706" s="419"/>
      <c r="I706" s="419"/>
      <c r="J706" s="7"/>
    </row>
    <row r="707">
      <c r="A707" s="7"/>
      <c r="B707" s="419"/>
      <c r="C707" s="419"/>
      <c r="D707" s="419"/>
      <c r="E707" s="419"/>
      <c r="F707" s="419"/>
      <c r="G707" s="419"/>
      <c r="H707" s="419"/>
      <c r="I707" s="419"/>
      <c r="J707" s="7"/>
    </row>
    <row r="708">
      <c r="A708" s="7"/>
      <c r="B708" s="419"/>
      <c r="C708" s="419"/>
      <c r="D708" s="419"/>
      <c r="E708" s="419"/>
      <c r="F708" s="419"/>
      <c r="G708" s="419"/>
      <c r="H708" s="419"/>
      <c r="I708" s="419"/>
      <c r="J708" s="7"/>
    </row>
    <row r="709">
      <c r="A709" s="7"/>
      <c r="B709" s="419"/>
      <c r="C709" s="419"/>
      <c r="D709" s="419"/>
      <c r="E709" s="419"/>
      <c r="F709" s="419"/>
      <c r="G709" s="419"/>
      <c r="H709" s="419"/>
      <c r="I709" s="419"/>
      <c r="J709" s="7"/>
    </row>
    <row r="710">
      <c r="A710" s="7"/>
      <c r="B710" s="419"/>
      <c r="C710" s="419"/>
      <c r="D710" s="419"/>
      <c r="E710" s="419"/>
      <c r="F710" s="419"/>
      <c r="G710" s="419"/>
      <c r="H710" s="419"/>
      <c r="I710" s="419"/>
      <c r="J710" s="7"/>
    </row>
    <row r="711">
      <c r="A711" s="7"/>
      <c r="B711" s="419"/>
      <c r="C711" s="419"/>
      <c r="D711" s="419"/>
      <c r="E711" s="419"/>
      <c r="F711" s="419"/>
      <c r="G711" s="419"/>
      <c r="H711" s="419"/>
      <c r="I711" s="419"/>
      <c r="J711" s="7"/>
    </row>
    <row r="712">
      <c r="A712" s="7"/>
      <c r="B712" s="419"/>
      <c r="C712" s="419"/>
      <c r="D712" s="419"/>
      <c r="E712" s="419"/>
      <c r="F712" s="419"/>
      <c r="G712" s="419"/>
      <c r="H712" s="419"/>
      <c r="I712" s="419"/>
      <c r="J712" s="7"/>
    </row>
    <row r="713">
      <c r="A713" s="7"/>
      <c r="B713" s="419"/>
      <c r="C713" s="419"/>
      <c r="D713" s="419"/>
      <c r="E713" s="419"/>
      <c r="F713" s="419"/>
      <c r="G713" s="419"/>
      <c r="H713" s="419"/>
      <c r="I713" s="419"/>
      <c r="J713" s="7"/>
    </row>
    <row r="714">
      <c r="A714" s="7"/>
      <c r="B714" s="419"/>
      <c r="C714" s="419"/>
      <c r="D714" s="419"/>
      <c r="E714" s="419"/>
      <c r="F714" s="419"/>
      <c r="G714" s="419"/>
      <c r="H714" s="419"/>
      <c r="I714" s="419"/>
      <c r="J714" s="7"/>
    </row>
    <row r="715">
      <c r="A715" s="7"/>
      <c r="B715" s="419"/>
      <c r="C715" s="419"/>
      <c r="D715" s="419"/>
      <c r="E715" s="419"/>
      <c r="F715" s="419"/>
      <c r="G715" s="419"/>
      <c r="H715" s="419"/>
      <c r="I715" s="419"/>
      <c r="J715" s="7"/>
    </row>
    <row r="716">
      <c r="A716" s="7"/>
      <c r="B716" s="419"/>
      <c r="C716" s="419"/>
      <c r="D716" s="419"/>
      <c r="E716" s="419"/>
      <c r="F716" s="419"/>
      <c r="G716" s="419"/>
      <c r="H716" s="419"/>
      <c r="I716" s="419"/>
      <c r="J716" s="7"/>
    </row>
    <row r="717">
      <c r="A717" s="7"/>
      <c r="B717" s="419"/>
      <c r="C717" s="419"/>
      <c r="D717" s="419"/>
      <c r="E717" s="419"/>
      <c r="F717" s="419"/>
      <c r="G717" s="419"/>
      <c r="H717" s="419"/>
      <c r="I717" s="419"/>
      <c r="J717" s="7"/>
    </row>
    <row r="718">
      <c r="A718" s="7"/>
      <c r="B718" s="419"/>
      <c r="C718" s="419"/>
      <c r="D718" s="419"/>
      <c r="E718" s="419"/>
      <c r="F718" s="419"/>
      <c r="G718" s="419"/>
      <c r="H718" s="419"/>
      <c r="I718" s="419"/>
      <c r="J718" s="7"/>
    </row>
    <row r="719">
      <c r="A719" s="7"/>
      <c r="B719" s="419"/>
      <c r="C719" s="419"/>
      <c r="D719" s="419"/>
      <c r="E719" s="419"/>
      <c r="F719" s="419"/>
      <c r="G719" s="419"/>
      <c r="H719" s="419"/>
      <c r="I719" s="419"/>
      <c r="J719" s="7"/>
    </row>
    <row r="720">
      <c r="A720" s="7"/>
      <c r="B720" s="419"/>
      <c r="C720" s="419"/>
      <c r="D720" s="419"/>
      <c r="E720" s="419"/>
      <c r="F720" s="419"/>
      <c r="G720" s="419"/>
      <c r="H720" s="419"/>
      <c r="I720" s="419"/>
      <c r="J720" s="7"/>
    </row>
    <row r="721">
      <c r="A721" s="7"/>
      <c r="B721" s="419"/>
      <c r="C721" s="419"/>
      <c r="D721" s="419"/>
      <c r="E721" s="419"/>
      <c r="F721" s="419"/>
      <c r="G721" s="419"/>
      <c r="H721" s="419"/>
      <c r="I721" s="419"/>
      <c r="J721" s="7"/>
    </row>
    <row r="722">
      <c r="A722" s="7"/>
      <c r="B722" s="419"/>
      <c r="C722" s="419"/>
      <c r="D722" s="419"/>
      <c r="E722" s="419"/>
      <c r="F722" s="419"/>
      <c r="G722" s="419"/>
      <c r="H722" s="419"/>
      <c r="I722" s="419"/>
      <c r="J722" s="7"/>
    </row>
    <row r="723">
      <c r="A723" s="7"/>
      <c r="B723" s="419"/>
      <c r="C723" s="419"/>
      <c r="D723" s="419"/>
      <c r="E723" s="419"/>
      <c r="F723" s="419"/>
      <c r="G723" s="419"/>
      <c r="H723" s="419"/>
      <c r="I723" s="419"/>
      <c r="J723" s="7"/>
    </row>
    <row r="724">
      <c r="A724" s="7"/>
      <c r="B724" s="419"/>
      <c r="C724" s="419"/>
      <c r="D724" s="419"/>
      <c r="E724" s="419"/>
      <c r="F724" s="419"/>
      <c r="G724" s="419"/>
      <c r="H724" s="419"/>
      <c r="I724" s="419"/>
      <c r="J724" s="7"/>
    </row>
    <row r="725">
      <c r="A725" s="7"/>
      <c r="B725" s="419"/>
      <c r="C725" s="419"/>
      <c r="D725" s="419"/>
      <c r="E725" s="419"/>
      <c r="F725" s="419"/>
      <c r="G725" s="419"/>
      <c r="H725" s="419"/>
      <c r="I725" s="419"/>
      <c r="J725" s="7"/>
    </row>
    <row r="726">
      <c r="A726" s="7"/>
      <c r="B726" s="419"/>
      <c r="C726" s="419"/>
      <c r="D726" s="419"/>
      <c r="E726" s="419"/>
      <c r="F726" s="419"/>
      <c r="G726" s="419"/>
      <c r="H726" s="419"/>
      <c r="I726" s="419"/>
      <c r="J726" s="7"/>
    </row>
    <row r="727">
      <c r="A727" s="7"/>
      <c r="B727" s="419"/>
      <c r="C727" s="419"/>
      <c r="D727" s="419"/>
      <c r="E727" s="419"/>
      <c r="F727" s="419"/>
      <c r="G727" s="419"/>
      <c r="H727" s="419"/>
      <c r="I727" s="419"/>
      <c r="J727" s="7"/>
    </row>
    <row r="728">
      <c r="A728" s="7"/>
      <c r="B728" s="419"/>
      <c r="C728" s="419"/>
      <c r="D728" s="419"/>
      <c r="E728" s="419"/>
      <c r="F728" s="419"/>
      <c r="G728" s="419"/>
      <c r="H728" s="419"/>
      <c r="I728" s="419"/>
      <c r="J728" s="7"/>
    </row>
    <row r="729">
      <c r="A729" s="7"/>
      <c r="B729" s="419"/>
      <c r="C729" s="419"/>
      <c r="D729" s="419"/>
      <c r="E729" s="419"/>
      <c r="F729" s="419"/>
      <c r="G729" s="419"/>
      <c r="H729" s="419"/>
      <c r="I729" s="419"/>
      <c r="J729" s="7"/>
    </row>
    <row r="730">
      <c r="A730" s="7"/>
      <c r="B730" s="419"/>
      <c r="C730" s="419"/>
      <c r="D730" s="419"/>
      <c r="E730" s="419"/>
      <c r="F730" s="419"/>
      <c r="G730" s="419"/>
      <c r="H730" s="419"/>
      <c r="I730" s="419"/>
      <c r="J730" s="7"/>
    </row>
    <row r="731">
      <c r="A731" s="7"/>
      <c r="B731" s="419"/>
      <c r="C731" s="419"/>
      <c r="D731" s="419"/>
      <c r="E731" s="419"/>
      <c r="F731" s="419"/>
      <c r="G731" s="419"/>
      <c r="H731" s="419"/>
      <c r="I731" s="419"/>
      <c r="J731" s="7"/>
    </row>
    <row r="732">
      <c r="A732" s="7"/>
      <c r="B732" s="419"/>
      <c r="C732" s="419"/>
      <c r="D732" s="419"/>
      <c r="E732" s="419"/>
      <c r="F732" s="419"/>
      <c r="G732" s="419"/>
      <c r="H732" s="419"/>
      <c r="I732" s="419"/>
      <c r="J732" s="7"/>
    </row>
    <row r="733">
      <c r="A733" s="7"/>
      <c r="B733" s="419"/>
      <c r="C733" s="419"/>
      <c r="D733" s="419"/>
      <c r="E733" s="419"/>
      <c r="F733" s="419"/>
      <c r="G733" s="419"/>
      <c r="H733" s="419"/>
      <c r="I733" s="419"/>
      <c r="J733" s="7"/>
    </row>
    <row r="734">
      <c r="A734" s="7"/>
      <c r="B734" s="419"/>
      <c r="C734" s="419"/>
      <c r="D734" s="419"/>
      <c r="E734" s="419"/>
      <c r="F734" s="419"/>
      <c r="G734" s="419"/>
      <c r="H734" s="419"/>
      <c r="I734" s="419"/>
      <c r="J734" s="7"/>
    </row>
    <row r="735">
      <c r="A735" s="7"/>
      <c r="B735" s="419"/>
      <c r="C735" s="419"/>
      <c r="D735" s="419"/>
      <c r="E735" s="419"/>
      <c r="F735" s="419"/>
      <c r="G735" s="419"/>
      <c r="H735" s="419"/>
      <c r="I735" s="419"/>
      <c r="J735" s="7"/>
    </row>
    <row r="736">
      <c r="A736" s="7"/>
      <c r="B736" s="419"/>
      <c r="C736" s="419"/>
      <c r="D736" s="419"/>
      <c r="E736" s="419"/>
      <c r="F736" s="419"/>
      <c r="G736" s="419"/>
      <c r="H736" s="419"/>
      <c r="I736" s="419"/>
      <c r="J736" s="7"/>
    </row>
    <row r="737">
      <c r="A737" s="7"/>
      <c r="B737" s="419"/>
      <c r="C737" s="419"/>
      <c r="D737" s="419"/>
      <c r="E737" s="419"/>
      <c r="F737" s="419"/>
      <c r="G737" s="419"/>
      <c r="H737" s="419"/>
      <c r="I737" s="419"/>
      <c r="J737" s="7"/>
    </row>
    <row r="738">
      <c r="A738" s="7"/>
      <c r="B738" s="419"/>
      <c r="C738" s="419"/>
      <c r="D738" s="419"/>
      <c r="E738" s="419"/>
      <c r="F738" s="419"/>
      <c r="G738" s="419"/>
      <c r="H738" s="419"/>
      <c r="I738" s="419"/>
      <c r="J738" s="7"/>
    </row>
    <row r="739">
      <c r="A739" s="7"/>
      <c r="B739" s="419"/>
      <c r="C739" s="419"/>
      <c r="D739" s="419"/>
      <c r="E739" s="419"/>
      <c r="F739" s="419"/>
      <c r="G739" s="419"/>
      <c r="H739" s="419"/>
      <c r="I739" s="419"/>
      <c r="J739" s="7"/>
    </row>
    <row r="740">
      <c r="A740" s="7"/>
      <c r="B740" s="419"/>
      <c r="C740" s="419"/>
      <c r="D740" s="419"/>
      <c r="E740" s="419"/>
      <c r="F740" s="419"/>
      <c r="G740" s="419"/>
      <c r="H740" s="419"/>
      <c r="I740" s="419"/>
      <c r="J740" s="7"/>
    </row>
    <row r="741">
      <c r="A741" s="7"/>
      <c r="B741" s="419"/>
      <c r="C741" s="419"/>
      <c r="D741" s="419"/>
      <c r="E741" s="419"/>
      <c r="F741" s="419"/>
      <c r="G741" s="419"/>
      <c r="H741" s="419"/>
      <c r="I741" s="419"/>
      <c r="J741" s="7"/>
    </row>
    <row r="742">
      <c r="A742" s="7"/>
      <c r="B742" s="419"/>
      <c r="C742" s="419"/>
      <c r="D742" s="419"/>
      <c r="E742" s="419"/>
      <c r="F742" s="419"/>
      <c r="G742" s="419"/>
      <c r="H742" s="419"/>
      <c r="I742" s="419"/>
      <c r="J742" s="7"/>
    </row>
    <row r="743">
      <c r="A743" s="7"/>
      <c r="B743" s="419"/>
      <c r="C743" s="419"/>
      <c r="D743" s="419"/>
      <c r="E743" s="419"/>
      <c r="F743" s="419"/>
      <c r="G743" s="419"/>
      <c r="H743" s="419"/>
      <c r="I743" s="419"/>
      <c r="J743" s="7"/>
    </row>
    <row r="744">
      <c r="A744" s="7"/>
      <c r="B744" s="419"/>
      <c r="C744" s="419"/>
      <c r="D744" s="419"/>
      <c r="E744" s="419"/>
      <c r="F744" s="419"/>
      <c r="G744" s="419"/>
      <c r="H744" s="419"/>
      <c r="I744" s="419"/>
      <c r="J744" s="7"/>
    </row>
    <row r="745">
      <c r="A745" s="7"/>
      <c r="B745" s="419"/>
      <c r="C745" s="419"/>
      <c r="D745" s="419"/>
      <c r="E745" s="419"/>
      <c r="F745" s="419"/>
      <c r="G745" s="419"/>
      <c r="H745" s="419"/>
      <c r="I745" s="419"/>
      <c r="J745" s="7"/>
    </row>
    <row r="746">
      <c r="A746" s="7"/>
      <c r="B746" s="419"/>
      <c r="C746" s="419"/>
      <c r="D746" s="419"/>
      <c r="E746" s="419"/>
      <c r="F746" s="419"/>
      <c r="G746" s="419"/>
      <c r="H746" s="419"/>
      <c r="I746" s="419"/>
      <c r="J746" s="7"/>
    </row>
    <row r="747">
      <c r="A747" s="7"/>
      <c r="B747" s="419"/>
      <c r="C747" s="419"/>
      <c r="D747" s="419"/>
      <c r="E747" s="419"/>
      <c r="F747" s="419"/>
      <c r="G747" s="419"/>
      <c r="H747" s="419"/>
      <c r="I747" s="419"/>
      <c r="J747" s="7"/>
    </row>
    <row r="748">
      <c r="A748" s="7"/>
      <c r="B748" s="419"/>
      <c r="C748" s="419"/>
      <c r="D748" s="419"/>
      <c r="E748" s="419"/>
      <c r="F748" s="419"/>
      <c r="G748" s="419"/>
      <c r="H748" s="419"/>
      <c r="I748" s="419"/>
      <c r="J748" s="7"/>
    </row>
    <row r="749">
      <c r="A749" s="7"/>
      <c r="B749" s="419"/>
      <c r="C749" s="419"/>
      <c r="D749" s="419"/>
      <c r="E749" s="419"/>
      <c r="F749" s="419"/>
      <c r="G749" s="419"/>
      <c r="H749" s="419"/>
      <c r="I749" s="419"/>
      <c r="J749" s="7"/>
    </row>
    <row r="750">
      <c r="A750" s="7"/>
      <c r="B750" s="419"/>
      <c r="C750" s="419"/>
      <c r="D750" s="419"/>
      <c r="E750" s="419"/>
      <c r="F750" s="419"/>
      <c r="G750" s="419"/>
      <c r="H750" s="419"/>
      <c r="I750" s="419"/>
      <c r="J750" s="7"/>
    </row>
    <row r="751">
      <c r="A751" s="7"/>
      <c r="B751" s="419"/>
      <c r="C751" s="419"/>
      <c r="D751" s="419"/>
      <c r="E751" s="419"/>
      <c r="F751" s="419"/>
      <c r="G751" s="419"/>
      <c r="H751" s="419"/>
      <c r="I751" s="419"/>
      <c r="J751" s="7"/>
    </row>
    <row r="752">
      <c r="A752" s="7"/>
      <c r="B752" s="419"/>
      <c r="C752" s="419"/>
      <c r="D752" s="419"/>
      <c r="E752" s="419"/>
      <c r="F752" s="419"/>
      <c r="G752" s="419"/>
      <c r="H752" s="419"/>
      <c r="I752" s="419"/>
      <c r="J752" s="7"/>
    </row>
    <row r="753">
      <c r="A753" s="7"/>
      <c r="B753" s="419"/>
      <c r="C753" s="419"/>
      <c r="D753" s="419"/>
      <c r="E753" s="419"/>
      <c r="F753" s="419"/>
      <c r="G753" s="419"/>
      <c r="H753" s="419"/>
      <c r="I753" s="419"/>
      <c r="J753" s="7"/>
    </row>
    <row r="754">
      <c r="A754" s="7"/>
      <c r="B754" s="419"/>
      <c r="C754" s="419"/>
      <c r="D754" s="419"/>
      <c r="E754" s="419"/>
      <c r="F754" s="419"/>
      <c r="G754" s="419"/>
      <c r="H754" s="419"/>
      <c r="I754" s="419"/>
      <c r="J754" s="7"/>
    </row>
    <row r="755">
      <c r="A755" s="7"/>
      <c r="B755" s="419"/>
      <c r="C755" s="419"/>
      <c r="D755" s="419"/>
      <c r="E755" s="419"/>
      <c r="F755" s="419"/>
      <c r="G755" s="419"/>
      <c r="H755" s="419"/>
      <c r="I755" s="419"/>
      <c r="J755" s="7"/>
    </row>
    <row r="756">
      <c r="A756" s="7"/>
      <c r="B756" s="419"/>
      <c r="C756" s="419"/>
      <c r="D756" s="419"/>
      <c r="E756" s="419"/>
      <c r="F756" s="419"/>
      <c r="G756" s="419"/>
      <c r="H756" s="419"/>
      <c r="I756" s="419"/>
      <c r="J756" s="7"/>
    </row>
    <row r="757">
      <c r="A757" s="7"/>
      <c r="B757" s="419"/>
      <c r="C757" s="419"/>
      <c r="D757" s="419"/>
      <c r="E757" s="419"/>
      <c r="F757" s="419"/>
      <c r="G757" s="419"/>
      <c r="H757" s="419"/>
      <c r="I757" s="419"/>
      <c r="J757" s="7"/>
    </row>
    <row r="758">
      <c r="A758" s="7"/>
      <c r="B758" s="419"/>
      <c r="C758" s="419"/>
      <c r="D758" s="419"/>
      <c r="E758" s="419"/>
      <c r="F758" s="419"/>
      <c r="G758" s="419"/>
      <c r="H758" s="419"/>
      <c r="I758" s="419"/>
      <c r="J758" s="7"/>
    </row>
    <row r="759">
      <c r="A759" s="7"/>
      <c r="B759" s="419"/>
      <c r="C759" s="419"/>
      <c r="D759" s="419"/>
      <c r="E759" s="419"/>
      <c r="F759" s="419"/>
      <c r="G759" s="419"/>
      <c r="H759" s="419"/>
      <c r="I759" s="419"/>
      <c r="J759" s="7"/>
    </row>
    <row r="760">
      <c r="A760" s="7"/>
      <c r="B760" s="419"/>
      <c r="C760" s="419"/>
      <c r="D760" s="419"/>
      <c r="E760" s="419"/>
      <c r="F760" s="419"/>
      <c r="G760" s="419"/>
      <c r="H760" s="419"/>
      <c r="I760" s="419"/>
      <c r="J760" s="7"/>
    </row>
    <row r="761">
      <c r="A761" s="7"/>
      <c r="B761" s="419"/>
      <c r="C761" s="419"/>
      <c r="D761" s="419"/>
      <c r="E761" s="419"/>
      <c r="F761" s="419"/>
      <c r="G761" s="419"/>
      <c r="H761" s="419"/>
      <c r="I761" s="419"/>
      <c r="J761" s="7"/>
    </row>
    <row r="762">
      <c r="A762" s="7"/>
      <c r="B762" s="419"/>
      <c r="C762" s="419"/>
      <c r="D762" s="419"/>
      <c r="E762" s="419"/>
      <c r="F762" s="419"/>
      <c r="G762" s="419"/>
      <c r="H762" s="419"/>
      <c r="I762" s="419"/>
      <c r="J762" s="7"/>
    </row>
    <row r="763">
      <c r="A763" s="7"/>
      <c r="B763" s="419"/>
      <c r="C763" s="419"/>
      <c r="D763" s="419"/>
      <c r="E763" s="419"/>
      <c r="F763" s="419"/>
      <c r="G763" s="419"/>
      <c r="H763" s="419"/>
      <c r="I763" s="419"/>
      <c r="J763" s="7"/>
    </row>
    <row r="764">
      <c r="A764" s="7"/>
      <c r="B764" s="419"/>
      <c r="C764" s="419"/>
      <c r="D764" s="419"/>
      <c r="E764" s="419"/>
      <c r="F764" s="419"/>
      <c r="G764" s="419"/>
      <c r="H764" s="419"/>
      <c r="I764" s="419"/>
      <c r="J764" s="7"/>
    </row>
    <row r="765">
      <c r="A765" s="7"/>
      <c r="B765" s="419"/>
      <c r="C765" s="419"/>
      <c r="D765" s="419"/>
      <c r="E765" s="419"/>
      <c r="F765" s="419"/>
      <c r="G765" s="419"/>
      <c r="H765" s="419"/>
      <c r="I765" s="419"/>
      <c r="J765" s="7"/>
    </row>
    <row r="766">
      <c r="A766" s="7"/>
      <c r="B766" s="419"/>
      <c r="C766" s="419"/>
      <c r="D766" s="419"/>
      <c r="E766" s="419"/>
      <c r="F766" s="419"/>
      <c r="G766" s="419"/>
      <c r="H766" s="419"/>
      <c r="I766" s="419"/>
      <c r="J766" s="7"/>
    </row>
    <row r="767">
      <c r="A767" s="7"/>
      <c r="B767" s="419"/>
      <c r="C767" s="419"/>
      <c r="D767" s="419"/>
      <c r="E767" s="419"/>
      <c r="F767" s="419"/>
      <c r="G767" s="419"/>
      <c r="H767" s="419"/>
      <c r="I767" s="419"/>
      <c r="J767" s="7"/>
    </row>
    <row r="768">
      <c r="A768" s="7"/>
      <c r="B768" s="419"/>
      <c r="C768" s="419"/>
      <c r="D768" s="419"/>
      <c r="E768" s="419"/>
      <c r="F768" s="419"/>
      <c r="G768" s="419"/>
      <c r="H768" s="419"/>
      <c r="I768" s="419"/>
      <c r="J768" s="7"/>
    </row>
    <row r="769">
      <c r="A769" s="7"/>
      <c r="B769" s="419"/>
      <c r="C769" s="419"/>
      <c r="D769" s="419"/>
      <c r="E769" s="419"/>
      <c r="F769" s="419"/>
      <c r="G769" s="419"/>
      <c r="H769" s="419"/>
      <c r="I769" s="419"/>
      <c r="J769" s="7"/>
    </row>
    <row r="770">
      <c r="A770" s="7"/>
      <c r="B770" s="419"/>
      <c r="C770" s="419"/>
      <c r="D770" s="419"/>
      <c r="E770" s="419"/>
      <c r="F770" s="419"/>
      <c r="G770" s="419"/>
      <c r="H770" s="419"/>
      <c r="I770" s="419"/>
      <c r="J770" s="7"/>
    </row>
    <row r="771">
      <c r="A771" s="7"/>
      <c r="B771" s="419"/>
      <c r="C771" s="419"/>
      <c r="D771" s="419"/>
      <c r="E771" s="419"/>
      <c r="F771" s="419"/>
      <c r="G771" s="419"/>
      <c r="H771" s="419"/>
      <c r="I771" s="419"/>
      <c r="J771" s="7"/>
    </row>
    <row r="772">
      <c r="A772" s="7"/>
      <c r="B772" s="419"/>
      <c r="C772" s="419"/>
      <c r="D772" s="419"/>
      <c r="E772" s="419"/>
      <c r="F772" s="419"/>
      <c r="G772" s="419"/>
      <c r="H772" s="419"/>
      <c r="I772" s="419"/>
      <c r="J772" s="7"/>
    </row>
    <row r="773">
      <c r="A773" s="7"/>
      <c r="B773" s="419"/>
      <c r="C773" s="419"/>
      <c r="D773" s="419"/>
      <c r="E773" s="419"/>
      <c r="F773" s="419"/>
      <c r="G773" s="419"/>
      <c r="H773" s="419"/>
      <c r="I773" s="419"/>
      <c r="J773" s="7"/>
    </row>
    <row r="774">
      <c r="A774" s="7"/>
      <c r="B774" s="419"/>
      <c r="C774" s="419"/>
      <c r="D774" s="419"/>
      <c r="E774" s="419"/>
      <c r="F774" s="419"/>
      <c r="G774" s="419"/>
      <c r="H774" s="419"/>
      <c r="I774" s="419"/>
      <c r="J774" s="7"/>
    </row>
    <row r="775">
      <c r="A775" s="7"/>
      <c r="B775" s="419"/>
      <c r="C775" s="419"/>
      <c r="D775" s="419"/>
      <c r="E775" s="419"/>
      <c r="F775" s="419"/>
      <c r="G775" s="419"/>
      <c r="H775" s="419"/>
      <c r="I775" s="419"/>
      <c r="J775" s="7"/>
    </row>
    <row r="776">
      <c r="A776" s="7"/>
      <c r="B776" s="419"/>
      <c r="C776" s="419"/>
      <c r="D776" s="419"/>
      <c r="E776" s="419"/>
      <c r="F776" s="419"/>
      <c r="G776" s="419"/>
      <c r="H776" s="419"/>
      <c r="I776" s="419"/>
      <c r="J776" s="7"/>
    </row>
    <row r="777">
      <c r="A777" s="7"/>
      <c r="B777" s="419"/>
      <c r="C777" s="419"/>
      <c r="D777" s="419"/>
      <c r="E777" s="419"/>
      <c r="F777" s="419"/>
      <c r="G777" s="419"/>
      <c r="H777" s="419"/>
      <c r="I777" s="419"/>
      <c r="J777" s="7"/>
    </row>
    <row r="778">
      <c r="A778" s="7"/>
      <c r="B778" s="419"/>
      <c r="C778" s="419"/>
      <c r="D778" s="419"/>
      <c r="E778" s="419"/>
      <c r="F778" s="419"/>
      <c r="G778" s="419"/>
      <c r="H778" s="419"/>
      <c r="I778" s="419"/>
      <c r="J778" s="7"/>
    </row>
    <row r="779">
      <c r="A779" s="7"/>
      <c r="B779" s="419"/>
      <c r="C779" s="419"/>
      <c r="D779" s="419"/>
      <c r="E779" s="419"/>
      <c r="F779" s="419"/>
      <c r="G779" s="419"/>
      <c r="H779" s="419"/>
      <c r="I779" s="419"/>
      <c r="J779" s="7"/>
    </row>
    <row r="780">
      <c r="A780" s="7"/>
      <c r="B780" s="419"/>
      <c r="C780" s="419"/>
      <c r="D780" s="419"/>
      <c r="E780" s="419"/>
      <c r="F780" s="419"/>
      <c r="G780" s="419"/>
      <c r="H780" s="419"/>
      <c r="I780" s="419"/>
      <c r="J780" s="7"/>
    </row>
    <row r="781">
      <c r="A781" s="7"/>
      <c r="B781" s="419"/>
      <c r="C781" s="419"/>
      <c r="D781" s="419"/>
      <c r="E781" s="419"/>
      <c r="F781" s="419"/>
      <c r="G781" s="419"/>
      <c r="H781" s="419"/>
      <c r="I781" s="419"/>
      <c r="J781" s="7"/>
    </row>
    <row r="782">
      <c r="A782" s="7"/>
      <c r="B782" s="419"/>
      <c r="C782" s="419"/>
      <c r="D782" s="419"/>
      <c r="E782" s="419"/>
      <c r="F782" s="419"/>
      <c r="G782" s="419"/>
      <c r="H782" s="419"/>
      <c r="I782" s="419"/>
      <c r="J782" s="7"/>
    </row>
    <row r="783">
      <c r="A783" s="7"/>
      <c r="B783" s="419"/>
      <c r="C783" s="419"/>
      <c r="D783" s="419"/>
      <c r="E783" s="419"/>
      <c r="F783" s="419"/>
      <c r="G783" s="419"/>
      <c r="H783" s="419"/>
      <c r="I783" s="419"/>
      <c r="J783" s="7"/>
    </row>
    <row r="784">
      <c r="A784" s="7"/>
      <c r="B784" s="419"/>
      <c r="C784" s="419"/>
      <c r="D784" s="419"/>
      <c r="E784" s="419"/>
      <c r="F784" s="419"/>
      <c r="G784" s="419"/>
      <c r="H784" s="419"/>
      <c r="I784" s="419"/>
      <c r="J784" s="7"/>
    </row>
    <row r="785">
      <c r="A785" s="7"/>
      <c r="B785" s="419"/>
      <c r="C785" s="419"/>
      <c r="D785" s="419"/>
      <c r="E785" s="419"/>
      <c r="F785" s="419"/>
      <c r="G785" s="419"/>
      <c r="H785" s="419"/>
      <c r="I785" s="419"/>
      <c r="J785" s="7"/>
    </row>
    <row r="786">
      <c r="A786" s="7"/>
      <c r="B786" s="419"/>
      <c r="C786" s="419"/>
      <c r="D786" s="419"/>
      <c r="E786" s="419"/>
      <c r="F786" s="419"/>
      <c r="G786" s="419"/>
      <c r="H786" s="419"/>
      <c r="I786" s="419"/>
      <c r="J786" s="7"/>
    </row>
    <row r="787">
      <c r="A787" s="7"/>
      <c r="B787" s="419"/>
      <c r="C787" s="419"/>
      <c r="D787" s="419"/>
      <c r="E787" s="419"/>
      <c r="F787" s="419"/>
      <c r="G787" s="419"/>
      <c r="H787" s="419"/>
      <c r="I787" s="419"/>
      <c r="J787" s="7"/>
    </row>
    <row r="788">
      <c r="A788" s="7"/>
      <c r="B788" s="419"/>
      <c r="C788" s="419"/>
      <c r="D788" s="419"/>
      <c r="E788" s="419"/>
      <c r="F788" s="419"/>
      <c r="G788" s="419"/>
      <c r="H788" s="419"/>
      <c r="I788" s="419"/>
      <c r="J788" s="7"/>
    </row>
    <row r="789">
      <c r="A789" s="7"/>
      <c r="B789" s="419"/>
      <c r="C789" s="419"/>
      <c r="D789" s="419"/>
      <c r="E789" s="419"/>
      <c r="F789" s="419"/>
      <c r="G789" s="419"/>
      <c r="H789" s="419"/>
      <c r="I789" s="419"/>
      <c r="J789" s="7"/>
    </row>
    <row r="790">
      <c r="A790" s="7"/>
      <c r="B790" s="419"/>
      <c r="C790" s="419"/>
      <c r="D790" s="419"/>
      <c r="E790" s="419"/>
      <c r="F790" s="419"/>
      <c r="G790" s="419"/>
      <c r="H790" s="419"/>
      <c r="I790" s="419"/>
      <c r="J790" s="7"/>
    </row>
    <row r="791">
      <c r="A791" s="7"/>
      <c r="B791" s="419"/>
      <c r="C791" s="419"/>
      <c r="D791" s="419"/>
      <c r="E791" s="419"/>
      <c r="F791" s="419"/>
      <c r="G791" s="419"/>
      <c r="H791" s="419"/>
      <c r="I791" s="419"/>
      <c r="J791" s="7"/>
    </row>
    <row r="792">
      <c r="A792" s="7"/>
      <c r="B792" s="419"/>
      <c r="C792" s="419"/>
      <c r="D792" s="419"/>
      <c r="E792" s="419"/>
      <c r="F792" s="419"/>
      <c r="G792" s="419"/>
      <c r="H792" s="419"/>
      <c r="I792" s="419"/>
      <c r="J792" s="7"/>
    </row>
    <row r="793">
      <c r="A793" s="7"/>
      <c r="B793" s="419"/>
      <c r="C793" s="419"/>
      <c r="D793" s="419"/>
      <c r="E793" s="419"/>
      <c r="F793" s="419"/>
      <c r="G793" s="419"/>
      <c r="H793" s="419"/>
      <c r="I793" s="419"/>
      <c r="J793" s="7"/>
    </row>
    <row r="794">
      <c r="A794" s="7"/>
      <c r="B794" s="419"/>
      <c r="C794" s="419"/>
      <c r="D794" s="419"/>
      <c r="E794" s="419"/>
      <c r="F794" s="419"/>
      <c r="G794" s="419"/>
      <c r="H794" s="419"/>
      <c r="I794" s="419"/>
      <c r="J794" s="7"/>
    </row>
    <row r="795">
      <c r="A795" s="7"/>
      <c r="B795" s="419"/>
      <c r="C795" s="419"/>
      <c r="D795" s="419"/>
      <c r="E795" s="419"/>
      <c r="F795" s="419"/>
      <c r="G795" s="419"/>
      <c r="H795" s="419"/>
      <c r="I795" s="419"/>
      <c r="J795" s="7"/>
    </row>
    <row r="796">
      <c r="A796" s="7"/>
      <c r="B796" s="419"/>
      <c r="C796" s="419"/>
      <c r="D796" s="419"/>
      <c r="E796" s="419"/>
      <c r="F796" s="419"/>
      <c r="G796" s="419"/>
      <c r="H796" s="419"/>
      <c r="I796" s="419"/>
      <c r="J796" s="7"/>
    </row>
    <row r="797">
      <c r="A797" s="7"/>
      <c r="B797" s="419"/>
      <c r="C797" s="419"/>
      <c r="D797" s="419"/>
      <c r="E797" s="419"/>
      <c r="F797" s="419"/>
      <c r="G797" s="419"/>
      <c r="H797" s="419"/>
      <c r="I797" s="419"/>
      <c r="J797" s="7"/>
    </row>
    <row r="798">
      <c r="A798" s="7"/>
      <c r="B798" s="419"/>
      <c r="C798" s="419"/>
      <c r="D798" s="419"/>
      <c r="E798" s="419"/>
      <c r="F798" s="419"/>
      <c r="G798" s="419"/>
      <c r="H798" s="419"/>
      <c r="I798" s="419"/>
      <c r="J798" s="7"/>
    </row>
    <row r="799">
      <c r="A799" s="7"/>
      <c r="B799" s="419"/>
      <c r="C799" s="419"/>
      <c r="D799" s="419"/>
      <c r="E799" s="419"/>
      <c r="F799" s="419"/>
      <c r="G799" s="419"/>
      <c r="H799" s="419"/>
      <c r="I799" s="419"/>
      <c r="J799" s="7"/>
    </row>
    <row r="800">
      <c r="A800" s="7"/>
      <c r="B800" s="419"/>
      <c r="C800" s="419"/>
      <c r="D800" s="419"/>
      <c r="E800" s="419"/>
      <c r="F800" s="419"/>
      <c r="G800" s="419"/>
      <c r="H800" s="419"/>
      <c r="I800" s="419"/>
      <c r="J800" s="7"/>
    </row>
    <row r="801">
      <c r="A801" s="7"/>
      <c r="B801" s="419"/>
      <c r="C801" s="419"/>
      <c r="D801" s="419"/>
      <c r="E801" s="419"/>
      <c r="F801" s="419"/>
      <c r="G801" s="419"/>
      <c r="H801" s="419"/>
      <c r="I801" s="419"/>
      <c r="J801" s="7"/>
    </row>
    <row r="802">
      <c r="A802" s="7"/>
      <c r="B802" s="419"/>
      <c r="C802" s="419"/>
      <c r="D802" s="419"/>
      <c r="E802" s="419"/>
      <c r="F802" s="419"/>
      <c r="G802" s="419"/>
      <c r="H802" s="419"/>
      <c r="I802" s="419"/>
      <c r="J802" s="7"/>
    </row>
    <row r="803">
      <c r="A803" s="7"/>
      <c r="B803" s="419"/>
      <c r="C803" s="419"/>
      <c r="D803" s="419"/>
      <c r="E803" s="419"/>
      <c r="F803" s="419"/>
      <c r="G803" s="419"/>
      <c r="H803" s="419"/>
      <c r="I803" s="419"/>
      <c r="J803" s="7"/>
    </row>
    <row r="804">
      <c r="A804" s="7"/>
      <c r="B804" s="419"/>
      <c r="C804" s="419"/>
      <c r="D804" s="419"/>
      <c r="E804" s="419"/>
      <c r="F804" s="419"/>
      <c r="G804" s="419"/>
      <c r="H804" s="419"/>
      <c r="I804" s="419"/>
      <c r="J804" s="7"/>
    </row>
    <row r="805">
      <c r="A805" s="7"/>
      <c r="B805" s="419"/>
      <c r="C805" s="419"/>
      <c r="D805" s="419"/>
      <c r="E805" s="419"/>
      <c r="F805" s="419"/>
      <c r="G805" s="419"/>
      <c r="H805" s="419"/>
      <c r="I805" s="419"/>
      <c r="J805" s="7"/>
    </row>
    <row r="806">
      <c r="A806" s="7"/>
      <c r="B806" s="419"/>
      <c r="C806" s="419"/>
      <c r="D806" s="419"/>
      <c r="E806" s="419"/>
      <c r="F806" s="419"/>
      <c r="G806" s="419"/>
      <c r="H806" s="419"/>
      <c r="I806" s="419"/>
      <c r="J806" s="7"/>
    </row>
    <row r="807">
      <c r="A807" s="7"/>
      <c r="B807" s="419"/>
      <c r="C807" s="419"/>
      <c r="D807" s="419"/>
      <c r="E807" s="419"/>
      <c r="F807" s="419"/>
      <c r="G807" s="419"/>
      <c r="H807" s="419"/>
      <c r="I807" s="419"/>
      <c r="J807" s="7"/>
    </row>
    <row r="808">
      <c r="A808" s="7"/>
      <c r="B808" s="419"/>
      <c r="C808" s="419"/>
      <c r="D808" s="419"/>
      <c r="E808" s="419"/>
      <c r="F808" s="419"/>
      <c r="G808" s="419"/>
      <c r="H808" s="419"/>
      <c r="I808" s="419"/>
      <c r="J808" s="7"/>
    </row>
    <row r="809">
      <c r="A809" s="7"/>
      <c r="B809" s="419"/>
      <c r="C809" s="419"/>
      <c r="D809" s="419"/>
      <c r="E809" s="419"/>
      <c r="F809" s="419"/>
      <c r="G809" s="419"/>
      <c r="H809" s="419"/>
      <c r="I809" s="419"/>
      <c r="J809" s="7"/>
    </row>
    <row r="810">
      <c r="A810" s="7"/>
      <c r="B810" s="419"/>
      <c r="C810" s="419"/>
      <c r="D810" s="419"/>
      <c r="E810" s="419"/>
      <c r="F810" s="419"/>
      <c r="G810" s="419"/>
      <c r="H810" s="419"/>
      <c r="I810" s="419"/>
      <c r="J810" s="7"/>
    </row>
    <row r="811">
      <c r="A811" s="7"/>
      <c r="B811" s="419"/>
      <c r="C811" s="419"/>
      <c r="D811" s="419"/>
      <c r="E811" s="419"/>
      <c r="F811" s="419"/>
      <c r="G811" s="419"/>
      <c r="H811" s="419"/>
      <c r="I811" s="419"/>
      <c r="J811" s="7"/>
    </row>
    <row r="812">
      <c r="A812" s="7"/>
      <c r="B812" s="419"/>
      <c r="C812" s="419"/>
      <c r="D812" s="419"/>
      <c r="E812" s="419"/>
      <c r="F812" s="419"/>
      <c r="G812" s="419"/>
      <c r="H812" s="419"/>
      <c r="I812" s="419"/>
      <c r="J812" s="7"/>
    </row>
    <row r="813">
      <c r="A813" s="7"/>
      <c r="B813" s="419"/>
      <c r="C813" s="419"/>
      <c r="D813" s="419"/>
      <c r="E813" s="419"/>
      <c r="F813" s="419"/>
      <c r="G813" s="419"/>
      <c r="H813" s="419"/>
      <c r="I813" s="419"/>
      <c r="J813" s="7"/>
    </row>
    <row r="814">
      <c r="A814" s="7"/>
      <c r="B814" s="419"/>
      <c r="C814" s="419"/>
      <c r="D814" s="419"/>
      <c r="E814" s="419"/>
      <c r="F814" s="419"/>
      <c r="G814" s="419"/>
      <c r="H814" s="419"/>
      <c r="I814" s="419"/>
      <c r="J814" s="7"/>
    </row>
    <row r="815">
      <c r="A815" s="7"/>
      <c r="B815" s="419"/>
      <c r="C815" s="419"/>
      <c r="D815" s="419"/>
      <c r="E815" s="419"/>
      <c r="F815" s="419"/>
      <c r="G815" s="419"/>
      <c r="H815" s="419"/>
      <c r="I815" s="419"/>
      <c r="J815" s="7"/>
    </row>
    <row r="816">
      <c r="A816" s="7"/>
      <c r="B816" s="419"/>
      <c r="C816" s="419"/>
      <c r="D816" s="419"/>
      <c r="E816" s="419"/>
      <c r="F816" s="419"/>
      <c r="G816" s="419"/>
      <c r="H816" s="419"/>
      <c r="I816" s="419"/>
      <c r="J816" s="7"/>
    </row>
    <row r="817">
      <c r="A817" s="7"/>
      <c r="B817" s="419"/>
      <c r="C817" s="419"/>
      <c r="D817" s="419"/>
      <c r="E817" s="419"/>
      <c r="F817" s="419"/>
      <c r="G817" s="419"/>
      <c r="H817" s="419"/>
      <c r="I817" s="419"/>
      <c r="J817" s="7"/>
    </row>
    <row r="818">
      <c r="A818" s="7"/>
      <c r="B818" s="419"/>
      <c r="C818" s="419"/>
      <c r="D818" s="419"/>
      <c r="E818" s="419"/>
      <c r="F818" s="419"/>
      <c r="G818" s="419"/>
      <c r="H818" s="419"/>
      <c r="I818" s="419"/>
      <c r="J818" s="7"/>
    </row>
    <row r="819">
      <c r="A819" s="7"/>
      <c r="B819" s="419"/>
      <c r="C819" s="419"/>
      <c r="D819" s="419"/>
      <c r="E819" s="419"/>
      <c r="F819" s="419"/>
      <c r="G819" s="419"/>
      <c r="H819" s="419"/>
      <c r="I819" s="419"/>
      <c r="J819" s="7"/>
    </row>
    <row r="820">
      <c r="A820" s="7"/>
      <c r="B820" s="419"/>
      <c r="C820" s="419"/>
      <c r="D820" s="419"/>
      <c r="E820" s="419"/>
      <c r="F820" s="419"/>
      <c r="G820" s="419"/>
      <c r="H820" s="419"/>
      <c r="I820" s="419"/>
      <c r="J820" s="7"/>
    </row>
    <row r="821">
      <c r="A821" s="7"/>
      <c r="B821" s="419"/>
      <c r="C821" s="419"/>
      <c r="D821" s="419"/>
      <c r="E821" s="419"/>
      <c r="F821" s="419"/>
      <c r="G821" s="419"/>
      <c r="H821" s="419"/>
      <c r="I821" s="419"/>
      <c r="J821" s="7"/>
    </row>
    <row r="822">
      <c r="A822" s="7"/>
      <c r="B822" s="419"/>
      <c r="C822" s="419"/>
      <c r="D822" s="419"/>
      <c r="E822" s="419"/>
      <c r="F822" s="419"/>
      <c r="G822" s="419"/>
      <c r="H822" s="419"/>
      <c r="I822" s="419"/>
      <c r="J822" s="7"/>
    </row>
    <row r="823">
      <c r="A823" s="7"/>
      <c r="B823" s="419"/>
      <c r="C823" s="419"/>
      <c r="D823" s="419"/>
      <c r="E823" s="419"/>
      <c r="F823" s="419"/>
      <c r="G823" s="419"/>
      <c r="H823" s="419"/>
      <c r="I823" s="419"/>
      <c r="J823" s="7"/>
    </row>
    <row r="824">
      <c r="A824" s="7"/>
      <c r="B824" s="419"/>
      <c r="C824" s="419"/>
      <c r="D824" s="419"/>
      <c r="E824" s="419"/>
      <c r="F824" s="419"/>
      <c r="G824" s="419"/>
      <c r="H824" s="419"/>
      <c r="I824" s="419"/>
      <c r="J824" s="7"/>
    </row>
    <row r="825">
      <c r="A825" s="7"/>
      <c r="B825" s="419"/>
      <c r="C825" s="419"/>
      <c r="D825" s="419"/>
      <c r="E825" s="419"/>
      <c r="F825" s="419"/>
      <c r="G825" s="419"/>
      <c r="H825" s="419"/>
      <c r="I825" s="419"/>
      <c r="J825" s="7"/>
    </row>
    <row r="826">
      <c r="A826" s="7"/>
      <c r="B826" s="419"/>
      <c r="C826" s="419"/>
      <c r="D826" s="419"/>
      <c r="E826" s="419"/>
      <c r="F826" s="419"/>
      <c r="G826" s="419"/>
      <c r="H826" s="419"/>
      <c r="I826" s="419"/>
      <c r="J826" s="7"/>
    </row>
    <row r="827">
      <c r="A827" s="7"/>
      <c r="B827" s="419"/>
      <c r="C827" s="419"/>
      <c r="D827" s="419"/>
      <c r="E827" s="419"/>
      <c r="F827" s="419"/>
      <c r="G827" s="419"/>
      <c r="H827" s="419"/>
      <c r="I827" s="419"/>
      <c r="J827" s="7"/>
    </row>
    <row r="828">
      <c r="A828" s="7"/>
      <c r="B828" s="419"/>
      <c r="C828" s="419"/>
      <c r="D828" s="419"/>
      <c r="E828" s="419"/>
      <c r="F828" s="419"/>
      <c r="G828" s="419"/>
      <c r="H828" s="419"/>
      <c r="I828" s="419"/>
      <c r="J828" s="7"/>
    </row>
    <row r="829">
      <c r="A829" s="7"/>
      <c r="B829" s="419"/>
      <c r="C829" s="419"/>
      <c r="D829" s="419"/>
      <c r="E829" s="419"/>
      <c r="F829" s="419"/>
      <c r="G829" s="419"/>
      <c r="H829" s="419"/>
      <c r="I829" s="419"/>
      <c r="J829" s="7"/>
    </row>
    <row r="830">
      <c r="A830" s="7"/>
      <c r="B830" s="419"/>
      <c r="C830" s="419"/>
      <c r="D830" s="419"/>
      <c r="E830" s="419"/>
      <c r="F830" s="419"/>
      <c r="G830" s="419"/>
      <c r="H830" s="419"/>
      <c r="I830" s="419"/>
      <c r="J830" s="7"/>
    </row>
    <row r="831">
      <c r="A831" s="7"/>
      <c r="B831" s="419"/>
      <c r="C831" s="419"/>
      <c r="D831" s="419"/>
      <c r="E831" s="419"/>
      <c r="F831" s="419"/>
      <c r="G831" s="419"/>
      <c r="H831" s="419"/>
      <c r="I831" s="419"/>
      <c r="J831" s="7"/>
    </row>
    <row r="832">
      <c r="A832" s="7"/>
      <c r="B832" s="419"/>
      <c r="C832" s="419"/>
      <c r="D832" s="419"/>
      <c r="E832" s="419"/>
      <c r="F832" s="419"/>
      <c r="G832" s="419"/>
      <c r="H832" s="419"/>
      <c r="I832" s="419"/>
      <c r="J832" s="7"/>
    </row>
    <row r="833">
      <c r="A833" s="7"/>
      <c r="B833" s="419"/>
      <c r="C833" s="419"/>
      <c r="D833" s="419"/>
      <c r="E833" s="419"/>
      <c r="F833" s="419"/>
      <c r="G833" s="419"/>
      <c r="H833" s="419"/>
      <c r="I833" s="419"/>
      <c r="J833" s="7"/>
    </row>
    <row r="834">
      <c r="A834" s="7"/>
      <c r="B834" s="419"/>
      <c r="C834" s="419"/>
      <c r="D834" s="419"/>
      <c r="E834" s="419"/>
      <c r="F834" s="419"/>
      <c r="G834" s="419"/>
      <c r="H834" s="419"/>
      <c r="I834" s="419"/>
      <c r="J834" s="7"/>
    </row>
    <row r="835">
      <c r="A835" s="7"/>
      <c r="B835" s="419"/>
      <c r="C835" s="419"/>
      <c r="D835" s="419"/>
      <c r="E835" s="419"/>
      <c r="F835" s="419"/>
      <c r="G835" s="419"/>
      <c r="H835" s="419"/>
      <c r="I835" s="419"/>
      <c r="J835" s="7"/>
    </row>
    <row r="836">
      <c r="A836" s="7"/>
      <c r="B836" s="419"/>
      <c r="C836" s="419"/>
      <c r="D836" s="419"/>
      <c r="E836" s="419"/>
      <c r="F836" s="419"/>
      <c r="G836" s="419"/>
      <c r="H836" s="419"/>
      <c r="I836" s="419"/>
      <c r="J836" s="7"/>
    </row>
    <row r="837">
      <c r="A837" s="7"/>
      <c r="B837" s="419"/>
      <c r="C837" s="419"/>
      <c r="D837" s="419"/>
      <c r="E837" s="419"/>
      <c r="F837" s="419"/>
      <c r="G837" s="419"/>
      <c r="H837" s="419"/>
      <c r="I837" s="419"/>
      <c r="J837" s="7"/>
    </row>
    <row r="838">
      <c r="A838" s="7"/>
      <c r="B838" s="419"/>
      <c r="C838" s="419"/>
      <c r="D838" s="419"/>
      <c r="E838" s="419"/>
      <c r="F838" s="419"/>
      <c r="G838" s="419"/>
      <c r="H838" s="419"/>
      <c r="I838" s="419"/>
      <c r="J838" s="7"/>
    </row>
    <row r="839">
      <c r="A839" s="7"/>
      <c r="B839" s="419"/>
      <c r="C839" s="419"/>
      <c r="D839" s="419"/>
      <c r="E839" s="419"/>
      <c r="F839" s="419"/>
      <c r="G839" s="419"/>
      <c r="H839" s="419"/>
      <c r="I839" s="419"/>
      <c r="J839" s="7"/>
    </row>
    <row r="840">
      <c r="A840" s="7"/>
      <c r="B840" s="419"/>
      <c r="C840" s="419"/>
      <c r="D840" s="419"/>
      <c r="E840" s="419"/>
      <c r="F840" s="419"/>
      <c r="G840" s="419"/>
      <c r="H840" s="419"/>
      <c r="I840" s="419"/>
      <c r="J840" s="7"/>
    </row>
    <row r="841">
      <c r="A841" s="7"/>
      <c r="B841" s="419"/>
      <c r="C841" s="419"/>
      <c r="D841" s="419"/>
      <c r="E841" s="419"/>
      <c r="F841" s="419"/>
      <c r="G841" s="419"/>
      <c r="H841" s="419"/>
      <c r="I841" s="419"/>
      <c r="J841" s="7"/>
    </row>
    <row r="842">
      <c r="A842" s="7"/>
      <c r="B842" s="419"/>
      <c r="C842" s="419"/>
      <c r="D842" s="419"/>
      <c r="E842" s="419"/>
      <c r="F842" s="419"/>
      <c r="G842" s="419"/>
      <c r="H842" s="419"/>
      <c r="I842" s="419"/>
      <c r="J842" s="7"/>
    </row>
    <row r="843">
      <c r="A843" s="7"/>
      <c r="B843" s="419"/>
      <c r="C843" s="419"/>
      <c r="D843" s="419"/>
      <c r="E843" s="419"/>
      <c r="F843" s="419"/>
      <c r="G843" s="419"/>
      <c r="H843" s="419"/>
      <c r="I843" s="419"/>
      <c r="J843" s="7"/>
    </row>
    <row r="844">
      <c r="A844" s="7"/>
      <c r="B844" s="419"/>
      <c r="C844" s="419"/>
      <c r="D844" s="419"/>
      <c r="E844" s="419"/>
      <c r="F844" s="419"/>
      <c r="G844" s="419"/>
      <c r="H844" s="419"/>
      <c r="I844" s="419"/>
      <c r="J844" s="7"/>
    </row>
    <row r="845">
      <c r="A845" s="7"/>
      <c r="B845" s="419"/>
      <c r="C845" s="419"/>
      <c r="D845" s="419"/>
      <c r="E845" s="419"/>
      <c r="F845" s="419"/>
      <c r="G845" s="419"/>
      <c r="H845" s="419"/>
      <c r="I845" s="419"/>
      <c r="J845" s="7"/>
    </row>
    <row r="846">
      <c r="A846" s="7"/>
      <c r="B846" s="419"/>
      <c r="C846" s="419"/>
      <c r="D846" s="419"/>
      <c r="E846" s="419"/>
      <c r="F846" s="419"/>
      <c r="G846" s="419"/>
      <c r="H846" s="419"/>
      <c r="I846" s="419"/>
      <c r="J846" s="7"/>
    </row>
    <row r="847">
      <c r="A847" s="7"/>
      <c r="B847" s="419"/>
      <c r="C847" s="419"/>
      <c r="D847" s="419"/>
      <c r="E847" s="419"/>
      <c r="F847" s="419"/>
      <c r="G847" s="419"/>
      <c r="H847" s="419"/>
      <c r="I847" s="419"/>
      <c r="J847" s="7"/>
    </row>
    <row r="848">
      <c r="A848" s="7"/>
      <c r="B848" s="419"/>
      <c r="C848" s="419"/>
      <c r="D848" s="419"/>
      <c r="E848" s="419"/>
      <c r="F848" s="419"/>
      <c r="G848" s="419"/>
      <c r="H848" s="419"/>
      <c r="I848" s="419"/>
      <c r="J848" s="7"/>
    </row>
    <row r="849">
      <c r="A849" s="7"/>
      <c r="B849" s="419"/>
      <c r="C849" s="419"/>
      <c r="D849" s="419"/>
      <c r="E849" s="419"/>
      <c r="F849" s="419"/>
      <c r="G849" s="419"/>
      <c r="H849" s="419"/>
      <c r="I849" s="419"/>
      <c r="J849" s="7"/>
    </row>
    <row r="850">
      <c r="A850" s="7"/>
      <c r="B850" s="419"/>
      <c r="C850" s="419"/>
      <c r="D850" s="419"/>
      <c r="E850" s="419"/>
      <c r="F850" s="419"/>
      <c r="G850" s="419"/>
      <c r="H850" s="419"/>
      <c r="I850" s="419"/>
      <c r="J850" s="7"/>
    </row>
    <row r="851">
      <c r="A851" s="7"/>
      <c r="B851" s="419"/>
      <c r="C851" s="419"/>
      <c r="D851" s="419"/>
      <c r="E851" s="419"/>
      <c r="F851" s="419"/>
      <c r="G851" s="419"/>
      <c r="H851" s="419"/>
      <c r="I851" s="419"/>
      <c r="J851" s="7"/>
    </row>
    <row r="852">
      <c r="A852" s="7"/>
      <c r="B852" s="419"/>
      <c r="C852" s="419"/>
      <c r="D852" s="419"/>
      <c r="E852" s="419"/>
      <c r="F852" s="419"/>
      <c r="G852" s="419"/>
      <c r="H852" s="419"/>
      <c r="I852" s="419"/>
      <c r="J852" s="7"/>
    </row>
    <row r="853">
      <c r="A853" s="7"/>
      <c r="B853" s="419"/>
      <c r="C853" s="419"/>
      <c r="D853" s="419"/>
      <c r="E853" s="419"/>
      <c r="F853" s="419"/>
      <c r="G853" s="419"/>
      <c r="H853" s="419"/>
      <c r="I853" s="419"/>
      <c r="J853" s="7"/>
    </row>
    <row r="854">
      <c r="A854" s="7"/>
      <c r="B854" s="419"/>
      <c r="C854" s="419"/>
      <c r="D854" s="419"/>
      <c r="E854" s="419"/>
      <c r="F854" s="419"/>
      <c r="G854" s="419"/>
      <c r="H854" s="419"/>
      <c r="I854" s="419"/>
      <c r="J854" s="7"/>
    </row>
    <row r="855">
      <c r="A855" s="7"/>
      <c r="B855" s="419"/>
      <c r="C855" s="419"/>
      <c r="D855" s="419"/>
      <c r="E855" s="419"/>
      <c r="F855" s="419"/>
      <c r="G855" s="419"/>
      <c r="H855" s="419"/>
      <c r="I855" s="419"/>
      <c r="J855" s="7"/>
    </row>
    <row r="856">
      <c r="A856" s="7"/>
      <c r="B856" s="419"/>
      <c r="C856" s="419"/>
      <c r="D856" s="419"/>
      <c r="E856" s="419"/>
      <c r="F856" s="419"/>
      <c r="G856" s="419"/>
      <c r="H856" s="419"/>
      <c r="I856" s="419"/>
      <c r="J856" s="7"/>
    </row>
    <row r="857">
      <c r="A857" s="7"/>
      <c r="B857" s="419"/>
      <c r="C857" s="419"/>
      <c r="D857" s="419"/>
      <c r="E857" s="419"/>
      <c r="F857" s="419"/>
      <c r="G857" s="419"/>
      <c r="H857" s="419"/>
      <c r="I857" s="419"/>
      <c r="J857" s="7"/>
    </row>
    <row r="858">
      <c r="A858" s="7"/>
      <c r="B858" s="419"/>
      <c r="C858" s="419"/>
      <c r="D858" s="419"/>
      <c r="E858" s="419"/>
      <c r="F858" s="419"/>
      <c r="G858" s="419"/>
      <c r="H858" s="419"/>
      <c r="I858" s="419"/>
      <c r="J858" s="7"/>
    </row>
    <row r="859">
      <c r="A859" s="7"/>
      <c r="B859" s="419"/>
      <c r="C859" s="419"/>
      <c r="D859" s="419"/>
      <c r="E859" s="419"/>
      <c r="F859" s="419"/>
      <c r="G859" s="419"/>
      <c r="H859" s="419"/>
      <c r="I859" s="419"/>
      <c r="J859" s="7"/>
    </row>
    <row r="860">
      <c r="A860" s="7"/>
      <c r="B860" s="419"/>
      <c r="C860" s="419"/>
      <c r="D860" s="419"/>
      <c r="E860" s="419"/>
      <c r="F860" s="419"/>
      <c r="G860" s="419"/>
      <c r="H860" s="419"/>
      <c r="I860" s="419"/>
      <c r="J860" s="7"/>
    </row>
    <row r="861">
      <c r="A861" s="7"/>
      <c r="B861" s="419"/>
      <c r="C861" s="419"/>
      <c r="D861" s="419"/>
      <c r="E861" s="419"/>
      <c r="F861" s="419"/>
      <c r="G861" s="419"/>
      <c r="H861" s="419"/>
      <c r="I861" s="419"/>
      <c r="J861" s="7"/>
    </row>
    <row r="862">
      <c r="A862" s="7"/>
      <c r="B862" s="419"/>
      <c r="C862" s="419"/>
      <c r="D862" s="419"/>
      <c r="E862" s="419"/>
      <c r="F862" s="419"/>
      <c r="G862" s="419"/>
      <c r="H862" s="419"/>
      <c r="I862" s="419"/>
      <c r="J862" s="7"/>
    </row>
    <row r="863">
      <c r="A863" s="7"/>
      <c r="B863" s="419"/>
      <c r="C863" s="419"/>
      <c r="D863" s="419"/>
      <c r="E863" s="419"/>
      <c r="F863" s="419"/>
      <c r="G863" s="419"/>
      <c r="H863" s="419"/>
      <c r="I863" s="419"/>
      <c r="J863" s="7"/>
    </row>
    <row r="864">
      <c r="A864" s="7"/>
      <c r="B864" s="419"/>
      <c r="C864" s="419"/>
      <c r="D864" s="419"/>
      <c r="E864" s="419"/>
      <c r="F864" s="419"/>
      <c r="G864" s="419"/>
      <c r="H864" s="419"/>
      <c r="I864" s="419"/>
      <c r="J864" s="7"/>
    </row>
    <row r="865">
      <c r="A865" s="7"/>
      <c r="B865" s="419"/>
      <c r="C865" s="419"/>
      <c r="D865" s="419"/>
      <c r="E865" s="419"/>
      <c r="F865" s="419"/>
      <c r="G865" s="419"/>
      <c r="H865" s="419"/>
      <c r="I865" s="419"/>
      <c r="J865" s="7"/>
    </row>
    <row r="866">
      <c r="A866" s="7"/>
      <c r="B866" s="419"/>
      <c r="C866" s="419"/>
      <c r="D866" s="419"/>
      <c r="E866" s="419"/>
      <c r="F866" s="419"/>
      <c r="G866" s="419"/>
      <c r="H866" s="419"/>
      <c r="I866" s="419"/>
      <c r="J866" s="7"/>
    </row>
    <row r="867">
      <c r="A867" s="7"/>
      <c r="B867" s="419"/>
      <c r="C867" s="419"/>
      <c r="D867" s="419"/>
      <c r="E867" s="419"/>
      <c r="F867" s="419"/>
      <c r="G867" s="419"/>
      <c r="H867" s="419"/>
      <c r="I867" s="419"/>
      <c r="J867" s="7"/>
    </row>
    <row r="868">
      <c r="A868" s="7"/>
      <c r="B868" s="419"/>
      <c r="C868" s="419"/>
      <c r="D868" s="419"/>
      <c r="E868" s="419"/>
      <c r="F868" s="419"/>
      <c r="G868" s="419"/>
      <c r="H868" s="419"/>
      <c r="I868" s="419"/>
      <c r="J868" s="7"/>
    </row>
    <row r="869">
      <c r="A869" s="7"/>
      <c r="B869" s="419"/>
      <c r="C869" s="419"/>
      <c r="D869" s="419"/>
      <c r="E869" s="419"/>
      <c r="F869" s="419"/>
      <c r="G869" s="419"/>
      <c r="H869" s="419"/>
      <c r="I869" s="419"/>
      <c r="J869" s="7"/>
    </row>
    <row r="870">
      <c r="A870" s="7"/>
      <c r="B870" s="419"/>
      <c r="C870" s="419"/>
      <c r="D870" s="419"/>
      <c r="E870" s="419"/>
      <c r="F870" s="419"/>
      <c r="G870" s="419"/>
      <c r="H870" s="419"/>
      <c r="I870" s="419"/>
      <c r="J870" s="7"/>
    </row>
    <row r="871">
      <c r="A871" s="7"/>
      <c r="B871" s="419"/>
      <c r="C871" s="419"/>
      <c r="D871" s="419"/>
      <c r="E871" s="419"/>
      <c r="F871" s="419"/>
      <c r="G871" s="419"/>
      <c r="H871" s="419"/>
      <c r="I871" s="419"/>
      <c r="J871" s="7"/>
    </row>
    <row r="872">
      <c r="A872" s="7"/>
      <c r="B872" s="419"/>
      <c r="C872" s="419"/>
      <c r="D872" s="419"/>
      <c r="E872" s="419"/>
      <c r="F872" s="419"/>
      <c r="G872" s="419"/>
      <c r="H872" s="419"/>
      <c r="I872" s="419"/>
      <c r="J872" s="7"/>
    </row>
    <row r="873">
      <c r="A873" s="7"/>
      <c r="B873" s="419"/>
      <c r="C873" s="419"/>
      <c r="D873" s="419"/>
      <c r="E873" s="419"/>
      <c r="F873" s="419"/>
      <c r="G873" s="419"/>
      <c r="H873" s="419"/>
      <c r="I873" s="419"/>
      <c r="J873" s="7"/>
    </row>
    <row r="874">
      <c r="A874" s="7"/>
      <c r="B874" s="419"/>
      <c r="C874" s="419"/>
      <c r="D874" s="419"/>
      <c r="E874" s="419"/>
      <c r="F874" s="419"/>
      <c r="G874" s="419"/>
      <c r="H874" s="419"/>
      <c r="I874" s="419"/>
      <c r="J874" s="7"/>
    </row>
    <row r="875">
      <c r="A875" s="7"/>
      <c r="B875" s="419"/>
      <c r="C875" s="419"/>
      <c r="D875" s="419"/>
      <c r="E875" s="419"/>
      <c r="F875" s="419"/>
      <c r="G875" s="419"/>
      <c r="H875" s="419"/>
      <c r="I875" s="419"/>
      <c r="J875" s="7"/>
    </row>
    <row r="876">
      <c r="A876" s="7"/>
      <c r="B876" s="419"/>
      <c r="C876" s="419"/>
      <c r="D876" s="419"/>
      <c r="E876" s="419"/>
      <c r="F876" s="419"/>
      <c r="G876" s="419"/>
      <c r="H876" s="419"/>
      <c r="I876" s="419"/>
      <c r="J876" s="7"/>
    </row>
    <row r="877">
      <c r="A877" s="7"/>
      <c r="B877" s="419"/>
      <c r="C877" s="419"/>
      <c r="D877" s="419"/>
      <c r="E877" s="419"/>
      <c r="F877" s="419"/>
      <c r="G877" s="419"/>
      <c r="H877" s="419"/>
      <c r="I877" s="419"/>
      <c r="J877" s="7"/>
    </row>
    <row r="878">
      <c r="A878" s="7"/>
      <c r="B878" s="419"/>
      <c r="C878" s="419"/>
      <c r="D878" s="419"/>
      <c r="E878" s="419"/>
      <c r="F878" s="419"/>
      <c r="G878" s="419"/>
      <c r="H878" s="419"/>
      <c r="I878" s="419"/>
      <c r="J878" s="7"/>
    </row>
    <row r="879">
      <c r="A879" s="7"/>
      <c r="B879" s="419"/>
      <c r="C879" s="419"/>
      <c r="D879" s="419"/>
      <c r="E879" s="419"/>
      <c r="F879" s="419"/>
      <c r="G879" s="419"/>
      <c r="H879" s="419"/>
      <c r="I879" s="419"/>
      <c r="J879" s="7"/>
    </row>
    <row r="880">
      <c r="A880" s="7"/>
      <c r="B880" s="419"/>
      <c r="C880" s="419"/>
      <c r="D880" s="419"/>
      <c r="E880" s="419"/>
      <c r="F880" s="419"/>
      <c r="G880" s="419"/>
      <c r="H880" s="419"/>
      <c r="I880" s="419"/>
      <c r="J880" s="7"/>
    </row>
    <row r="881">
      <c r="A881" s="7"/>
      <c r="B881" s="419"/>
      <c r="C881" s="419"/>
      <c r="D881" s="419"/>
      <c r="E881" s="419"/>
      <c r="F881" s="419"/>
      <c r="G881" s="419"/>
      <c r="H881" s="419"/>
      <c r="I881" s="419"/>
      <c r="J881" s="7"/>
    </row>
    <row r="882">
      <c r="A882" s="7"/>
      <c r="B882" s="419"/>
      <c r="C882" s="419"/>
      <c r="D882" s="419"/>
      <c r="E882" s="419"/>
      <c r="F882" s="419"/>
      <c r="G882" s="419"/>
      <c r="H882" s="419"/>
      <c r="I882" s="419"/>
      <c r="J882" s="7"/>
    </row>
    <row r="883">
      <c r="A883" s="7"/>
      <c r="B883" s="419"/>
      <c r="C883" s="419"/>
      <c r="D883" s="419"/>
      <c r="E883" s="419"/>
      <c r="F883" s="419"/>
      <c r="G883" s="419"/>
      <c r="H883" s="419"/>
      <c r="I883" s="419"/>
      <c r="J883" s="7"/>
    </row>
    <row r="884">
      <c r="A884" s="7"/>
      <c r="B884" s="419"/>
      <c r="C884" s="419"/>
      <c r="D884" s="419"/>
      <c r="E884" s="419"/>
      <c r="F884" s="419"/>
      <c r="G884" s="419"/>
      <c r="H884" s="419"/>
      <c r="I884" s="419"/>
      <c r="J884" s="7"/>
    </row>
    <row r="885">
      <c r="A885" s="7"/>
      <c r="B885" s="419"/>
      <c r="C885" s="419"/>
      <c r="D885" s="419"/>
      <c r="E885" s="419"/>
      <c r="F885" s="419"/>
      <c r="G885" s="419"/>
      <c r="H885" s="419"/>
      <c r="I885" s="419"/>
      <c r="J885" s="7"/>
    </row>
    <row r="886">
      <c r="A886" s="7"/>
      <c r="B886" s="419"/>
      <c r="C886" s="419"/>
      <c r="D886" s="419"/>
      <c r="E886" s="419"/>
      <c r="F886" s="419"/>
      <c r="G886" s="419"/>
      <c r="H886" s="419"/>
      <c r="I886" s="419"/>
      <c r="J886" s="7"/>
    </row>
    <row r="887">
      <c r="A887" s="7"/>
      <c r="B887" s="419"/>
      <c r="C887" s="419"/>
      <c r="D887" s="419"/>
      <c r="E887" s="419"/>
      <c r="F887" s="419"/>
      <c r="G887" s="419"/>
      <c r="H887" s="419"/>
      <c r="I887" s="419"/>
      <c r="J887" s="7"/>
    </row>
    <row r="888">
      <c r="A888" s="7"/>
      <c r="B888" s="419"/>
      <c r="C888" s="419"/>
      <c r="D888" s="419"/>
      <c r="E888" s="419"/>
      <c r="F888" s="419"/>
      <c r="G888" s="419"/>
      <c r="H888" s="419"/>
      <c r="I888" s="419"/>
      <c r="J888" s="7"/>
    </row>
    <row r="889">
      <c r="A889" s="7"/>
      <c r="B889" s="419"/>
      <c r="C889" s="419"/>
      <c r="D889" s="419"/>
      <c r="E889" s="419"/>
      <c r="F889" s="419"/>
      <c r="G889" s="419"/>
      <c r="H889" s="419"/>
      <c r="I889" s="419"/>
      <c r="J889" s="7"/>
    </row>
    <row r="890">
      <c r="A890" s="7"/>
      <c r="B890" s="419"/>
      <c r="C890" s="419"/>
      <c r="D890" s="419"/>
      <c r="E890" s="419"/>
      <c r="F890" s="419"/>
      <c r="G890" s="419"/>
      <c r="H890" s="419"/>
      <c r="I890" s="419"/>
      <c r="J890" s="7"/>
    </row>
    <row r="891">
      <c r="A891" s="7"/>
      <c r="B891" s="419"/>
      <c r="C891" s="419"/>
      <c r="D891" s="419"/>
      <c r="E891" s="419"/>
      <c r="F891" s="419"/>
      <c r="G891" s="419"/>
      <c r="H891" s="419"/>
      <c r="I891" s="419"/>
      <c r="J891" s="7"/>
    </row>
    <row r="892">
      <c r="A892" s="7"/>
      <c r="B892" s="419"/>
      <c r="C892" s="419"/>
      <c r="D892" s="419"/>
      <c r="E892" s="419"/>
      <c r="F892" s="419"/>
      <c r="G892" s="419"/>
      <c r="H892" s="419"/>
      <c r="I892" s="419"/>
      <c r="J892" s="7"/>
    </row>
    <row r="893">
      <c r="A893" s="7"/>
      <c r="B893" s="419"/>
      <c r="C893" s="419"/>
      <c r="D893" s="419"/>
      <c r="E893" s="419"/>
      <c r="F893" s="419"/>
      <c r="G893" s="419"/>
      <c r="H893" s="419"/>
      <c r="I893" s="419"/>
      <c r="J893" s="7"/>
    </row>
    <row r="894">
      <c r="A894" s="7"/>
      <c r="B894" s="419"/>
      <c r="C894" s="419"/>
      <c r="D894" s="419"/>
      <c r="E894" s="419"/>
      <c r="F894" s="419"/>
      <c r="G894" s="419"/>
      <c r="H894" s="419"/>
      <c r="I894" s="419"/>
      <c r="J894" s="7"/>
    </row>
    <row r="895">
      <c r="A895" s="7"/>
      <c r="B895" s="419"/>
      <c r="C895" s="419"/>
      <c r="D895" s="419"/>
      <c r="E895" s="419"/>
      <c r="F895" s="419"/>
      <c r="G895" s="419"/>
      <c r="H895" s="419"/>
      <c r="I895" s="419"/>
      <c r="J895" s="7"/>
    </row>
    <row r="896">
      <c r="A896" s="7"/>
      <c r="B896" s="419"/>
      <c r="C896" s="419"/>
      <c r="D896" s="419"/>
      <c r="E896" s="419"/>
      <c r="F896" s="419"/>
      <c r="G896" s="419"/>
      <c r="H896" s="419"/>
      <c r="I896" s="419"/>
      <c r="J896" s="7"/>
    </row>
    <row r="897">
      <c r="A897" s="7"/>
      <c r="B897" s="419"/>
      <c r="C897" s="419"/>
      <c r="D897" s="419"/>
      <c r="E897" s="419"/>
      <c r="F897" s="419"/>
      <c r="G897" s="419"/>
      <c r="H897" s="419"/>
      <c r="I897" s="419"/>
      <c r="J897" s="7"/>
    </row>
    <row r="898">
      <c r="A898" s="7"/>
      <c r="B898" s="419"/>
      <c r="C898" s="419"/>
      <c r="D898" s="419"/>
      <c r="E898" s="419"/>
      <c r="F898" s="419"/>
      <c r="G898" s="419"/>
      <c r="H898" s="419"/>
      <c r="I898" s="419"/>
      <c r="J898" s="7"/>
    </row>
    <row r="899">
      <c r="A899" s="7"/>
      <c r="B899" s="419"/>
      <c r="C899" s="419"/>
      <c r="D899" s="419"/>
      <c r="E899" s="419"/>
      <c r="F899" s="419"/>
      <c r="G899" s="419"/>
      <c r="H899" s="419"/>
      <c r="I899" s="419"/>
      <c r="J899" s="7"/>
    </row>
    <row r="900">
      <c r="A900" s="7"/>
      <c r="B900" s="419"/>
      <c r="C900" s="419"/>
      <c r="D900" s="419"/>
      <c r="E900" s="419"/>
      <c r="F900" s="419"/>
      <c r="G900" s="419"/>
      <c r="H900" s="419"/>
      <c r="I900" s="419"/>
      <c r="J900" s="7"/>
    </row>
    <row r="901">
      <c r="A901" s="7"/>
      <c r="B901" s="419"/>
      <c r="C901" s="419"/>
      <c r="D901" s="419"/>
      <c r="E901" s="419"/>
      <c r="F901" s="419"/>
      <c r="G901" s="419"/>
      <c r="H901" s="419"/>
      <c r="I901" s="419"/>
      <c r="J901" s="7"/>
    </row>
    <row r="902">
      <c r="A902" s="7"/>
      <c r="B902" s="419"/>
      <c r="C902" s="419"/>
      <c r="D902" s="419"/>
      <c r="E902" s="419"/>
      <c r="F902" s="419"/>
      <c r="G902" s="419"/>
      <c r="H902" s="419"/>
      <c r="I902" s="419"/>
      <c r="J902" s="7"/>
    </row>
    <row r="903">
      <c r="A903" s="7"/>
      <c r="B903" s="419"/>
      <c r="C903" s="419"/>
      <c r="D903" s="419"/>
      <c r="E903" s="419"/>
      <c r="F903" s="419"/>
      <c r="G903" s="419"/>
      <c r="H903" s="419"/>
      <c r="I903" s="419"/>
      <c r="J903" s="7"/>
    </row>
    <row r="904">
      <c r="A904" s="7"/>
      <c r="B904" s="419"/>
      <c r="C904" s="419"/>
      <c r="D904" s="419"/>
      <c r="E904" s="419"/>
      <c r="F904" s="419"/>
      <c r="G904" s="419"/>
      <c r="H904" s="419"/>
      <c r="I904" s="419"/>
      <c r="J904" s="7"/>
    </row>
    <row r="905">
      <c r="A905" s="7"/>
      <c r="B905" s="419"/>
      <c r="C905" s="419"/>
      <c r="D905" s="419"/>
      <c r="E905" s="419"/>
      <c r="F905" s="419"/>
      <c r="G905" s="419"/>
      <c r="H905" s="419"/>
      <c r="I905" s="419"/>
      <c r="J905" s="7"/>
    </row>
    <row r="906">
      <c r="A906" s="7"/>
      <c r="B906" s="419"/>
      <c r="C906" s="419"/>
      <c r="D906" s="419"/>
      <c r="E906" s="419"/>
      <c r="F906" s="419"/>
      <c r="G906" s="419"/>
      <c r="H906" s="419"/>
      <c r="I906" s="419"/>
      <c r="J906" s="7"/>
    </row>
    <row r="907">
      <c r="A907" s="7"/>
      <c r="B907" s="419"/>
      <c r="C907" s="419"/>
      <c r="D907" s="419"/>
      <c r="E907" s="419"/>
      <c r="F907" s="419"/>
      <c r="G907" s="419"/>
      <c r="H907" s="419"/>
      <c r="I907" s="419"/>
      <c r="J907" s="7"/>
    </row>
    <row r="908">
      <c r="A908" s="7"/>
      <c r="B908" s="419"/>
      <c r="C908" s="419"/>
      <c r="D908" s="419"/>
      <c r="E908" s="419"/>
      <c r="F908" s="419"/>
      <c r="G908" s="419"/>
      <c r="H908" s="419"/>
      <c r="I908" s="419"/>
      <c r="J908" s="7"/>
    </row>
    <row r="909">
      <c r="A909" s="7"/>
      <c r="B909" s="419"/>
      <c r="C909" s="419"/>
      <c r="D909" s="419"/>
      <c r="E909" s="419"/>
      <c r="F909" s="419"/>
      <c r="G909" s="419"/>
      <c r="H909" s="419"/>
      <c r="I909" s="419"/>
      <c r="J909" s="7"/>
    </row>
    <row r="910">
      <c r="A910" s="7"/>
      <c r="B910" s="419"/>
      <c r="C910" s="419"/>
      <c r="D910" s="419"/>
      <c r="E910" s="419"/>
      <c r="F910" s="419"/>
      <c r="G910" s="419"/>
      <c r="H910" s="419"/>
      <c r="I910" s="419"/>
      <c r="J910" s="7"/>
    </row>
    <row r="911">
      <c r="A911" s="7"/>
      <c r="B911" s="419"/>
      <c r="C911" s="419"/>
      <c r="D911" s="419"/>
      <c r="E911" s="419"/>
      <c r="F911" s="419"/>
      <c r="G911" s="419"/>
      <c r="H911" s="419"/>
      <c r="I911" s="419"/>
      <c r="J911" s="7"/>
    </row>
    <row r="912">
      <c r="A912" s="7"/>
      <c r="B912" s="419"/>
      <c r="C912" s="419"/>
      <c r="D912" s="419"/>
      <c r="E912" s="419"/>
      <c r="F912" s="419"/>
      <c r="G912" s="419"/>
      <c r="H912" s="419"/>
      <c r="I912" s="419"/>
      <c r="J912" s="7"/>
    </row>
    <row r="913">
      <c r="A913" s="7"/>
      <c r="B913" s="419"/>
      <c r="C913" s="419"/>
      <c r="D913" s="419"/>
      <c r="E913" s="419"/>
      <c r="F913" s="419"/>
      <c r="G913" s="419"/>
      <c r="H913" s="419"/>
      <c r="I913" s="419"/>
      <c r="J913" s="7"/>
    </row>
    <row r="914">
      <c r="A914" s="7"/>
      <c r="B914" s="419"/>
      <c r="C914" s="419"/>
      <c r="D914" s="419"/>
      <c r="E914" s="419"/>
      <c r="F914" s="419"/>
      <c r="G914" s="419"/>
      <c r="H914" s="419"/>
      <c r="I914" s="419"/>
      <c r="J914" s="7"/>
    </row>
    <row r="915">
      <c r="A915" s="7"/>
      <c r="B915" s="419"/>
      <c r="C915" s="419"/>
      <c r="D915" s="419"/>
      <c r="E915" s="419"/>
      <c r="F915" s="419"/>
      <c r="G915" s="419"/>
      <c r="H915" s="419"/>
      <c r="I915" s="419"/>
      <c r="J915" s="7"/>
    </row>
    <row r="916">
      <c r="A916" s="7"/>
      <c r="B916" s="419"/>
      <c r="C916" s="419"/>
      <c r="D916" s="419"/>
      <c r="E916" s="419"/>
      <c r="F916" s="419"/>
      <c r="G916" s="419"/>
      <c r="H916" s="419"/>
      <c r="I916" s="419"/>
      <c r="J916" s="7"/>
    </row>
    <row r="917">
      <c r="A917" s="7"/>
      <c r="B917" s="419"/>
      <c r="C917" s="419"/>
      <c r="D917" s="419"/>
      <c r="E917" s="419"/>
      <c r="F917" s="419"/>
      <c r="G917" s="419"/>
      <c r="H917" s="419"/>
      <c r="I917" s="419"/>
      <c r="J917" s="7"/>
    </row>
    <row r="918">
      <c r="A918" s="7"/>
      <c r="B918" s="419"/>
      <c r="C918" s="419"/>
      <c r="D918" s="419"/>
      <c r="E918" s="419"/>
      <c r="F918" s="419"/>
      <c r="G918" s="419"/>
      <c r="H918" s="419"/>
      <c r="I918" s="419"/>
      <c r="J918" s="7"/>
    </row>
    <row r="919">
      <c r="A919" s="7"/>
      <c r="B919" s="419"/>
      <c r="C919" s="419"/>
      <c r="D919" s="419"/>
      <c r="E919" s="419"/>
      <c r="F919" s="419"/>
      <c r="G919" s="419"/>
      <c r="H919" s="419"/>
      <c r="I919" s="419"/>
      <c r="J919" s="7"/>
    </row>
    <row r="920">
      <c r="A920" s="7"/>
      <c r="B920" s="419"/>
      <c r="C920" s="419"/>
      <c r="D920" s="419"/>
      <c r="E920" s="419"/>
      <c r="F920" s="419"/>
      <c r="G920" s="419"/>
      <c r="H920" s="419"/>
      <c r="I920" s="419"/>
      <c r="J920" s="7"/>
    </row>
    <row r="921">
      <c r="A921" s="7"/>
      <c r="B921" s="419"/>
      <c r="C921" s="419"/>
      <c r="D921" s="419"/>
      <c r="E921" s="419"/>
      <c r="F921" s="419"/>
      <c r="G921" s="419"/>
      <c r="H921" s="419"/>
      <c r="I921" s="419"/>
      <c r="J921" s="7"/>
    </row>
    <row r="922">
      <c r="A922" s="7"/>
      <c r="B922" s="419"/>
      <c r="C922" s="419"/>
      <c r="D922" s="419"/>
      <c r="E922" s="419"/>
      <c r="F922" s="419"/>
      <c r="G922" s="419"/>
      <c r="H922" s="419"/>
      <c r="I922" s="419"/>
      <c r="J922" s="7"/>
    </row>
    <row r="923">
      <c r="A923" s="7"/>
      <c r="B923" s="419"/>
      <c r="C923" s="419"/>
      <c r="D923" s="419"/>
      <c r="E923" s="419"/>
      <c r="F923" s="419"/>
      <c r="G923" s="419"/>
      <c r="H923" s="419"/>
      <c r="I923" s="419"/>
      <c r="J923" s="7"/>
    </row>
    <row r="924">
      <c r="A924" s="7"/>
      <c r="B924" s="419"/>
      <c r="C924" s="419"/>
      <c r="D924" s="419"/>
      <c r="E924" s="419"/>
      <c r="F924" s="419"/>
      <c r="G924" s="419"/>
      <c r="H924" s="419"/>
      <c r="I924" s="419"/>
      <c r="J924" s="7"/>
    </row>
    <row r="925">
      <c r="A925" s="7"/>
      <c r="B925" s="419"/>
      <c r="C925" s="419"/>
      <c r="D925" s="419"/>
      <c r="E925" s="419"/>
      <c r="F925" s="419"/>
      <c r="G925" s="419"/>
      <c r="H925" s="419"/>
      <c r="I925" s="419"/>
      <c r="J925" s="7"/>
    </row>
    <row r="926">
      <c r="A926" s="7"/>
      <c r="B926" s="419"/>
      <c r="C926" s="419"/>
      <c r="D926" s="419"/>
      <c r="E926" s="419"/>
      <c r="F926" s="419"/>
      <c r="G926" s="419"/>
      <c r="H926" s="419"/>
      <c r="I926" s="419"/>
      <c r="J926" s="7"/>
    </row>
    <row r="927">
      <c r="A927" s="7"/>
      <c r="B927" s="419"/>
      <c r="C927" s="419"/>
      <c r="D927" s="419"/>
      <c r="E927" s="419"/>
      <c r="F927" s="419"/>
      <c r="G927" s="419"/>
      <c r="H927" s="419"/>
      <c r="I927" s="419"/>
      <c r="J927" s="7"/>
    </row>
    <row r="928">
      <c r="A928" s="7"/>
      <c r="B928" s="419"/>
      <c r="C928" s="419"/>
      <c r="D928" s="419"/>
      <c r="E928" s="419"/>
      <c r="F928" s="419"/>
      <c r="G928" s="419"/>
      <c r="H928" s="419"/>
      <c r="I928" s="419"/>
      <c r="J928" s="7"/>
    </row>
    <row r="929">
      <c r="A929" s="7"/>
      <c r="B929" s="419"/>
      <c r="C929" s="419"/>
      <c r="D929" s="419"/>
      <c r="E929" s="419"/>
      <c r="F929" s="419"/>
      <c r="G929" s="419"/>
      <c r="H929" s="419"/>
      <c r="I929" s="419"/>
      <c r="J929" s="7"/>
    </row>
    <row r="930">
      <c r="A930" s="7"/>
      <c r="B930" s="419"/>
      <c r="C930" s="419"/>
      <c r="D930" s="419"/>
      <c r="E930" s="419"/>
      <c r="F930" s="419"/>
      <c r="G930" s="419"/>
      <c r="H930" s="419"/>
      <c r="I930" s="419"/>
      <c r="J930" s="7"/>
    </row>
    <row r="931">
      <c r="A931" s="7"/>
      <c r="B931" s="419"/>
      <c r="C931" s="419"/>
      <c r="D931" s="419"/>
      <c r="E931" s="419"/>
      <c r="F931" s="419"/>
      <c r="G931" s="419"/>
      <c r="H931" s="419"/>
      <c r="I931" s="419"/>
      <c r="J931" s="7"/>
    </row>
    <row r="932">
      <c r="A932" s="7"/>
      <c r="B932" s="419"/>
      <c r="C932" s="419"/>
      <c r="D932" s="419"/>
      <c r="E932" s="419"/>
      <c r="F932" s="419"/>
      <c r="G932" s="419"/>
      <c r="H932" s="419"/>
      <c r="I932" s="419"/>
      <c r="J932" s="7"/>
    </row>
    <row r="933">
      <c r="A933" s="7"/>
      <c r="B933" s="419"/>
      <c r="C933" s="419"/>
      <c r="D933" s="419"/>
      <c r="E933" s="419"/>
      <c r="F933" s="419"/>
      <c r="G933" s="419"/>
      <c r="H933" s="419"/>
      <c r="I933" s="419"/>
      <c r="J933" s="7"/>
    </row>
    <row r="934">
      <c r="A934" s="7"/>
      <c r="B934" s="419"/>
      <c r="C934" s="419"/>
      <c r="D934" s="419"/>
      <c r="E934" s="419"/>
      <c r="F934" s="419"/>
      <c r="G934" s="419"/>
      <c r="H934" s="419"/>
      <c r="I934" s="419"/>
      <c r="J934" s="7"/>
    </row>
    <row r="935">
      <c r="A935" s="7"/>
      <c r="B935" s="419"/>
      <c r="C935" s="419"/>
      <c r="D935" s="419"/>
      <c r="E935" s="419"/>
      <c r="F935" s="419"/>
      <c r="G935" s="419"/>
      <c r="H935" s="419"/>
      <c r="I935" s="419"/>
      <c r="J935" s="7"/>
    </row>
    <row r="936">
      <c r="A936" s="7"/>
      <c r="B936" s="419"/>
      <c r="C936" s="419"/>
      <c r="D936" s="419"/>
      <c r="E936" s="419"/>
      <c r="F936" s="419"/>
      <c r="G936" s="419"/>
      <c r="H936" s="419"/>
      <c r="I936" s="419"/>
      <c r="J936" s="7"/>
    </row>
    <row r="937">
      <c r="A937" s="7"/>
      <c r="B937" s="419"/>
      <c r="C937" s="419"/>
      <c r="D937" s="419"/>
      <c r="E937" s="419"/>
      <c r="F937" s="419"/>
      <c r="G937" s="419"/>
      <c r="H937" s="419"/>
      <c r="I937" s="419"/>
      <c r="J937" s="7"/>
    </row>
    <row r="938">
      <c r="A938" s="7"/>
      <c r="B938" s="419"/>
      <c r="C938" s="419"/>
      <c r="D938" s="419"/>
      <c r="E938" s="419"/>
      <c r="F938" s="419"/>
      <c r="G938" s="419"/>
      <c r="H938" s="419"/>
      <c r="I938" s="419"/>
      <c r="J938" s="7"/>
    </row>
    <row r="939">
      <c r="A939" s="7"/>
      <c r="B939" s="419"/>
      <c r="C939" s="419"/>
      <c r="D939" s="419"/>
      <c r="E939" s="419"/>
      <c r="F939" s="419"/>
      <c r="G939" s="419"/>
      <c r="H939" s="419"/>
      <c r="I939" s="419"/>
      <c r="J939" s="7"/>
    </row>
    <row r="940">
      <c r="A940" s="7"/>
      <c r="B940" s="419"/>
      <c r="C940" s="419"/>
      <c r="D940" s="419"/>
      <c r="E940" s="419"/>
      <c r="F940" s="419"/>
      <c r="G940" s="419"/>
      <c r="H940" s="419"/>
      <c r="I940" s="419"/>
      <c r="J940" s="7"/>
    </row>
    <row r="941">
      <c r="A941" s="7"/>
      <c r="B941" s="419"/>
      <c r="C941" s="419"/>
      <c r="D941" s="419"/>
      <c r="E941" s="419"/>
      <c r="F941" s="419"/>
      <c r="G941" s="419"/>
      <c r="H941" s="419"/>
      <c r="I941" s="419"/>
      <c r="J941" s="7"/>
    </row>
    <row r="942">
      <c r="A942" s="7"/>
      <c r="B942" s="419"/>
      <c r="C942" s="419"/>
      <c r="D942" s="419"/>
      <c r="E942" s="419"/>
      <c r="F942" s="419"/>
      <c r="G942" s="419"/>
      <c r="H942" s="419"/>
      <c r="I942" s="419"/>
      <c r="J942" s="7"/>
    </row>
    <row r="943">
      <c r="A943" s="7"/>
      <c r="B943" s="419"/>
      <c r="C943" s="419"/>
      <c r="D943" s="419"/>
      <c r="E943" s="419"/>
      <c r="F943" s="419"/>
      <c r="G943" s="419"/>
      <c r="H943" s="419"/>
      <c r="I943" s="419"/>
      <c r="J943" s="7"/>
    </row>
    <row r="944">
      <c r="A944" s="7"/>
      <c r="B944" s="419"/>
      <c r="C944" s="419"/>
      <c r="D944" s="419"/>
      <c r="E944" s="419"/>
      <c r="F944" s="419"/>
      <c r="G944" s="419"/>
      <c r="H944" s="419"/>
      <c r="I944" s="419"/>
      <c r="J944" s="7"/>
    </row>
    <row r="945">
      <c r="A945" s="7"/>
      <c r="B945" s="419"/>
      <c r="C945" s="419"/>
      <c r="D945" s="419"/>
      <c r="E945" s="419"/>
      <c r="F945" s="419"/>
      <c r="G945" s="419"/>
      <c r="H945" s="419"/>
      <c r="I945" s="419"/>
      <c r="J945" s="7"/>
    </row>
    <row r="946">
      <c r="A946" s="7"/>
      <c r="B946" s="419"/>
      <c r="C946" s="419"/>
      <c r="D946" s="419"/>
      <c r="E946" s="419"/>
      <c r="F946" s="419"/>
      <c r="G946" s="419"/>
      <c r="H946" s="419"/>
      <c r="I946" s="419"/>
      <c r="J946" s="7"/>
    </row>
    <row r="947">
      <c r="A947" s="7"/>
      <c r="B947" s="419"/>
      <c r="C947" s="419"/>
      <c r="D947" s="419"/>
      <c r="E947" s="419"/>
      <c r="F947" s="419"/>
      <c r="G947" s="419"/>
      <c r="H947" s="419"/>
      <c r="I947" s="419"/>
      <c r="J947" s="7"/>
    </row>
    <row r="948">
      <c r="A948" s="7"/>
      <c r="B948" s="419"/>
      <c r="C948" s="419"/>
      <c r="D948" s="419"/>
      <c r="E948" s="419"/>
      <c r="F948" s="419"/>
      <c r="G948" s="419"/>
      <c r="H948" s="419"/>
      <c r="I948" s="419"/>
      <c r="J948" s="7"/>
    </row>
    <row r="949">
      <c r="A949" s="7"/>
      <c r="B949" s="419"/>
      <c r="C949" s="419"/>
      <c r="D949" s="419"/>
      <c r="E949" s="419"/>
      <c r="F949" s="419"/>
      <c r="G949" s="419"/>
      <c r="H949" s="419"/>
      <c r="I949" s="419"/>
      <c r="J949" s="7"/>
    </row>
    <row r="950">
      <c r="A950" s="7"/>
      <c r="B950" s="419"/>
      <c r="C950" s="419"/>
      <c r="D950" s="419"/>
      <c r="E950" s="419"/>
      <c r="F950" s="419"/>
      <c r="G950" s="419"/>
      <c r="H950" s="419"/>
      <c r="I950" s="419"/>
      <c r="J950" s="7"/>
    </row>
    <row r="951">
      <c r="A951" s="7"/>
      <c r="B951" s="419"/>
      <c r="C951" s="419"/>
      <c r="D951" s="419"/>
      <c r="E951" s="419"/>
      <c r="F951" s="419"/>
      <c r="G951" s="419"/>
      <c r="H951" s="419"/>
      <c r="I951" s="419"/>
      <c r="J951" s="7"/>
    </row>
    <row r="952">
      <c r="A952" s="7"/>
      <c r="B952" s="419"/>
      <c r="C952" s="419"/>
      <c r="D952" s="419"/>
      <c r="E952" s="419"/>
      <c r="F952" s="419"/>
      <c r="G952" s="419"/>
      <c r="H952" s="419"/>
      <c r="I952" s="419"/>
      <c r="J952" s="7"/>
    </row>
    <row r="953">
      <c r="A953" s="7"/>
      <c r="B953" s="419"/>
      <c r="C953" s="419"/>
      <c r="D953" s="419"/>
      <c r="E953" s="419"/>
      <c r="F953" s="419"/>
      <c r="G953" s="419"/>
      <c r="H953" s="419"/>
      <c r="I953" s="419"/>
      <c r="J953" s="7"/>
    </row>
    <row r="954">
      <c r="A954" s="7"/>
      <c r="B954" s="419"/>
      <c r="C954" s="419"/>
      <c r="D954" s="419"/>
      <c r="E954" s="419"/>
      <c r="F954" s="419"/>
      <c r="G954" s="419"/>
      <c r="H954" s="419"/>
      <c r="I954" s="419"/>
      <c r="J954" s="7"/>
    </row>
    <row r="955">
      <c r="A955" s="7"/>
      <c r="B955" s="419"/>
      <c r="C955" s="419"/>
      <c r="D955" s="419"/>
      <c r="E955" s="419"/>
      <c r="F955" s="419"/>
      <c r="G955" s="419"/>
      <c r="H955" s="419"/>
      <c r="I955" s="419"/>
      <c r="J955" s="7"/>
    </row>
    <row r="956">
      <c r="A956" s="7"/>
      <c r="B956" s="419"/>
      <c r="C956" s="419"/>
      <c r="D956" s="419"/>
      <c r="E956" s="419"/>
      <c r="F956" s="419"/>
      <c r="G956" s="419"/>
      <c r="H956" s="419"/>
      <c r="I956" s="419"/>
      <c r="J956" s="7"/>
    </row>
    <row r="957">
      <c r="A957" s="7"/>
      <c r="B957" s="419"/>
      <c r="C957" s="419"/>
      <c r="D957" s="419"/>
      <c r="E957" s="419"/>
      <c r="F957" s="419"/>
      <c r="G957" s="419"/>
      <c r="H957" s="419"/>
      <c r="I957" s="419"/>
      <c r="J957" s="7"/>
    </row>
    <row r="958">
      <c r="A958" s="7"/>
      <c r="B958" s="419"/>
      <c r="C958" s="419"/>
      <c r="D958" s="419"/>
      <c r="E958" s="419"/>
      <c r="F958" s="419"/>
      <c r="G958" s="419"/>
      <c r="H958" s="419"/>
      <c r="I958" s="419"/>
      <c r="J958" s="7"/>
    </row>
    <row r="959">
      <c r="A959" s="7"/>
      <c r="B959" s="419"/>
      <c r="C959" s="419"/>
      <c r="D959" s="419"/>
      <c r="E959" s="419"/>
      <c r="F959" s="419"/>
      <c r="G959" s="419"/>
      <c r="H959" s="419"/>
      <c r="I959" s="419"/>
      <c r="J959" s="7"/>
    </row>
    <row r="960">
      <c r="A960" s="7"/>
      <c r="B960" s="419"/>
      <c r="C960" s="419"/>
      <c r="D960" s="419"/>
      <c r="E960" s="419"/>
      <c r="F960" s="419"/>
      <c r="G960" s="419"/>
      <c r="H960" s="419"/>
      <c r="I960" s="419"/>
      <c r="J960" s="7"/>
    </row>
    <row r="961">
      <c r="A961" s="7"/>
      <c r="B961" s="419"/>
      <c r="C961" s="419"/>
      <c r="D961" s="419"/>
      <c r="E961" s="419"/>
      <c r="F961" s="419"/>
      <c r="G961" s="419"/>
      <c r="H961" s="419"/>
      <c r="I961" s="419"/>
      <c r="J961" s="7"/>
    </row>
    <row r="962">
      <c r="A962" s="7"/>
      <c r="B962" s="419"/>
      <c r="C962" s="419"/>
      <c r="D962" s="419"/>
      <c r="E962" s="419"/>
      <c r="F962" s="419"/>
      <c r="G962" s="419"/>
      <c r="H962" s="419"/>
      <c r="I962" s="419"/>
      <c r="J962" s="7"/>
    </row>
    <row r="963">
      <c r="A963" s="7"/>
      <c r="B963" s="419"/>
      <c r="C963" s="419"/>
      <c r="D963" s="419"/>
      <c r="E963" s="419"/>
      <c r="F963" s="419"/>
      <c r="G963" s="419"/>
      <c r="H963" s="419"/>
      <c r="I963" s="419"/>
      <c r="J963" s="7"/>
    </row>
    <row r="964">
      <c r="A964" s="7"/>
      <c r="B964" s="419"/>
      <c r="C964" s="419"/>
      <c r="D964" s="419"/>
      <c r="E964" s="419"/>
      <c r="F964" s="419"/>
      <c r="G964" s="419"/>
      <c r="H964" s="419"/>
      <c r="I964" s="419"/>
      <c r="J964" s="7"/>
    </row>
    <row r="965">
      <c r="A965" s="7"/>
      <c r="B965" s="419"/>
      <c r="C965" s="419"/>
      <c r="D965" s="419"/>
      <c r="E965" s="419"/>
      <c r="F965" s="419"/>
      <c r="G965" s="419"/>
      <c r="H965" s="419"/>
      <c r="I965" s="419"/>
      <c r="J965" s="7"/>
    </row>
    <row r="966">
      <c r="A966" s="7"/>
      <c r="B966" s="419"/>
      <c r="C966" s="419"/>
      <c r="D966" s="419"/>
      <c r="E966" s="419"/>
      <c r="F966" s="419"/>
      <c r="G966" s="419"/>
      <c r="H966" s="419"/>
      <c r="I966" s="419"/>
      <c r="J966" s="7"/>
    </row>
    <row r="967">
      <c r="A967" s="7"/>
      <c r="B967" s="419"/>
      <c r="C967" s="419"/>
      <c r="D967" s="419"/>
      <c r="E967" s="419"/>
      <c r="F967" s="419"/>
      <c r="G967" s="419"/>
      <c r="H967" s="419"/>
      <c r="I967" s="419"/>
      <c r="J967" s="7"/>
    </row>
    <row r="968">
      <c r="A968" s="7"/>
      <c r="B968" s="419"/>
      <c r="C968" s="419"/>
      <c r="D968" s="419"/>
      <c r="E968" s="419"/>
      <c r="F968" s="419"/>
      <c r="G968" s="419"/>
      <c r="H968" s="419"/>
      <c r="I968" s="419"/>
      <c r="J968" s="7"/>
    </row>
    <row r="969">
      <c r="A969" s="7"/>
      <c r="B969" s="419"/>
      <c r="C969" s="419"/>
      <c r="D969" s="419"/>
      <c r="E969" s="419"/>
      <c r="F969" s="419"/>
      <c r="G969" s="419"/>
      <c r="H969" s="419"/>
      <c r="I969" s="419"/>
      <c r="J969" s="7"/>
    </row>
    <row r="970">
      <c r="A970" s="7"/>
      <c r="B970" s="419"/>
      <c r="C970" s="419"/>
      <c r="D970" s="419"/>
      <c r="E970" s="419"/>
      <c r="F970" s="419"/>
      <c r="G970" s="419"/>
      <c r="H970" s="419"/>
      <c r="I970" s="419"/>
      <c r="J970" s="7"/>
    </row>
    <row r="971">
      <c r="A971" s="7"/>
      <c r="B971" s="419"/>
      <c r="C971" s="419"/>
      <c r="D971" s="419"/>
      <c r="E971" s="419"/>
      <c r="F971" s="419"/>
      <c r="G971" s="419"/>
      <c r="H971" s="419"/>
      <c r="I971" s="419"/>
      <c r="J971" s="7"/>
    </row>
    <row r="972">
      <c r="A972" s="7"/>
      <c r="B972" s="419"/>
      <c r="C972" s="419"/>
      <c r="D972" s="419"/>
      <c r="E972" s="419"/>
      <c r="F972" s="419"/>
      <c r="G972" s="419"/>
      <c r="H972" s="419"/>
      <c r="I972" s="419"/>
      <c r="J972" s="7"/>
    </row>
    <row r="973">
      <c r="A973" s="7"/>
      <c r="B973" s="419"/>
      <c r="C973" s="419"/>
      <c r="D973" s="419"/>
      <c r="E973" s="419"/>
      <c r="F973" s="419"/>
      <c r="G973" s="419"/>
      <c r="H973" s="419"/>
      <c r="I973" s="419"/>
      <c r="J973" s="7"/>
    </row>
    <row r="974">
      <c r="A974" s="7"/>
      <c r="B974" s="419"/>
      <c r="C974" s="419"/>
      <c r="D974" s="419"/>
      <c r="E974" s="419"/>
      <c r="F974" s="419"/>
      <c r="G974" s="419"/>
      <c r="H974" s="419"/>
      <c r="I974" s="419"/>
      <c r="J974" s="7"/>
    </row>
    <row r="975">
      <c r="A975" s="7"/>
      <c r="B975" s="419"/>
      <c r="C975" s="419"/>
      <c r="D975" s="419"/>
      <c r="E975" s="419"/>
      <c r="F975" s="419"/>
      <c r="G975" s="419"/>
      <c r="H975" s="419"/>
      <c r="I975" s="419"/>
      <c r="J975" s="7"/>
    </row>
    <row r="976">
      <c r="A976" s="7"/>
      <c r="B976" s="419"/>
      <c r="C976" s="419"/>
      <c r="D976" s="419"/>
      <c r="E976" s="419"/>
      <c r="F976" s="419"/>
      <c r="G976" s="419"/>
      <c r="H976" s="419"/>
      <c r="I976" s="419"/>
      <c r="J976" s="7"/>
    </row>
    <row r="977">
      <c r="A977" s="7"/>
      <c r="B977" s="419"/>
      <c r="C977" s="419"/>
      <c r="D977" s="419"/>
      <c r="E977" s="419"/>
      <c r="F977" s="419"/>
      <c r="G977" s="419"/>
      <c r="H977" s="419"/>
      <c r="I977" s="419"/>
      <c r="J977" s="7"/>
    </row>
    <row r="978">
      <c r="A978" s="7"/>
      <c r="B978" s="419"/>
      <c r="C978" s="419"/>
      <c r="D978" s="419"/>
      <c r="E978" s="419"/>
      <c r="F978" s="419"/>
      <c r="G978" s="419"/>
      <c r="H978" s="419"/>
      <c r="I978" s="419"/>
      <c r="J978" s="7"/>
    </row>
    <row r="979">
      <c r="A979" s="7"/>
      <c r="B979" s="419"/>
      <c r="C979" s="419"/>
      <c r="D979" s="419"/>
      <c r="E979" s="419"/>
      <c r="F979" s="419"/>
      <c r="G979" s="419"/>
      <c r="H979" s="419"/>
      <c r="I979" s="419"/>
      <c r="J979" s="7"/>
    </row>
    <row r="980">
      <c r="A980" s="7"/>
      <c r="B980" s="419"/>
      <c r="C980" s="419"/>
      <c r="D980" s="419"/>
      <c r="E980" s="419"/>
      <c r="F980" s="419"/>
      <c r="G980" s="419"/>
      <c r="H980" s="419"/>
      <c r="I980" s="419"/>
      <c r="J980" s="7"/>
    </row>
    <row r="981">
      <c r="A981" s="7"/>
      <c r="B981" s="419"/>
      <c r="C981" s="419"/>
      <c r="D981" s="419"/>
      <c r="E981" s="419"/>
      <c r="F981" s="419"/>
      <c r="G981" s="419"/>
      <c r="H981" s="419"/>
      <c r="I981" s="419"/>
      <c r="J981" s="7"/>
    </row>
    <row r="982">
      <c r="A982" s="7"/>
      <c r="B982" s="419"/>
      <c r="C982" s="419"/>
      <c r="D982" s="419"/>
      <c r="E982" s="419"/>
      <c r="F982" s="419"/>
      <c r="G982" s="419"/>
      <c r="H982" s="419"/>
      <c r="I982" s="419"/>
      <c r="J982" s="7"/>
    </row>
    <row r="983">
      <c r="A983" s="7"/>
      <c r="B983" s="419"/>
      <c r="C983" s="419"/>
      <c r="D983" s="419"/>
      <c r="E983" s="419"/>
      <c r="F983" s="419"/>
      <c r="G983" s="419"/>
      <c r="H983" s="419"/>
      <c r="I983" s="419"/>
      <c r="J983" s="7"/>
    </row>
    <row r="984">
      <c r="A984" s="7"/>
      <c r="B984" s="419"/>
      <c r="C984" s="419"/>
      <c r="D984" s="419"/>
      <c r="E984" s="419"/>
      <c r="F984" s="419"/>
      <c r="G984" s="419"/>
      <c r="H984" s="419"/>
      <c r="I984" s="419"/>
      <c r="J984" s="7"/>
    </row>
    <row r="985">
      <c r="A985" s="7"/>
      <c r="B985" s="419"/>
      <c r="C985" s="419"/>
      <c r="D985" s="419"/>
      <c r="E985" s="419"/>
      <c r="F985" s="419"/>
      <c r="G985" s="419"/>
      <c r="H985" s="419"/>
      <c r="I985" s="419"/>
      <c r="J985" s="7"/>
    </row>
    <row r="986">
      <c r="A986" s="7"/>
      <c r="B986" s="419"/>
      <c r="C986" s="419"/>
      <c r="D986" s="419"/>
      <c r="E986" s="419"/>
      <c r="F986" s="419"/>
      <c r="G986" s="419"/>
      <c r="H986" s="419"/>
      <c r="I986" s="419"/>
      <c r="J986" s="7"/>
    </row>
    <row r="987">
      <c r="A987" s="7"/>
      <c r="B987" s="419"/>
      <c r="C987" s="419"/>
      <c r="D987" s="419"/>
      <c r="E987" s="419"/>
      <c r="F987" s="419"/>
      <c r="G987" s="419"/>
      <c r="H987" s="419"/>
      <c r="I987" s="419"/>
      <c r="J987" s="7"/>
    </row>
    <row r="988">
      <c r="A988" s="7"/>
      <c r="B988" s="419"/>
      <c r="C988" s="419"/>
      <c r="D988" s="419"/>
      <c r="E988" s="419"/>
      <c r="F988" s="419"/>
      <c r="G988" s="419"/>
      <c r="H988" s="419"/>
      <c r="I988" s="419"/>
      <c r="J988" s="7"/>
    </row>
    <row r="989">
      <c r="A989" s="7"/>
      <c r="B989" s="419"/>
      <c r="C989" s="419"/>
      <c r="D989" s="419"/>
      <c r="E989" s="419"/>
      <c r="F989" s="419"/>
      <c r="G989" s="419"/>
      <c r="H989" s="419"/>
      <c r="I989" s="419"/>
      <c r="J989" s="7"/>
    </row>
    <row r="990">
      <c r="A990" s="7"/>
      <c r="B990" s="419"/>
      <c r="C990" s="419"/>
      <c r="D990" s="419"/>
      <c r="E990" s="419"/>
      <c r="F990" s="419"/>
      <c r="G990" s="419"/>
      <c r="H990" s="419"/>
      <c r="I990" s="419"/>
      <c r="J990" s="7"/>
    </row>
    <row r="991">
      <c r="A991" s="7"/>
      <c r="B991" s="419"/>
      <c r="C991" s="419"/>
      <c r="D991" s="419"/>
      <c r="E991" s="419"/>
      <c r="F991" s="419"/>
      <c r="G991" s="419"/>
      <c r="H991" s="419"/>
      <c r="I991" s="419"/>
      <c r="J991" s="7"/>
    </row>
    <row r="992">
      <c r="A992" s="7"/>
      <c r="B992" s="419"/>
      <c r="C992" s="419"/>
      <c r="D992" s="419"/>
      <c r="E992" s="419"/>
      <c r="F992" s="419"/>
      <c r="G992" s="419"/>
      <c r="H992" s="419"/>
      <c r="I992" s="419"/>
      <c r="J992" s="7"/>
    </row>
    <row r="993">
      <c r="A993" s="7"/>
      <c r="B993" s="419"/>
      <c r="C993" s="419"/>
      <c r="D993" s="419"/>
      <c r="E993" s="419"/>
      <c r="F993" s="419"/>
      <c r="G993" s="419"/>
      <c r="H993" s="419"/>
      <c r="I993" s="419"/>
      <c r="J993" s="7"/>
    </row>
    <row r="994">
      <c r="A994" s="7"/>
      <c r="B994" s="419"/>
      <c r="C994" s="419"/>
      <c r="D994" s="419"/>
      <c r="E994" s="419"/>
      <c r="F994" s="419"/>
      <c r="G994" s="419"/>
      <c r="H994" s="419"/>
      <c r="I994" s="419"/>
      <c r="J994" s="7"/>
    </row>
    <row r="995">
      <c r="A995" s="7"/>
      <c r="B995" s="419"/>
      <c r="C995" s="419"/>
      <c r="D995" s="419"/>
      <c r="E995" s="419"/>
      <c r="F995" s="419"/>
      <c r="G995" s="419"/>
      <c r="H995" s="419"/>
      <c r="I995" s="419"/>
      <c r="J995" s="7"/>
    </row>
    <row r="996">
      <c r="A996" s="7"/>
      <c r="B996" s="419"/>
      <c r="C996" s="419"/>
      <c r="D996" s="419"/>
      <c r="E996" s="419"/>
      <c r="F996" s="419"/>
      <c r="G996" s="419"/>
      <c r="H996" s="419"/>
      <c r="I996" s="419"/>
      <c r="J996" s="7"/>
    </row>
    <row r="997">
      <c r="A997" s="7"/>
      <c r="B997" s="419"/>
      <c r="C997" s="419"/>
      <c r="D997" s="419"/>
      <c r="E997" s="419"/>
      <c r="F997" s="419"/>
      <c r="G997" s="419"/>
      <c r="H997" s="419"/>
      <c r="I997" s="419"/>
      <c r="J997" s="7"/>
    </row>
    <row r="998">
      <c r="A998" s="7"/>
      <c r="B998" s="419"/>
      <c r="C998" s="419"/>
      <c r="D998" s="419"/>
      <c r="E998" s="419"/>
      <c r="F998" s="419"/>
      <c r="G998" s="419"/>
      <c r="H998" s="419"/>
      <c r="I998" s="419"/>
      <c r="J998" s="7"/>
    </row>
    <row r="999">
      <c r="A999" s="7"/>
      <c r="B999" s="419"/>
      <c r="C999" s="419"/>
      <c r="D999" s="419"/>
      <c r="E999" s="419"/>
      <c r="F999" s="419"/>
      <c r="G999" s="419"/>
      <c r="H999" s="419"/>
      <c r="I999" s="419"/>
      <c r="J999" s="7"/>
    </row>
    <row r="1000">
      <c r="A1000" s="7"/>
      <c r="B1000" s="419"/>
      <c r="C1000" s="419"/>
      <c r="D1000" s="419"/>
      <c r="E1000" s="419"/>
      <c r="F1000" s="419"/>
      <c r="G1000" s="419"/>
      <c r="H1000" s="419"/>
      <c r="I1000" s="419"/>
      <c r="J1000" s="7"/>
    </row>
    <row r="1001">
      <c r="A1001" s="7"/>
      <c r="B1001" s="419"/>
      <c r="C1001" s="419"/>
      <c r="D1001" s="419"/>
      <c r="E1001" s="419"/>
      <c r="F1001" s="419"/>
      <c r="G1001" s="419"/>
      <c r="H1001" s="419"/>
      <c r="I1001" s="419"/>
      <c r="J1001" s="7"/>
    </row>
    <row r="1002">
      <c r="A1002" s="7"/>
      <c r="B1002" s="419"/>
      <c r="C1002" s="419"/>
      <c r="D1002" s="419"/>
      <c r="E1002" s="419"/>
      <c r="F1002" s="419"/>
      <c r="G1002" s="419"/>
      <c r="H1002" s="419"/>
      <c r="I1002" s="419"/>
      <c r="J1002" s="7"/>
    </row>
    <row r="1003">
      <c r="A1003" s="7"/>
      <c r="B1003" s="419"/>
      <c r="C1003" s="419"/>
      <c r="D1003" s="419"/>
      <c r="E1003" s="419"/>
      <c r="F1003" s="419"/>
      <c r="G1003" s="419"/>
      <c r="H1003" s="419"/>
      <c r="I1003" s="419"/>
      <c r="J1003" s="7"/>
    </row>
    <row r="1004">
      <c r="A1004" s="7"/>
      <c r="B1004" s="419"/>
      <c r="C1004" s="419"/>
      <c r="D1004" s="419"/>
      <c r="E1004" s="419"/>
      <c r="F1004" s="419"/>
      <c r="G1004" s="419"/>
      <c r="H1004" s="419"/>
      <c r="I1004" s="419"/>
      <c r="J1004" s="7"/>
    </row>
    <row r="1005">
      <c r="A1005" s="7"/>
      <c r="B1005" s="419"/>
      <c r="C1005" s="419"/>
      <c r="D1005" s="419"/>
      <c r="E1005" s="419"/>
      <c r="F1005" s="419"/>
      <c r="G1005" s="419"/>
      <c r="H1005" s="419"/>
      <c r="I1005" s="419"/>
      <c r="J1005" s="7"/>
    </row>
    <row r="1006">
      <c r="A1006" s="7"/>
      <c r="B1006" s="419"/>
      <c r="C1006" s="419"/>
      <c r="D1006" s="419"/>
      <c r="E1006" s="419"/>
      <c r="F1006" s="419"/>
      <c r="G1006" s="419"/>
      <c r="H1006" s="419"/>
      <c r="I1006" s="419"/>
      <c r="J1006" s="7"/>
    </row>
    <row r="1007">
      <c r="A1007" s="7"/>
      <c r="B1007" s="419"/>
      <c r="C1007" s="419"/>
      <c r="D1007" s="419"/>
      <c r="E1007" s="419"/>
      <c r="F1007" s="419"/>
      <c r="G1007" s="419"/>
      <c r="H1007" s="419"/>
      <c r="I1007" s="419"/>
      <c r="J1007" s="7"/>
    </row>
    <row r="1008">
      <c r="A1008" s="7"/>
      <c r="B1008" s="419"/>
      <c r="C1008" s="419"/>
      <c r="D1008" s="419"/>
      <c r="E1008" s="419"/>
      <c r="F1008" s="419"/>
      <c r="G1008" s="419"/>
      <c r="H1008" s="419"/>
      <c r="I1008" s="419"/>
      <c r="J1008" s="7"/>
    </row>
    <row r="1009">
      <c r="A1009" s="7"/>
      <c r="B1009" s="419"/>
      <c r="C1009" s="419"/>
      <c r="D1009" s="419"/>
      <c r="E1009" s="419"/>
      <c r="F1009" s="419"/>
      <c r="G1009" s="419"/>
      <c r="H1009" s="419"/>
      <c r="I1009" s="419"/>
      <c r="J1009" s="7"/>
    </row>
    <row r="1010">
      <c r="A1010" s="7"/>
      <c r="B1010" s="419"/>
      <c r="C1010" s="419"/>
      <c r="D1010" s="419"/>
      <c r="E1010" s="419"/>
      <c r="F1010" s="419"/>
      <c r="G1010" s="419"/>
      <c r="H1010" s="419"/>
      <c r="I1010" s="419"/>
      <c r="J1010" s="7"/>
    </row>
    <row r="1011">
      <c r="A1011" s="7"/>
      <c r="B1011" s="419"/>
      <c r="C1011" s="419"/>
      <c r="D1011" s="419"/>
      <c r="E1011" s="419"/>
      <c r="F1011" s="419"/>
      <c r="G1011" s="419"/>
      <c r="H1011" s="419"/>
      <c r="I1011" s="419"/>
      <c r="J1011" s="7"/>
    </row>
    <row r="1012">
      <c r="A1012" s="7"/>
      <c r="B1012" s="419"/>
      <c r="C1012" s="419"/>
      <c r="D1012" s="419"/>
      <c r="E1012" s="419"/>
      <c r="F1012" s="419"/>
      <c r="G1012" s="419"/>
      <c r="H1012" s="419"/>
      <c r="I1012" s="419"/>
      <c r="J1012" s="7"/>
    </row>
    <row r="1013">
      <c r="A1013" s="7"/>
      <c r="B1013" s="419"/>
      <c r="C1013" s="419"/>
      <c r="D1013" s="419"/>
      <c r="E1013" s="419"/>
      <c r="F1013" s="419"/>
      <c r="G1013" s="419"/>
      <c r="H1013" s="419"/>
      <c r="I1013" s="419"/>
      <c r="J1013" s="7"/>
    </row>
    <row r="1014">
      <c r="A1014" s="7"/>
      <c r="B1014" s="419"/>
      <c r="C1014" s="419"/>
      <c r="D1014" s="419"/>
      <c r="E1014" s="419"/>
      <c r="F1014" s="419"/>
      <c r="G1014" s="419"/>
      <c r="H1014" s="419"/>
      <c r="I1014" s="419"/>
      <c r="J1014" s="7"/>
    </row>
    <row r="1015">
      <c r="A1015" s="7"/>
      <c r="B1015" s="419"/>
      <c r="C1015" s="419"/>
      <c r="D1015" s="419"/>
      <c r="E1015" s="419"/>
      <c r="F1015" s="419"/>
      <c r="G1015" s="419"/>
      <c r="H1015" s="419"/>
      <c r="I1015" s="419"/>
      <c r="J1015" s="7"/>
    </row>
    <row r="1016">
      <c r="A1016" s="7"/>
      <c r="B1016" s="419"/>
      <c r="C1016" s="419"/>
      <c r="D1016" s="419"/>
      <c r="E1016" s="419"/>
      <c r="F1016" s="419"/>
      <c r="G1016" s="419"/>
      <c r="H1016" s="419"/>
      <c r="I1016" s="419"/>
      <c r="J1016" s="7"/>
    </row>
    <row r="1017">
      <c r="A1017" s="7"/>
      <c r="B1017" s="419"/>
      <c r="C1017" s="419"/>
      <c r="D1017" s="419"/>
      <c r="E1017" s="419"/>
      <c r="F1017" s="419"/>
      <c r="G1017" s="419"/>
      <c r="H1017" s="419"/>
      <c r="I1017" s="419"/>
      <c r="J1017" s="7"/>
    </row>
    <row r="1018">
      <c r="A1018" s="7"/>
      <c r="B1018" s="419"/>
      <c r="C1018" s="419"/>
      <c r="D1018" s="419"/>
      <c r="E1018" s="419"/>
      <c r="F1018" s="419"/>
      <c r="G1018" s="419"/>
      <c r="H1018" s="419"/>
      <c r="I1018" s="419"/>
      <c r="J1018" s="7"/>
    </row>
    <row r="1019">
      <c r="A1019" s="7"/>
      <c r="B1019" s="419"/>
      <c r="C1019" s="419"/>
      <c r="D1019" s="419"/>
      <c r="E1019" s="419"/>
      <c r="F1019" s="419"/>
      <c r="G1019" s="419"/>
      <c r="H1019" s="419"/>
      <c r="I1019" s="419"/>
      <c r="J1019" s="7"/>
    </row>
    <row r="1020">
      <c r="A1020" s="7"/>
      <c r="B1020" s="419"/>
      <c r="C1020" s="419"/>
      <c r="D1020" s="419"/>
      <c r="E1020" s="419"/>
      <c r="F1020" s="419"/>
      <c r="G1020" s="419"/>
      <c r="H1020" s="419"/>
      <c r="I1020" s="419"/>
      <c r="J1020" s="7"/>
    </row>
    <row r="1021">
      <c r="A1021" s="7"/>
      <c r="B1021" s="419"/>
      <c r="C1021" s="419"/>
      <c r="D1021" s="419"/>
      <c r="E1021" s="419"/>
      <c r="F1021" s="419"/>
      <c r="G1021" s="419"/>
      <c r="H1021" s="419"/>
      <c r="I1021" s="419"/>
      <c r="J1021" s="7"/>
    </row>
    <row r="1022">
      <c r="A1022" s="7"/>
      <c r="B1022" s="419"/>
      <c r="C1022" s="419"/>
      <c r="D1022" s="419"/>
      <c r="E1022" s="419"/>
      <c r="F1022" s="419"/>
      <c r="G1022" s="419"/>
      <c r="H1022" s="419"/>
      <c r="I1022" s="419"/>
      <c r="J1022" s="7"/>
    </row>
    <row r="1023">
      <c r="A1023" s="7"/>
      <c r="B1023" s="419"/>
      <c r="C1023" s="419"/>
      <c r="D1023" s="419"/>
      <c r="E1023" s="419"/>
      <c r="F1023" s="419"/>
      <c r="G1023" s="419"/>
      <c r="H1023" s="419"/>
      <c r="I1023" s="419"/>
      <c r="J1023" s="7"/>
    </row>
    <row r="1024">
      <c r="A1024" s="7"/>
      <c r="B1024" s="419"/>
      <c r="C1024" s="419"/>
      <c r="D1024" s="419"/>
      <c r="E1024" s="419"/>
      <c r="F1024" s="419"/>
      <c r="G1024" s="419"/>
      <c r="H1024" s="419"/>
      <c r="I1024" s="419"/>
      <c r="J1024" s="7"/>
    </row>
    <row r="1025">
      <c r="A1025" s="7"/>
      <c r="B1025" s="419"/>
      <c r="C1025" s="419"/>
      <c r="D1025" s="419"/>
      <c r="E1025" s="419"/>
      <c r="F1025" s="419"/>
      <c r="G1025" s="419"/>
      <c r="H1025" s="419"/>
      <c r="I1025" s="419"/>
      <c r="J1025" s="7"/>
    </row>
    <row r="1026">
      <c r="A1026" s="7"/>
      <c r="B1026" s="419"/>
      <c r="C1026" s="419"/>
      <c r="D1026" s="419"/>
      <c r="E1026" s="419"/>
      <c r="F1026" s="419"/>
      <c r="G1026" s="419"/>
      <c r="H1026" s="419"/>
      <c r="I1026" s="419"/>
      <c r="J1026" s="7"/>
    </row>
    <row r="1027">
      <c r="A1027" s="7"/>
      <c r="B1027" s="419"/>
      <c r="C1027" s="419"/>
      <c r="D1027" s="419"/>
      <c r="E1027" s="419"/>
      <c r="F1027" s="419"/>
      <c r="G1027" s="419"/>
      <c r="H1027" s="419"/>
      <c r="I1027" s="419"/>
      <c r="J1027" s="7"/>
    </row>
    <row r="1028">
      <c r="A1028" s="7"/>
      <c r="B1028" s="419"/>
      <c r="C1028" s="419"/>
      <c r="D1028" s="419"/>
      <c r="E1028" s="419"/>
      <c r="F1028" s="419"/>
      <c r="G1028" s="419"/>
      <c r="H1028" s="419"/>
      <c r="I1028" s="419"/>
      <c r="J1028" s="7"/>
    </row>
  </sheetData>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2.0"/>
    <col customWidth="1" min="2" max="2" width="15.0"/>
  </cols>
  <sheetData>
    <row r="1">
      <c r="A1" s="423" t="s">
        <v>166</v>
      </c>
      <c r="B1" s="424" t="s">
        <v>796</v>
      </c>
      <c r="C1" s="424" t="s">
        <v>1359</v>
      </c>
    </row>
    <row r="2" ht="70.5" customHeight="1">
      <c r="A2" s="423" t="s">
        <v>2003</v>
      </c>
      <c r="B2" s="425" t="str">
        <f>image("https://ten-sura-m.bn-ent.net/assets/pre-campaign/reward/item-0.png")</f>
        <v/>
      </c>
      <c r="C2" s="425"/>
    </row>
    <row r="3" ht="70.5" customHeight="1">
      <c r="A3" s="423" t="s">
        <v>1407</v>
      </c>
      <c r="B3" s="425" t="str">
        <f>image("https://ten-sura-m.bn-ent.net/assets/pre-campaign/reward/item-1.png")</f>
        <v/>
      </c>
      <c r="C3" s="425"/>
    </row>
    <row r="4" ht="70.5" customHeight="1">
      <c r="A4" s="423" t="s">
        <v>2004</v>
      </c>
      <c r="B4" s="425" t="str">
        <f>image("https://ten-sura-m.bn-ent.net/assets/pre-campaign/reward/item-2.png")</f>
        <v/>
      </c>
      <c r="C4" s="425"/>
    </row>
    <row r="5" ht="70.5" customHeight="1">
      <c r="A5" s="426" t="s">
        <v>2005</v>
      </c>
      <c r="B5" s="425" t="str">
        <f>image("https://ten-sura-m.bn-ent.net/assets/pre-campaign/reward/item-5.png")</f>
        <v/>
      </c>
      <c r="C5" s="425"/>
    </row>
    <row r="6" ht="70.5" customHeight="1">
      <c r="A6" s="426" t="s">
        <v>2006</v>
      </c>
      <c r="B6" s="425" t="str">
        <f>image("https://ten-sura-m.bn-ent.net/assets/pre-campaign/reward/item-7.png")</f>
        <v/>
      </c>
      <c r="C6" s="425"/>
    </row>
    <row r="7" ht="70.5" customHeight="1">
      <c r="A7" s="423" t="s">
        <v>2007</v>
      </c>
      <c r="B7" s="425" t="str">
        <f>image("https://ten-sura-m.bn-ent.net/assets/pre-campaign/reward/item-11.png")</f>
        <v/>
      </c>
      <c r="C7" s="425"/>
    </row>
    <row r="8" ht="70.5" customHeight="1">
      <c r="A8" s="427"/>
      <c r="B8" s="425"/>
      <c r="C8" s="425"/>
    </row>
    <row r="9" ht="70.5" customHeight="1">
      <c r="A9" s="427"/>
      <c r="B9" s="425"/>
      <c r="C9" s="425"/>
    </row>
    <row r="10" ht="70.5" customHeight="1">
      <c r="A10" s="427"/>
      <c r="B10" s="425"/>
      <c r="C10" s="425"/>
    </row>
    <row r="11" ht="70.5" customHeight="1">
      <c r="A11" s="427"/>
      <c r="B11" s="425"/>
      <c r="C11" s="425"/>
    </row>
    <row r="12" ht="70.5" customHeight="1">
      <c r="A12" s="427"/>
      <c r="B12" s="425"/>
      <c r="C12" s="425"/>
    </row>
    <row r="13" ht="70.5" customHeight="1">
      <c r="A13" s="427"/>
      <c r="B13" s="425"/>
      <c r="C13" s="425"/>
    </row>
    <row r="14" ht="70.5" customHeight="1">
      <c r="A14" s="427"/>
      <c r="B14" s="425"/>
      <c r="C14" s="425"/>
    </row>
    <row r="15" ht="70.5" customHeight="1">
      <c r="A15" s="427"/>
      <c r="B15" s="425"/>
      <c r="C15" s="425"/>
    </row>
    <row r="16" ht="70.5" customHeight="1">
      <c r="A16" s="427"/>
      <c r="B16" s="425"/>
      <c r="C16" s="425"/>
    </row>
    <row r="17" ht="70.5" customHeight="1">
      <c r="A17" s="427"/>
      <c r="B17" s="425"/>
      <c r="C17" s="425"/>
    </row>
    <row r="18" ht="70.5" customHeight="1">
      <c r="A18" s="427"/>
      <c r="B18" s="425"/>
      <c r="C18" s="425"/>
    </row>
    <row r="19" ht="70.5" customHeight="1">
      <c r="A19" s="427"/>
      <c r="B19" s="425"/>
      <c r="C19" s="425"/>
    </row>
    <row r="20" ht="70.5" customHeight="1">
      <c r="A20" s="427"/>
      <c r="B20" s="425"/>
      <c r="C20" s="425"/>
    </row>
    <row r="21" ht="70.5" customHeight="1">
      <c r="A21" s="427"/>
      <c r="B21" s="425"/>
      <c r="C21" s="425"/>
    </row>
    <row r="22" ht="70.5" customHeight="1">
      <c r="A22" s="427"/>
      <c r="B22" s="425"/>
      <c r="C22" s="425"/>
    </row>
    <row r="23" ht="70.5" customHeight="1">
      <c r="A23" s="427"/>
      <c r="B23" s="425"/>
      <c r="C23" s="425"/>
    </row>
    <row r="24" ht="70.5" customHeight="1">
      <c r="A24" s="427"/>
      <c r="B24" s="425"/>
      <c r="C24" s="425"/>
    </row>
    <row r="25" ht="70.5" customHeight="1">
      <c r="A25" s="427"/>
      <c r="B25" s="425"/>
      <c r="C25" s="425"/>
    </row>
    <row r="26" ht="70.5" customHeight="1">
      <c r="A26" s="427"/>
      <c r="B26" s="425"/>
      <c r="C26" s="425"/>
    </row>
    <row r="27" ht="70.5" customHeight="1">
      <c r="A27" s="427"/>
      <c r="B27" s="425"/>
      <c r="C27" s="425"/>
    </row>
    <row r="28" ht="70.5" customHeight="1">
      <c r="A28" s="427"/>
      <c r="B28" s="425"/>
      <c r="C28" s="425"/>
    </row>
    <row r="29" ht="70.5" customHeight="1">
      <c r="A29" s="427"/>
      <c r="B29" s="425"/>
      <c r="C29" s="425"/>
    </row>
    <row r="30" ht="70.5" customHeight="1">
      <c r="A30" s="427"/>
      <c r="B30" s="425"/>
      <c r="C30" s="425"/>
    </row>
    <row r="31" ht="70.5" customHeight="1">
      <c r="A31" s="427"/>
      <c r="B31" s="425"/>
      <c r="C31" s="425"/>
    </row>
    <row r="32" ht="70.5" customHeight="1">
      <c r="A32" s="427"/>
      <c r="B32" s="425"/>
      <c r="C32" s="425"/>
    </row>
    <row r="33" ht="70.5" customHeight="1">
      <c r="A33" s="427"/>
      <c r="B33" s="425"/>
      <c r="C33" s="425"/>
    </row>
    <row r="34" ht="70.5" customHeight="1">
      <c r="A34" s="427"/>
      <c r="B34" s="425"/>
      <c r="C34" s="425"/>
    </row>
    <row r="35" ht="70.5" customHeight="1">
      <c r="A35" s="427"/>
      <c r="B35" s="425"/>
      <c r="C35" s="425"/>
    </row>
    <row r="36" ht="70.5" customHeight="1">
      <c r="A36" s="427"/>
      <c r="B36" s="425"/>
      <c r="C36" s="425"/>
    </row>
    <row r="37" ht="70.5" customHeight="1">
      <c r="A37" s="427"/>
      <c r="B37" s="425"/>
      <c r="C37" s="425"/>
    </row>
    <row r="38" ht="70.5" customHeight="1">
      <c r="A38" s="427"/>
      <c r="B38" s="425"/>
      <c r="C38" s="425"/>
    </row>
    <row r="39" ht="70.5" customHeight="1">
      <c r="A39" s="427"/>
      <c r="B39" s="425"/>
      <c r="C39" s="425"/>
    </row>
    <row r="40" ht="70.5" customHeight="1">
      <c r="A40" s="427"/>
      <c r="B40" s="425"/>
      <c r="C40" s="425"/>
    </row>
    <row r="41" ht="70.5" customHeight="1">
      <c r="A41" s="427"/>
      <c r="B41" s="425"/>
      <c r="C41" s="425"/>
    </row>
    <row r="42" ht="70.5" customHeight="1">
      <c r="A42" s="427"/>
      <c r="B42" s="425"/>
      <c r="C42" s="425"/>
    </row>
    <row r="43" ht="70.5" customHeight="1">
      <c r="A43" s="427"/>
      <c r="B43" s="425"/>
      <c r="C43" s="425"/>
    </row>
    <row r="44" ht="70.5" customHeight="1">
      <c r="A44" s="427"/>
      <c r="B44" s="425"/>
      <c r="C44" s="425"/>
    </row>
    <row r="45" ht="70.5" customHeight="1">
      <c r="A45" s="427"/>
      <c r="B45" s="425"/>
      <c r="C45" s="425"/>
    </row>
    <row r="46" ht="70.5" customHeight="1">
      <c r="A46" s="427"/>
      <c r="B46" s="425"/>
      <c r="C46" s="425"/>
    </row>
    <row r="47" ht="70.5" customHeight="1">
      <c r="A47" s="427"/>
      <c r="B47" s="425"/>
      <c r="C47" s="425"/>
    </row>
    <row r="48" ht="70.5" customHeight="1">
      <c r="A48" s="427"/>
      <c r="B48" s="425"/>
      <c r="C48" s="425"/>
    </row>
    <row r="49" ht="70.5" customHeight="1">
      <c r="A49" s="427"/>
      <c r="B49" s="425"/>
      <c r="C49" s="425"/>
    </row>
    <row r="50" ht="70.5" customHeight="1">
      <c r="A50" s="427"/>
      <c r="B50" s="425"/>
      <c r="C50" s="425"/>
    </row>
    <row r="51" ht="70.5" customHeight="1">
      <c r="A51" s="427"/>
      <c r="B51" s="425"/>
      <c r="C51" s="425"/>
    </row>
    <row r="52" ht="70.5" customHeight="1">
      <c r="A52" s="427"/>
      <c r="B52" s="425"/>
      <c r="C52" s="425"/>
    </row>
    <row r="53" ht="70.5" customHeight="1">
      <c r="A53" s="427"/>
      <c r="B53" s="425"/>
      <c r="C53" s="425"/>
    </row>
    <row r="54" ht="70.5" customHeight="1">
      <c r="A54" s="427"/>
      <c r="B54" s="425"/>
      <c r="C54" s="425"/>
    </row>
    <row r="55" ht="70.5" customHeight="1">
      <c r="A55" s="427"/>
      <c r="B55" s="425"/>
      <c r="C55" s="425"/>
    </row>
    <row r="56" ht="70.5" customHeight="1">
      <c r="A56" s="427"/>
      <c r="B56" s="425"/>
      <c r="C56" s="425"/>
    </row>
    <row r="57" ht="70.5" customHeight="1">
      <c r="A57" s="427"/>
      <c r="B57" s="425"/>
      <c r="C57" s="425"/>
    </row>
    <row r="58" ht="70.5" customHeight="1">
      <c r="A58" s="427"/>
      <c r="B58" s="425"/>
      <c r="C58" s="425"/>
    </row>
    <row r="59" ht="70.5" customHeight="1">
      <c r="A59" s="427"/>
      <c r="B59" s="425"/>
      <c r="C59" s="425"/>
    </row>
    <row r="60" ht="70.5" customHeight="1">
      <c r="A60" s="427"/>
      <c r="B60" s="425"/>
      <c r="C60" s="425"/>
    </row>
    <row r="61" ht="70.5" customHeight="1">
      <c r="A61" s="427"/>
      <c r="B61" s="425"/>
      <c r="C61" s="425"/>
    </row>
    <row r="62" ht="70.5" customHeight="1">
      <c r="A62" s="427"/>
      <c r="B62" s="425"/>
      <c r="C62" s="425"/>
    </row>
    <row r="63" ht="70.5" customHeight="1">
      <c r="A63" s="427"/>
      <c r="B63" s="425"/>
      <c r="C63" s="425"/>
    </row>
    <row r="64" ht="70.5" customHeight="1">
      <c r="A64" s="427"/>
      <c r="B64" s="425"/>
      <c r="C64" s="425"/>
    </row>
    <row r="65" ht="70.5" customHeight="1">
      <c r="A65" s="427"/>
      <c r="B65" s="425"/>
      <c r="C65" s="425"/>
    </row>
    <row r="66" ht="70.5" customHeight="1">
      <c r="A66" s="427"/>
      <c r="B66" s="425"/>
      <c r="C66" s="425"/>
    </row>
    <row r="67" ht="70.5" customHeight="1">
      <c r="A67" s="427"/>
      <c r="B67" s="425"/>
      <c r="C67" s="425"/>
    </row>
    <row r="68" ht="70.5" customHeight="1">
      <c r="A68" s="427"/>
      <c r="B68" s="425"/>
      <c r="C68" s="425"/>
    </row>
    <row r="69" ht="70.5" customHeight="1">
      <c r="A69" s="427"/>
      <c r="B69" s="425"/>
      <c r="C69" s="425"/>
    </row>
    <row r="70" ht="70.5" customHeight="1">
      <c r="A70" s="427"/>
      <c r="B70" s="425"/>
      <c r="C70" s="425"/>
    </row>
    <row r="71" ht="70.5" customHeight="1">
      <c r="A71" s="427"/>
      <c r="B71" s="425"/>
      <c r="C71" s="425"/>
    </row>
    <row r="72" ht="70.5" customHeight="1">
      <c r="A72" s="427"/>
      <c r="B72" s="425"/>
      <c r="C72" s="425"/>
    </row>
    <row r="73" ht="70.5" customHeight="1">
      <c r="A73" s="427"/>
      <c r="B73" s="425"/>
      <c r="C73" s="425"/>
    </row>
    <row r="74" ht="70.5" customHeight="1">
      <c r="A74" s="427"/>
      <c r="B74" s="425"/>
      <c r="C74" s="425"/>
    </row>
    <row r="75" ht="70.5" customHeight="1">
      <c r="A75" s="427"/>
      <c r="B75" s="425"/>
      <c r="C75" s="425"/>
    </row>
    <row r="76" ht="70.5" customHeight="1">
      <c r="A76" s="427"/>
      <c r="B76" s="425"/>
      <c r="C76" s="425"/>
    </row>
    <row r="77" ht="70.5" customHeight="1">
      <c r="A77" s="427"/>
      <c r="B77" s="425"/>
      <c r="C77" s="425"/>
    </row>
    <row r="78" ht="70.5" customHeight="1">
      <c r="A78" s="427"/>
      <c r="B78" s="425"/>
      <c r="C78" s="425"/>
    </row>
    <row r="79" ht="70.5" customHeight="1">
      <c r="A79" s="427"/>
      <c r="B79" s="425"/>
      <c r="C79" s="425"/>
    </row>
    <row r="80" ht="70.5" customHeight="1">
      <c r="A80" s="427"/>
      <c r="B80" s="425"/>
      <c r="C80" s="425"/>
    </row>
    <row r="81" ht="70.5" customHeight="1">
      <c r="A81" s="427"/>
      <c r="B81" s="425"/>
      <c r="C81" s="425"/>
    </row>
    <row r="82" ht="70.5" customHeight="1">
      <c r="A82" s="427"/>
      <c r="B82" s="425"/>
      <c r="C82" s="425"/>
    </row>
    <row r="83" ht="70.5" customHeight="1">
      <c r="A83" s="427"/>
      <c r="B83" s="425"/>
      <c r="C83" s="425"/>
    </row>
    <row r="84" ht="70.5" customHeight="1">
      <c r="A84" s="427"/>
      <c r="B84" s="425"/>
      <c r="C84" s="425"/>
    </row>
    <row r="85" ht="70.5" customHeight="1">
      <c r="A85" s="427"/>
      <c r="B85" s="425"/>
      <c r="C85" s="425"/>
    </row>
    <row r="86" ht="70.5" customHeight="1">
      <c r="A86" s="427"/>
      <c r="B86" s="425"/>
      <c r="C86" s="425"/>
    </row>
    <row r="87" ht="70.5" customHeight="1">
      <c r="A87" s="427"/>
      <c r="B87" s="425"/>
      <c r="C87" s="425"/>
    </row>
    <row r="88" ht="70.5" customHeight="1">
      <c r="A88" s="427"/>
      <c r="B88" s="425"/>
      <c r="C88" s="425"/>
    </row>
    <row r="89" ht="70.5" customHeight="1">
      <c r="A89" s="427"/>
      <c r="B89" s="425"/>
      <c r="C89" s="425"/>
    </row>
    <row r="90" ht="70.5" customHeight="1">
      <c r="A90" s="427"/>
      <c r="B90" s="425"/>
      <c r="C90" s="425"/>
    </row>
    <row r="91" ht="70.5" customHeight="1">
      <c r="A91" s="427"/>
      <c r="B91" s="425"/>
      <c r="C91" s="425"/>
    </row>
    <row r="92" ht="70.5" customHeight="1">
      <c r="A92" s="427"/>
      <c r="B92" s="425"/>
      <c r="C92" s="425"/>
    </row>
    <row r="93" ht="70.5" customHeight="1">
      <c r="A93" s="427"/>
      <c r="B93" s="425"/>
      <c r="C93" s="425"/>
    </row>
    <row r="94" ht="70.5" customHeight="1">
      <c r="A94" s="427"/>
      <c r="B94" s="425"/>
      <c r="C94" s="425"/>
    </row>
    <row r="95" ht="70.5" customHeight="1">
      <c r="A95" s="427"/>
      <c r="B95" s="425"/>
      <c r="C95" s="425"/>
    </row>
    <row r="96" ht="70.5" customHeight="1">
      <c r="A96" s="427"/>
      <c r="B96" s="425"/>
      <c r="C96" s="425"/>
    </row>
    <row r="97" ht="70.5" customHeight="1">
      <c r="A97" s="427"/>
      <c r="B97" s="425"/>
      <c r="C97" s="425"/>
    </row>
    <row r="98" ht="70.5" customHeight="1">
      <c r="A98" s="427"/>
      <c r="B98" s="425"/>
      <c r="C98" s="425"/>
    </row>
    <row r="99" ht="70.5" customHeight="1">
      <c r="A99" s="427"/>
      <c r="B99" s="425"/>
      <c r="C99" s="425"/>
    </row>
    <row r="100" ht="70.5" customHeight="1">
      <c r="A100" s="427"/>
      <c r="B100" s="425"/>
      <c r="C100" s="425"/>
    </row>
    <row r="101" ht="70.5" customHeight="1">
      <c r="A101" s="427"/>
      <c r="B101" s="425"/>
      <c r="C101" s="425"/>
    </row>
    <row r="102" ht="70.5" customHeight="1">
      <c r="A102" s="427"/>
      <c r="B102" s="425"/>
      <c r="C102" s="425"/>
    </row>
    <row r="103" ht="70.5" customHeight="1">
      <c r="A103" s="427"/>
      <c r="B103" s="425"/>
      <c r="C103" s="425"/>
    </row>
    <row r="104" ht="70.5" customHeight="1">
      <c r="A104" s="427"/>
      <c r="B104" s="425"/>
      <c r="C104" s="425"/>
    </row>
    <row r="105" ht="70.5" customHeight="1">
      <c r="A105" s="427"/>
      <c r="B105" s="425"/>
      <c r="C105" s="425"/>
    </row>
    <row r="106" ht="70.5" customHeight="1">
      <c r="A106" s="427"/>
      <c r="B106" s="425"/>
      <c r="C106" s="425"/>
    </row>
    <row r="107" ht="70.5" customHeight="1">
      <c r="A107" s="427"/>
      <c r="B107" s="425"/>
      <c r="C107" s="425"/>
    </row>
    <row r="108" ht="70.5" customHeight="1">
      <c r="A108" s="427"/>
      <c r="B108" s="425"/>
      <c r="C108" s="425"/>
    </row>
    <row r="109" ht="70.5" customHeight="1">
      <c r="A109" s="427"/>
      <c r="B109" s="425"/>
      <c r="C109" s="425"/>
    </row>
    <row r="110" ht="70.5" customHeight="1">
      <c r="A110" s="427"/>
      <c r="B110" s="425"/>
      <c r="C110" s="425"/>
    </row>
    <row r="111" ht="70.5" customHeight="1">
      <c r="A111" s="427"/>
      <c r="B111" s="425"/>
      <c r="C111" s="425"/>
    </row>
    <row r="112" ht="70.5" customHeight="1">
      <c r="A112" s="427"/>
      <c r="B112" s="425"/>
      <c r="C112" s="425"/>
    </row>
    <row r="113" ht="70.5" customHeight="1">
      <c r="A113" s="427"/>
      <c r="B113" s="425"/>
      <c r="C113" s="425"/>
    </row>
    <row r="114" ht="70.5" customHeight="1">
      <c r="A114" s="427"/>
      <c r="B114" s="425"/>
      <c r="C114" s="425"/>
    </row>
    <row r="115" ht="70.5" customHeight="1">
      <c r="A115" s="427"/>
      <c r="B115" s="425"/>
      <c r="C115" s="425"/>
    </row>
    <row r="116" ht="70.5" customHeight="1">
      <c r="A116" s="427"/>
      <c r="B116" s="425"/>
      <c r="C116" s="425"/>
    </row>
    <row r="117" ht="70.5" customHeight="1">
      <c r="A117" s="427"/>
      <c r="B117" s="425"/>
      <c r="C117" s="425"/>
    </row>
    <row r="118" ht="70.5" customHeight="1">
      <c r="A118" s="427"/>
      <c r="B118" s="425"/>
      <c r="C118" s="425"/>
    </row>
    <row r="119" ht="70.5" customHeight="1">
      <c r="A119" s="427"/>
      <c r="B119" s="425"/>
      <c r="C119" s="425"/>
    </row>
    <row r="120" ht="70.5" customHeight="1">
      <c r="A120" s="427"/>
      <c r="B120" s="425"/>
      <c r="C120" s="425"/>
    </row>
    <row r="121" ht="70.5" customHeight="1">
      <c r="A121" s="427"/>
      <c r="B121" s="425"/>
      <c r="C121" s="425"/>
    </row>
    <row r="122" ht="70.5" customHeight="1">
      <c r="A122" s="427"/>
      <c r="B122" s="425"/>
      <c r="C122" s="425"/>
    </row>
    <row r="123" ht="70.5" customHeight="1">
      <c r="A123" s="427"/>
      <c r="B123" s="425"/>
      <c r="C123" s="425"/>
    </row>
    <row r="124" ht="70.5" customHeight="1">
      <c r="A124" s="427"/>
      <c r="B124" s="425"/>
      <c r="C124" s="425"/>
    </row>
    <row r="125" ht="70.5" customHeight="1">
      <c r="A125" s="427"/>
      <c r="B125" s="425"/>
      <c r="C125" s="425"/>
    </row>
    <row r="126" ht="70.5" customHeight="1">
      <c r="A126" s="427"/>
      <c r="B126" s="425"/>
      <c r="C126" s="425"/>
    </row>
    <row r="127" ht="70.5" customHeight="1">
      <c r="A127" s="427"/>
      <c r="B127" s="425"/>
      <c r="C127" s="425"/>
    </row>
    <row r="128" ht="70.5" customHeight="1">
      <c r="A128" s="427"/>
      <c r="B128" s="425"/>
      <c r="C128" s="425"/>
    </row>
    <row r="129" ht="70.5" customHeight="1">
      <c r="A129" s="427"/>
      <c r="B129" s="425"/>
      <c r="C129" s="425"/>
    </row>
    <row r="130" ht="70.5" customHeight="1">
      <c r="A130" s="427"/>
      <c r="B130" s="425"/>
      <c r="C130" s="425"/>
    </row>
    <row r="131" ht="70.5" customHeight="1">
      <c r="A131" s="427"/>
      <c r="B131" s="425"/>
      <c r="C131" s="425"/>
    </row>
    <row r="132" ht="70.5" customHeight="1">
      <c r="A132" s="427"/>
      <c r="B132" s="425"/>
      <c r="C132" s="425"/>
    </row>
    <row r="133" ht="70.5" customHeight="1">
      <c r="A133" s="427"/>
      <c r="B133" s="425"/>
      <c r="C133" s="425"/>
    </row>
    <row r="134" ht="70.5" customHeight="1">
      <c r="A134" s="427"/>
      <c r="B134" s="425"/>
      <c r="C134" s="425"/>
    </row>
    <row r="135" ht="70.5" customHeight="1">
      <c r="A135" s="427"/>
      <c r="B135" s="425"/>
      <c r="C135" s="425"/>
    </row>
    <row r="136" ht="70.5" customHeight="1">
      <c r="A136" s="427"/>
      <c r="B136" s="425"/>
      <c r="C136" s="425"/>
    </row>
    <row r="137" ht="70.5" customHeight="1">
      <c r="A137" s="427"/>
      <c r="B137" s="425"/>
      <c r="C137" s="425"/>
    </row>
    <row r="138" ht="70.5" customHeight="1">
      <c r="A138" s="427"/>
      <c r="B138" s="425"/>
      <c r="C138" s="425"/>
    </row>
    <row r="139" ht="70.5" customHeight="1">
      <c r="A139" s="427"/>
      <c r="B139" s="425"/>
      <c r="C139" s="425"/>
    </row>
    <row r="140" ht="70.5" customHeight="1">
      <c r="A140" s="427"/>
      <c r="B140" s="425"/>
      <c r="C140" s="425"/>
    </row>
    <row r="141" ht="70.5" customHeight="1">
      <c r="A141" s="427"/>
      <c r="B141" s="425"/>
      <c r="C141" s="425"/>
    </row>
    <row r="142" ht="70.5" customHeight="1">
      <c r="A142" s="427"/>
      <c r="B142" s="425"/>
      <c r="C142" s="425"/>
    </row>
    <row r="143" ht="70.5" customHeight="1">
      <c r="A143" s="427"/>
      <c r="B143" s="425"/>
      <c r="C143" s="425"/>
    </row>
    <row r="144" ht="70.5" customHeight="1">
      <c r="A144" s="427"/>
      <c r="B144" s="425"/>
      <c r="C144" s="425"/>
    </row>
    <row r="145" ht="70.5" customHeight="1">
      <c r="A145" s="427"/>
      <c r="B145" s="425"/>
      <c r="C145" s="425"/>
    </row>
    <row r="146" ht="70.5" customHeight="1">
      <c r="A146" s="427"/>
      <c r="B146" s="425"/>
      <c r="C146" s="425"/>
    </row>
    <row r="147" ht="70.5" customHeight="1">
      <c r="A147" s="427"/>
      <c r="B147" s="425"/>
      <c r="C147" s="425"/>
    </row>
    <row r="148" ht="70.5" customHeight="1">
      <c r="A148" s="427"/>
      <c r="B148" s="425"/>
      <c r="C148" s="425"/>
    </row>
    <row r="149" ht="70.5" customHeight="1">
      <c r="A149" s="427"/>
      <c r="B149" s="425"/>
      <c r="C149" s="425"/>
    </row>
    <row r="150" ht="70.5" customHeight="1">
      <c r="A150" s="427"/>
      <c r="B150" s="425"/>
      <c r="C150" s="425"/>
    </row>
    <row r="151" ht="70.5" customHeight="1">
      <c r="A151" s="427"/>
      <c r="B151" s="425"/>
      <c r="C151" s="425"/>
    </row>
    <row r="152" ht="70.5" customHeight="1">
      <c r="A152" s="427"/>
      <c r="B152" s="425"/>
      <c r="C152" s="425"/>
    </row>
    <row r="153" ht="70.5" customHeight="1">
      <c r="A153" s="427"/>
      <c r="B153" s="425"/>
      <c r="C153" s="425"/>
    </row>
    <row r="154" ht="70.5" customHeight="1">
      <c r="A154" s="427"/>
      <c r="B154" s="425"/>
      <c r="C154" s="425"/>
    </row>
    <row r="155" ht="70.5" customHeight="1">
      <c r="A155" s="427"/>
      <c r="B155" s="425"/>
      <c r="C155" s="425"/>
    </row>
    <row r="156" ht="70.5" customHeight="1">
      <c r="A156" s="427"/>
      <c r="B156" s="425"/>
      <c r="C156" s="425"/>
    </row>
    <row r="157" ht="70.5" customHeight="1">
      <c r="A157" s="427"/>
      <c r="B157" s="425"/>
      <c r="C157" s="425"/>
    </row>
    <row r="158" ht="70.5" customHeight="1">
      <c r="A158" s="427"/>
      <c r="B158" s="425"/>
      <c r="C158" s="425"/>
    </row>
    <row r="159" ht="70.5" customHeight="1">
      <c r="A159" s="427"/>
      <c r="B159" s="425"/>
      <c r="C159" s="425"/>
    </row>
    <row r="160" ht="70.5" customHeight="1">
      <c r="A160" s="427"/>
      <c r="B160" s="425"/>
      <c r="C160" s="425"/>
    </row>
    <row r="161" ht="70.5" customHeight="1">
      <c r="A161" s="427"/>
      <c r="B161" s="425"/>
      <c r="C161" s="425"/>
    </row>
    <row r="162" ht="70.5" customHeight="1">
      <c r="A162" s="427"/>
      <c r="B162" s="425"/>
      <c r="C162" s="425"/>
    </row>
    <row r="163" ht="70.5" customHeight="1">
      <c r="A163" s="427"/>
      <c r="B163" s="425"/>
      <c r="C163" s="425"/>
    </row>
    <row r="164" ht="70.5" customHeight="1">
      <c r="A164" s="427"/>
      <c r="B164" s="425"/>
      <c r="C164" s="425"/>
    </row>
    <row r="165" ht="70.5" customHeight="1">
      <c r="A165" s="427"/>
      <c r="B165" s="425"/>
      <c r="C165" s="425"/>
    </row>
    <row r="166" ht="70.5" customHeight="1">
      <c r="A166" s="427"/>
      <c r="B166" s="425"/>
      <c r="C166" s="425"/>
    </row>
    <row r="167" ht="70.5" customHeight="1">
      <c r="A167" s="427"/>
      <c r="B167" s="425"/>
      <c r="C167" s="425"/>
    </row>
    <row r="168" ht="70.5" customHeight="1">
      <c r="A168" s="427"/>
      <c r="B168" s="425"/>
      <c r="C168" s="425"/>
    </row>
    <row r="169" ht="70.5" customHeight="1">
      <c r="A169" s="427"/>
      <c r="B169" s="425"/>
      <c r="C169" s="425"/>
    </row>
    <row r="170" ht="70.5" customHeight="1">
      <c r="A170" s="427"/>
      <c r="B170" s="425"/>
      <c r="C170" s="425"/>
    </row>
    <row r="171" ht="70.5" customHeight="1">
      <c r="A171" s="427"/>
      <c r="B171" s="425"/>
      <c r="C171" s="425"/>
    </row>
    <row r="172" ht="70.5" customHeight="1">
      <c r="A172" s="427"/>
      <c r="B172" s="425"/>
      <c r="C172" s="425"/>
    </row>
    <row r="173" ht="70.5" customHeight="1">
      <c r="A173" s="427"/>
      <c r="B173" s="425"/>
      <c r="C173" s="425"/>
    </row>
    <row r="174" ht="70.5" customHeight="1">
      <c r="A174" s="427"/>
      <c r="B174" s="425"/>
      <c r="C174" s="425"/>
    </row>
    <row r="175" ht="70.5" customHeight="1">
      <c r="A175" s="427"/>
      <c r="B175" s="425"/>
      <c r="C175" s="425"/>
    </row>
    <row r="176" ht="70.5" customHeight="1">
      <c r="A176" s="427"/>
      <c r="B176" s="425"/>
      <c r="C176" s="425"/>
    </row>
    <row r="177" ht="70.5" customHeight="1">
      <c r="A177" s="427"/>
      <c r="B177" s="425"/>
      <c r="C177" s="425"/>
    </row>
    <row r="178" ht="70.5" customHeight="1">
      <c r="A178" s="427"/>
      <c r="B178" s="425"/>
      <c r="C178" s="425"/>
    </row>
    <row r="179" ht="70.5" customHeight="1">
      <c r="A179" s="427"/>
      <c r="B179" s="425"/>
      <c r="C179" s="425"/>
    </row>
    <row r="180" ht="70.5" customHeight="1">
      <c r="A180" s="427"/>
      <c r="B180" s="425"/>
      <c r="C180" s="425"/>
    </row>
    <row r="181" ht="70.5" customHeight="1">
      <c r="A181" s="427"/>
      <c r="B181" s="425"/>
      <c r="C181" s="425"/>
    </row>
    <row r="182" ht="70.5" customHeight="1">
      <c r="A182" s="427"/>
      <c r="B182" s="425"/>
      <c r="C182" s="425"/>
    </row>
    <row r="183" ht="70.5" customHeight="1">
      <c r="A183" s="427"/>
      <c r="B183" s="425"/>
      <c r="C183" s="425"/>
    </row>
    <row r="184" ht="70.5" customHeight="1">
      <c r="A184" s="427"/>
      <c r="B184" s="425"/>
      <c r="C184" s="425"/>
    </row>
    <row r="185" ht="70.5" customHeight="1">
      <c r="A185" s="427"/>
      <c r="B185" s="425"/>
      <c r="C185" s="425"/>
    </row>
    <row r="186" ht="70.5" customHeight="1">
      <c r="A186" s="427"/>
      <c r="B186" s="425"/>
      <c r="C186" s="425"/>
    </row>
    <row r="187" ht="70.5" customHeight="1">
      <c r="A187" s="427"/>
      <c r="B187" s="425"/>
      <c r="C187" s="425"/>
    </row>
    <row r="188" ht="70.5" customHeight="1">
      <c r="A188" s="427"/>
      <c r="B188" s="425"/>
      <c r="C188" s="425"/>
    </row>
    <row r="189" ht="70.5" customHeight="1">
      <c r="A189" s="427"/>
      <c r="B189" s="425"/>
      <c r="C189" s="425"/>
    </row>
    <row r="190" ht="70.5" customHeight="1">
      <c r="A190" s="427"/>
      <c r="B190" s="425"/>
      <c r="C190" s="425"/>
    </row>
    <row r="191" ht="70.5" customHeight="1">
      <c r="A191" s="427"/>
      <c r="B191" s="425"/>
      <c r="C191" s="425"/>
    </row>
    <row r="192" ht="70.5" customHeight="1">
      <c r="A192" s="427"/>
      <c r="B192" s="425"/>
      <c r="C192" s="425"/>
    </row>
    <row r="193" ht="70.5" customHeight="1">
      <c r="A193" s="427"/>
      <c r="B193" s="425"/>
      <c r="C193" s="425"/>
    </row>
    <row r="194" ht="70.5" customHeight="1">
      <c r="A194" s="427"/>
      <c r="B194" s="425"/>
      <c r="C194" s="425"/>
    </row>
    <row r="195" ht="70.5" customHeight="1">
      <c r="A195" s="427"/>
      <c r="B195" s="425"/>
      <c r="C195" s="425"/>
    </row>
    <row r="196" ht="70.5" customHeight="1">
      <c r="A196" s="427"/>
      <c r="B196" s="425"/>
      <c r="C196" s="425"/>
    </row>
    <row r="197" ht="70.5" customHeight="1">
      <c r="A197" s="427"/>
      <c r="B197" s="425"/>
      <c r="C197" s="425"/>
    </row>
    <row r="198" ht="70.5" customHeight="1">
      <c r="A198" s="427"/>
      <c r="B198" s="425"/>
      <c r="C198" s="425"/>
    </row>
    <row r="199" ht="70.5" customHeight="1">
      <c r="A199" s="427"/>
      <c r="B199" s="425"/>
      <c r="C199" s="425"/>
    </row>
    <row r="200" ht="70.5" customHeight="1">
      <c r="A200" s="427"/>
      <c r="B200" s="425"/>
      <c r="C200" s="425"/>
    </row>
    <row r="201" ht="70.5" customHeight="1">
      <c r="A201" s="427"/>
      <c r="B201" s="425"/>
      <c r="C201" s="425"/>
    </row>
    <row r="202" ht="70.5" customHeight="1">
      <c r="A202" s="427"/>
      <c r="B202" s="425"/>
      <c r="C202" s="425"/>
    </row>
    <row r="203" ht="70.5" customHeight="1">
      <c r="A203" s="427"/>
      <c r="B203" s="425"/>
      <c r="C203" s="425"/>
    </row>
    <row r="204" ht="70.5" customHeight="1">
      <c r="A204" s="427"/>
      <c r="B204" s="425"/>
      <c r="C204" s="425"/>
    </row>
    <row r="205" ht="70.5" customHeight="1">
      <c r="A205" s="427"/>
      <c r="B205" s="425"/>
      <c r="C205" s="425"/>
    </row>
    <row r="206" ht="70.5" customHeight="1">
      <c r="A206" s="427"/>
      <c r="B206" s="425"/>
      <c r="C206" s="425"/>
    </row>
    <row r="207" ht="70.5" customHeight="1">
      <c r="A207" s="427"/>
      <c r="B207" s="425"/>
      <c r="C207" s="425"/>
    </row>
    <row r="208" ht="70.5" customHeight="1">
      <c r="A208" s="427"/>
      <c r="B208" s="425"/>
      <c r="C208" s="425"/>
    </row>
    <row r="209" ht="70.5" customHeight="1">
      <c r="A209" s="427"/>
      <c r="B209" s="425"/>
      <c r="C209" s="425"/>
    </row>
    <row r="210" ht="70.5" customHeight="1">
      <c r="A210" s="427"/>
      <c r="B210" s="425"/>
      <c r="C210" s="425"/>
    </row>
    <row r="211" ht="70.5" customHeight="1">
      <c r="A211" s="427"/>
      <c r="B211" s="425"/>
      <c r="C211" s="425"/>
    </row>
    <row r="212" ht="70.5" customHeight="1">
      <c r="A212" s="427"/>
      <c r="B212" s="425"/>
      <c r="C212" s="425"/>
    </row>
    <row r="213" ht="70.5" customHeight="1">
      <c r="A213" s="427"/>
      <c r="B213" s="425"/>
      <c r="C213" s="425"/>
    </row>
    <row r="214" ht="70.5" customHeight="1">
      <c r="A214" s="427"/>
      <c r="B214" s="425"/>
      <c r="C214" s="425"/>
    </row>
    <row r="215" ht="70.5" customHeight="1">
      <c r="A215" s="427"/>
      <c r="B215" s="425"/>
      <c r="C215" s="425"/>
    </row>
    <row r="216" ht="70.5" customHeight="1">
      <c r="A216" s="427"/>
      <c r="B216" s="425"/>
      <c r="C216" s="425"/>
    </row>
    <row r="217" ht="70.5" customHeight="1">
      <c r="A217" s="427"/>
      <c r="B217" s="425"/>
      <c r="C217" s="425"/>
    </row>
    <row r="218" ht="70.5" customHeight="1">
      <c r="A218" s="427"/>
      <c r="B218" s="425"/>
      <c r="C218" s="425"/>
    </row>
    <row r="219" ht="70.5" customHeight="1">
      <c r="A219" s="427"/>
      <c r="B219" s="425"/>
      <c r="C219" s="425"/>
    </row>
    <row r="220" ht="70.5" customHeight="1">
      <c r="A220" s="427"/>
      <c r="B220" s="425"/>
      <c r="C220" s="425"/>
    </row>
    <row r="221" ht="70.5" customHeight="1">
      <c r="A221" s="427"/>
      <c r="B221" s="425"/>
      <c r="C221" s="425"/>
    </row>
    <row r="222" ht="70.5" customHeight="1">
      <c r="A222" s="427"/>
      <c r="B222" s="425"/>
      <c r="C222" s="425"/>
    </row>
    <row r="223" ht="70.5" customHeight="1">
      <c r="A223" s="427"/>
      <c r="B223" s="425"/>
      <c r="C223" s="425"/>
    </row>
    <row r="224" ht="70.5" customHeight="1">
      <c r="A224" s="427"/>
      <c r="B224" s="425"/>
      <c r="C224" s="425"/>
    </row>
    <row r="225" ht="70.5" customHeight="1">
      <c r="A225" s="427"/>
      <c r="B225" s="425"/>
      <c r="C225" s="425"/>
    </row>
    <row r="226" ht="70.5" customHeight="1">
      <c r="A226" s="427"/>
      <c r="B226" s="425"/>
      <c r="C226" s="425"/>
    </row>
    <row r="227" ht="70.5" customHeight="1">
      <c r="A227" s="427"/>
      <c r="B227" s="425"/>
      <c r="C227" s="425"/>
    </row>
    <row r="228" ht="70.5" customHeight="1">
      <c r="A228" s="427"/>
      <c r="B228" s="425"/>
      <c r="C228" s="425"/>
    </row>
    <row r="229" ht="70.5" customHeight="1">
      <c r="A229" s="427"/>
      <c r="B229" s="425"/>
      <c r="C229" s="425"/>
    </row>
    <row r="230" ht="70.5" customHeight="1">
      <c r="A230" s="427"/>
      <c r="B230" s="425"/>
      <c r="C230" s="425"/>
    </row>
    <row r="231" ht="70.5" customHeight="1">
      <c r="A231" s="427"/>
      <c r="B231" s="425"/>
      <c r="C231" s="425"/>
    </row>
    <row r="232" ht="70.5" customHeight="1">
      <c r="A232" s="427"/>
      <c r="B232" s="425"/>
      <c r="C232" s="425"/>
    </row>
    <row r="233" ht="70.5" customHeight="1">
      <c r="A233" s="427"/>
      <c r="B233" s="425"/>
      <c r="C233" s="425"/>
    </row>
    <row r="234" ht="70.5" customHeight="1">
      <c r="A234" s="427"/>
      <c r="B234" s="425"/>
      <c r="C234" s="425"/>
    </row>
    <row r="235" ht="70.5" customHeight="1">
      <c r="A235" s="427"/>
      <c r="B235" s="425"/>
      <c r="C235" s="425"/>
    </row>
    <row r="236" ht="70.5" customHeight="1">
      <c r="A236" s="427"/>
      <c r="B236" s="425"/>
      <c r="C236" s="425"/>
    </row>
    <row r="237" ht="70.5" customHeight="1">
      <c r="A237" s="427"/>
      <c r="B237" s="425"/>
      <c r="C237" s="425"/>
    </row>
    <row r="238" ht="70.5" customHeight="1">
      <c r="A238" s="427"/>
      <c r="B238" s="425"/>
      <c r="C238" s="425"/>
    </row>
    <row r="239" ht="70.5" customHeight="1">
      <c r="A239" s="427"/>
      <c r="B239" s="425"/>
      <c r="C239" s="425"/>
    </row>
    <row r="240" ht="70.5" customHeight="1">
      <c r="A240" s="427"/>
      <c r="B240" s="425"/>
      <c r="C240" s="425"/>
    </row>
    <row r="241" ht="70.5" customHeight="1">
      <c r="A241" s="427"/>
      <c r="B241" s="425"/>
      <c r="C241" s="425"/>
    </row>
    <row r="242" ht="70.5" customHeight="1">
      <c r="A242" s="427"/>
      <c r="B242" s="425"/>
      <c r="C242" s="425"/>
    </row>
    <row r="243" ht="70.5" customHeight="1">
      <c r="A243" s="427"/>
      <c r="B243" s="425"/>
      <c r="C243" s="425"/>
    </row>
    <row r="244" ht="70.5" customHeight="1">
      <c r="A244" s="427"/>
      <c r="B244" s="425"/>
      <c r="C244" s="425"/>
    </row>
    <row r="245" ht="70.5" customHeight="1">
      <c r="A245" s="427"/>
      <c r="B245" s="425"/>
      <c r="C245" s="425"/>
    </row>
    <row r="246" ht="70.5" customHeight="1">
      <c r="A246" s="427"/>
      <c r="B246" s="425"/>
      <c r="C246" s="425"/>
    </row>
    <row r="247" ht="70.5" customHeight="1">
      <c r="A247" s="427"/>
      <c r="B247" s="425"/>
      <c r="C247" s="425"/>
    </row>
    <row r="248" ht="70.5" customHeight="1">
      <c r="A248" s="427"/>
      <c r="B248" s="425"/>
      <c r="C248" s="425"/>
    </row>
    <row r="249" ht="70.5" customHeight="1">
      <c r="A249" s="427"/>
      <c r="B249" s="425"/>
      <c r="C249" s="425"/>
    </row>
    <row r="250" ht="70.5" customHeight="1">
      <c r="A250" s="427"/>
      <c r="B250" s="425"/>
      <c r="C250" s="425"/>
    </row>
    <row r="251" ht="70.5" customHeight="1">
      <c r="A251" s="427"/>
      <c r="B251" s="425"/>
      <c r="C251" s="425"/>
    </row>
    <row r="252" ht="70.5" customHeight="1">
      <c r="A252" s="427"/>
      <c r="B252" s="425"/>
      <c r="C252" s="425"/>
    </row>
    <row r="253" ht="70.5" customHeight="1">
      <c r="A253" s="427"/>
      <c r="B253" s="425"/>
      <c r="C253" s="425"/>
    </row>
    <row r="254" ht="70.5" customHeight="1">
      <c r="A254" s="427"/>
      <c r="B254" s="425"/>
      <c r="C254" s="425"/>
    </row>
    <row r="255" ht="70.5" customHeight="1">
      <c r="A255" s="427"/>
      <c r="B255" s="425"/>
      <c r="C255" s="425"/>
    </row>
    <row r="256" ht="70.5" customHeight="1">
      <c r="A256" s="427"/>
      <c r="B256" s="425"/>
      <c r="C256" s="425"/>
    </row>
    <row r="257" ht="70.5" customHeight="1">
      <c r="A257" s="427"/>
      <c r="B257" s="425"/>
      <c r="C257" s="425"/>
    </row>
    <row r="258" ht="70.5" customHeight="1">
      <c r="A258" s="427"/>
      <c r="B258" s="425"/>
      <c r="C258" s="425"/>
    </row>
    <row r="259" ht="70.5" customHeight="1">
      <c r="A259" s="427"/>
      <c r="B259" s="425"/>
      <c r="C259" s="425"/>
    </row>
    <row r="260" ht="70.5" customHeight="1">
      <c r="A260" s="427"/>
      <c r="B260" s="425"/>
      <c r="C260" s="425"/>
    </row>
    <row r="261" ht="70.5" customHeight="1">
      <c r="A261" s="427"/>
      <c r="B261" s="425"/>
      <c r="C261" s="425"/>
    </row>
    <row r="262" ht="70.5" customHeight="1">
      <c r="A262" s="427"/>
      <c r="B262" s="425"/>
      <c r="C262" s="425"/>
    </row>
    <row r="263" ht="70.5" customHeight="1">
      <c r="A263" s="427"/>
      <c r="B263" s="425"/>
      <c r="C263" s="425"/>
    </row>
    <row r="264" ht="70.5" customHeight="1">
      <c r="A264" s="427"/>
      <c r="B264" s="425"/>
      <c r="C264" s="425"/>
    </row>
    <row r="265" ht="70.5" customHeight="1">
      <c r="A265" s="427"/>
      <c r="B265" s="425"/>
      <c r="C265" s="425"/>
    </row>
    <row r="266" ht="70.5" customHeight="1">
      <c r="A266" s="427"/>
      <c r="B266" s="425"/>
      <c r="C266" s="425"/>
    </row>
    <row r="267" ht="70.5" customHeight="1">
      <c r="A267" s="427"/>
      <c r="B267" s="425"/>
      <c r="C267" s="425"/>
    </row>
    <row r="268" ht="70.5" customHeight="1">
      <c r="A268" s="427"/>
      <c r="B268" s="425"/>
      <c r="C268" s="425"/>
    </row>
    <row r="269" ht="70.5" customHeight="1">
      <c r="A269" s="427"/>
      <c r="B269" s="425"/>
      <c r="C269" s="425"/>
    </row>
    <row r="270" ht="70.5" customHeight="1">
      <c r="A270" s="427"/>
      <c r="B270" s="425"/>
      <c r="C270" s="425"/>
    </row>
    <row r="271" ht="70.5" customHeight="1">
      <c r="A271" s="427"/>
      <c r="B271" s="425"/>
      <c r="C271" s="425"/>
    </row>
    <row r="272" ht="70.5" customHeight="1">
      <c r="A272" s="427"/>
      <c r="B272" s="425"/>
      <c r="C272" s="425"/>
    </row>
    <row r="273" ht="70.5" customHeight="1">
      <c r="A273" s="427"/>
      <c r="B273" s="425"/>
      <c r="C273" s="425"/>
    </row>
    <row r="274" ht="70.5" customHeight="1">
      <c r="A274" s="427"/>
      <c r="B274" s="425"/>
      <c r="C274" s="425"/>
    </row>
    <row r="275" ht="70.5" customHeight="1">
      <c r="A275" s="427"/>
      <c r="B275" s="425"/>
      <c r="C275" s="425"/>
    </row>
    <row r="276" ht="70.5" customHeight="1">
      <c r="A276" s="427"/>
      <c r="B276" s="425"/>
      <c r="C276" s="425"/>
    </row>
    <row r="277" ht="70.5" customHeight="1">
      <c r="A277" s="427"/>
      <c r="B277" s="425"/>
      <c r="C277" s="425"/>
    </row>
    <row r="278" ht="70.5" customHeight="1">
      <c r="A278" s="427"/>
      <c r="B278" s="425"/>
      <c r="C278" s="425"/>
    </row>
    <row r="279" ht="70.5" customHeight="1">
      <c r="A279" s="427"/>
      <c r="B279" s="425"/>
      <c r="C279" s="425"/>
    </row>
    <row r="280" ht="70.5" customHeight="1">
      <c r="A280" s="427"/>
      <c r="B280" s="425"/>
      <c r="C280" s="425"/>
    </row>
    <row r="281" ht="70.5" customHeight="1">
      <c r="A281" s="427"/>
      <c r="B281" s="425"/>
      <c r="C281" s="425"/>
    </row>
    <row r="282" ht="70.5" customHeight="1">
      <c r="A282" s="427"/>
      <c r="B282" s="425"/>
      <c r="C282" s="425"/>
    </row>
    <row r="283" ht="70.5" customHeight="1">
      <c r="A283" s="427"/>
      <c r="B283" s="425"/>
      <c r="C283" s="425"/>
    </row>
    <row r="284" ht="70.5" customHeight="1">
      <c r="A284" s="427"/>
      <c r="B284" s="425"/>
      <c r="C284" s="425"/>
    </row>
    <row r="285" ht="70.5" customHeight="1">
      <c r="A285" s="427"/>
      <c r="B285" s="425"/>
      <c r="C285" s="425"/>
    </row>
    <row r="286" ht="70.5" customHeight="1">
      <c r="A286" s="427"/>
      <c r="B286" s="425"/>
      <c r="C286" s="425"/>
    </row>
    <row r="287" ht="70.5" customHeight="1">
      <c r="A287" s="427"/>
      <c r="B287" s="425"/>
      <c r="C287" s="425"/>
    </row>
    <row r="288" ht="70.5" customHeight="1">
      <c r="A288" s="427"/>
      <c r="B288" s="425"/>
      <c r="C288" s="425"/>
    </row>
    <row r="289" ht="70.5" customHeight="1">
      <c r="A289" s="427"/>
      <c r="B289" s="425"/>
      <c r="C289" s="425"/>
    </row>
    <row r="290" ht="70.5" customHeight="1">
      <c r="A290" s="427"/>
      <c r="B290" s="425"/>
      <c r="C290" s="425"/>
    </row>
    <row r="291" ht="70.5" customHeight="1">
      <c r="A291" s="427"/>
      <c r="B291" s="425"/>
      <c r="C291" s="425"/>
    </row>
    <row r="292" ht="70.5" customHeight="1">
      <c r="A292" s="427"/>
      <c r="B292" s="425"/>
      <c r="C292" s="425"/>
    </row>
    <row r="293" ht="70.5" customHeight="1">
      <c r="A293" s="427"/>
      <c r="B293" s="425"/>
      <c r="C293" s="425"/>
    </row>
    <row r="294" ht="70.5" customHeight="1">
      <c r="A294" s="427"/>
      <c r="B294" s="425"/>
      <c r="C294" s="425"/>
    </row>
    <row r="295" ht="70.5" customHeight="1">
      <c r="A295" s="427"/>
      <c r="B295" s="425"/>
      <c r="C295" s="425"/>
    </row>
    <row r="296" ht="70.5" customHeight="1">
      <c r="A296" s="427"/>
      <c r="B296" s="425"/>
      <c r="C296" s="425"/>
    </row>
    <row r="297" ht="70.5" customHeight="1">
      <c r="A297" s="427"/>
      <c r="B297" s="425"/>
      <c r="C297" s="425"/>
    </row>
    <row r="298" ht="70.5" customHeight="1">
      <c r="A298" s="427"/>
      <c r="B298" s="425"/>
      <c r="C298" s="425"/>
    </row>
    <row r="299" ht="70.5" customHeight="1">
      <c r="A299" s="427"/>
      <c r="B299" s="425"/>
      <c r="C299" s="425"/>
    </row>
    <row r="300" ht="70.5" customHeight="1">
      <c r="A300" s="427"/>
      <c r="B300" s="425"/>
      <c r="C300" s="425"/>
    </row>
    <row r="301" ht="70.5" customHeight="1">
      <c r="A301" s="427"/>
      <c r="B301" s="425"/>
      <c r="C301" s="425"/>
    </row>
    <row r="302" ht="70.5" customHeight="1">
      <c r="A302" s="427"/>
      <c r="B302" s="425"/>
      <c r="C302" s="425"/>
    </row>
    <row r="303" ht="70.5" customHeight="1">
      <c r="A303" s="427"/>
      <c r="B303" s="425"/>
      <c r="C303" s="425"/>
    </row>
    <row r="304" ht="70.5" customHeight="1">
      <c r="A304" s="427"/>
      <c r="B304" s="425"/>
      <c r="C304" s="425"/>
    </row>
    <row r="305" ht="70.5" customHeight="1">
      <c r="A305" s="427"/>
      <c r="B305" s="425"/>
      <c r="C305" s="425"/>
    </row>
    <row r="306" ht="70.5" customHeight="1">
      <c r="A306" s="427"/>
      <c r="B306" s="425"/>
      <c r="C306" s="425"/>
    </row>
    <row r="307" ht="70.5" customHeight="1">
      <c r="A307" s="427"/>
      <c r="B307" s="425"/>
      <c r="C307" s="425"/>
    </row>
    <row r="308" ht="70.5" customHeight="1">
      <c r="A308" s="427"/>
      <c r="B308" s="425"/>
      <c r="C308" s="425"/>
    </row>
    <row r="309" ht="70.5" customHeight="1">
      <c r="A309" s="427"/>
      <c r="B309" s="425"/>
      <c r="C309" s="425"/>
    </row>
    <row r="310" ht="70.5" customHeight="1">
      <c r="A310" s="427"/>
      <c r="B310" s="425"/>
      <c r="C310" s="425"/>
    </row>
    <row r="311" ht="70.5" customHeight="1">
      <c r="A311" s="427"/>
      <c r="B311" s="425"/>
      <c r="C311" s="425"/>
    </row>
    <row r="312" ht="70.5" customHeight="1">
      <c r="A312" s="427"/>
      <c r="B312" s="425"/>
      <c r="C312" s="425"/>
    </row>
    <row r="313" ht="70.5" customHeight="1">
      <c r="A313" s="427"/>
      <c r="B313" s="425"/>
      <c r="C313" s="425"/>
    </row>
    <row r="314" ht="70.5" customHeight="1">
      <c r="A314" s="427"/>
      <c r="B314" s="425"/>
      <c r="C314" s="425"/>
    </row>
    <row r="315" ht="70.5" customHeight="1">
      <c r="A315" s="427"/>
      <c r="B315" s="425"/>
      <c r="C315" s="425"/>
    </row>
    <row r="316" ht="70.5" customHeight="1">
      <c r="A316" s="427"/>
      <c r="B316" s="425"/>
      <c r="C316" s="425"/>
    </row>
    <row r="317" ht="70.5" customHeight="1">
      <c r="A317" s="427"/>
      <c r="B317" s="425"/>
      <c r="C317" s="425"/>
    </row>
    <row r="318" ht="70.5" customHeight="1">
      <c r="A318" s="427"/>
      <c r="B318" s="425"/>
      <c r="C318" s="425"/>
    </row>
    <row r="319" ht="70.5" customHeight="1">
      <c r="A319" s="427"/>
      <c r="B319" s="425"/>
      <c r="C319" s="425"/>
    </row>
    <row r="320" ht="70.5" customHeight="1">
      <c r="A320" s="427"/>
      <c r="B320" s="425"/>
      <c r="C320" s="425"/>
    </row>
    <row r="321" ht="70.5" customHeight="1">
      <c r="A321" s="427"/>
      <c r="B321" s="425"/>
      <c r="C321" s="425"/>
    </row>
    <row r="322" ht="70.5" customHeight="1">
      <c r="A322" s="427"/>
      <c r="B322" s="425"/>
      <c r="C322" s="425"/>
    </row>
    <row r="323" ht="70.5" customHeight="1">
      <c r="A323" s="427"/>
      <c r="B323" s="425"/>
      <c r="C323" s="425"/>
    </row>
    <row r="324" ht="70.5" customHeight="1">
      <c r="A324" s="427"/>
      <c r="B324" s="425"/>
      <c r="C324" s="425"/>
    </row>
    <row r="325" ht="70.5" customHeight="1">
      <c r="A325" s="427"/>
      <c r="B325" s="425"/>
      <c r="C325" s="425"/>
    </row>
    <row r="326" ht="70.5" customHeight="1">
      <c r="A326" s="427"/>
      <c r="B326" s="425"/>
      <c r="C326" s="425"/>
    </row>
    <row r="327" ht="70.5" customHeight="1">
      <c r="A327" s="427"/>
      <c r="B327" s="425"/>
      <c r="C327" s="425"/>
    </row>
    <row r="328" ht="70.5" customHeight="1">
      <c r="A328" s="427"/>
      <c r="B328" s="425"/>
      <c r="C328" s="425"/>
    </row>
    <row r="329" ht="70.5" customHeight="1">
      <c r="A329" s="427"/>
      <c r="B329" s="425"/>
      <c r="C329" s="425"/>
    </row>
    <row r="330" ht="70.5" customHeight="1">
      <c r="A330" s="427"/>
      <c r="B330" s="425"/>
      <c r="C330" s="425"/>
    </row>
    <row r="331" ht="70.5" customHeight="1">
      <c r="A331" s="427"/>
      <c r="B331" s="425"/>
      <c r="C331" s="425"/>
    </row>
    <row r="332" ht="70.5" customHeight="1">
      <c r="A332" s="427"/>
      <c r="B332" s="425"/>
      <c r="C332" s="425"/>
    </row>
    <row r="333" ht="70.5" customHeight="1">
      <c r="A333" s="427"/>
      <c r="B333" s="425"/>
      <c r="C333" s="425"/>
    </row>
    <row r="334" ht="70.5" customHeight="1">
      <c r="A334" s="427"/>
      <c r="B334" s="425"/>
      <c r="C334" s="425"/>
    </row>
    <row r="335" ht="70.5" customHeight="1">
      <c r="A335" s="427"/>
      <c r="B335" s="425"/>
      <c r="C335" s="425"/>
    </row>
    <row r="336" ht="70.5" customHeight="1">
      <c r="A336" s="427"/>
      <c r="B336" s="425"/>
      <c r="C336" s="425"/>
    </row>
    <row r="337" ht="70.5" customHeight="1">
      <c r="A337" s="427"/>
      <c r="B337" s="425"/>
      <c r="C337" s="425"/>
    </row>
    <row r="338" ht="70.5" customHeight="1">
      <c r="A338" s="427"/>
      <c r="B338" s="425"/>
      <c r="C338" s="425"/>
    </row>
    <row r="339" ht="70.5" customHeight="1">
      <c r="A339" s="427"/>
      <c r="B339" s="425"/>
      <c r="C339" s="425"/>
    </row>
    <row r="340" ht="70.5" customHeight="1">
      <c r="A340" s="427"/>
      <c r="B340" s="425"/>
      <c r="C340" s="425"/>
    </row>
    <row r="341" ht="70.5" customHeight="1">
      <c r="A341" s="427"/>
      <c r="B341" s="425"/>
      <c r="C341" s="425"/>
    </row>
    <row r="342" ht="70.5" customHeight="1">
      <c r="A342" s="427"/>
      <c r="B342" s="425"/>
      <c r="C342" s="425"/>
    </row>
    <row r="343" ht="70.5" customHeight="1">
      <c r="A343" s="427"/>
      <c r="B343" s="425"/>
      <c r="C343" s="425"/>
    </row>
    <row r="344" ht="70.5" customHeight="1">
      <c r="A344" s="427"/>
      <c r="B344" s="425"/>
      <c r="C344" s="425"/>
    </row>
    <row r="345" ht="70.5" customHeight="1">
      <c r="A345" s="427"/>
      <c r="B345" s="425"/>
      <c r="C345" s="425"/>
    </row>
    <row r="346" ht="70.5" customHeight="1">
      <c r="A346" s="427"/>
      <c r="B346" s="425"/>
      <c r="C346" s="425"/>
    </row>
    <row r="347" ht="70.5" customHeight="1">
      <c r="A347" s="427"/>
      <c r="B347" s="425"/>
      <c r="C347" s="425"/>
    </row>
    <row r="348" ht="70.5" customHeight="1">
      <c r="A348" s="427"/>
      <c r="B348" s="425"/>
      <c r="C348" s="425"/>
    </row>
    <row r="349" ht="70.5" customHeight="1">
      <c r="A349" s="427"/>
      <c r="B349" s="425"/>
      <c r="C349" s="425"/>
    </row>
    <row r="350" ht="70.5" customHeight="1">
      <c r="A350" s="427"/>
      <c r="B350" s="425"/>
      <c r="C350" s="425"/>
    </row>
    <row r="351" ht="70.5" customHeight="1">
      <c r="A351" s="427"/>
      <c r="B351" s="425"/>
      <c r="C351" s="425"/>
    </row>
    <row r="352" ht="70.5" customHeight="1">
      <c r="A352" s="427"/>
      <c r="B352" s="425"/>
      <c r="C352" s="425"/>
    </row>
    <row r="353" ht="70.5" customHeight="1">
      <c r="A353" s="427"/>
      <c r="B353" s="425"/>
      <c r="C353" s="425"/>
    </row>
    <row r="354" ht="70.5" customHeight="1">
      <c r="A354" s="427"/>
      <c r="B354" s="425"/>
      <c r="C354" s="425"/>
    </row>
    <row r="355" ht="70.5" customHeight="1">
      <c r="A355" s="427"/>
      <c r="B355" s="425"/>
      <c r="C355" s="425"/>
    </row>
    <row r="356" ht="70.5" customHeight="1">
      <c r="A356" s="427"/>
      <c r="B356" s="425"/>
      <c r="C356" s="425"/>
    </row>
    <row r="357" ht="70.5" customHeight="1">
      <c r="A357" s="427"/>
      <c r="B357" s="425"/>
      <c r="C357" s="425"/>
    </row>
    <row r="358" ht="70.5" customHeight="1">
      <c r="A358" s="427"/>
      <c r="B358" s="425"/>
      <c r="C358" s="425"/>
    </row>
    <row r="359" ht="70.5" customHeight="1">
      <c r="A359" s="427"/>
      <c r="B359" s="425"/>
      <c r="C359" s="425"/>
    </row>
    <row r="360" ht="70.5" customHeight="1">
      <c r="A360" s="427"/>
      <c r="B360" s="425"/>
      <c r="C360" s="425"/>
    </row>
    <row r="361" ht="70.5" customHeight="1">
      <c r="A361" s="427"/>
      <c r="B361" s="425"/>
      <c r="C361" s="425"/>
    </row>
    <row r="362" ht="70.5" customHeight="1">
      <c r="A362" s="427"/>
      <c r="B362" s="425"/>
      <c r="C362" s="425"/>
    </row>
    <row r="363" ht="70.5" customHeight="1">
      <c r="A363" s="427"/>
      <c r="B363" s="425"/>
      <c r="C363" s="425"/>
    </row>
    <row r="364" ht="70.5" customHeight="1">
      <c r="A364" s="427"/>
      <c r="B364" s="425"/>
      <c r="C364" s="425"/>
    </row>
    <row r="365" ht="70.5" customHeight="1">
      <c r="A365" s="427"/>
      <c r="B365" s="425"/>
      <c r="C365" s="425"/>
    </row>
    <row r="366" ht="70.5" customHeight="1">
      <c r="A366" s="427"/>
      <c r="B366" s="425"/>
      <c r="C366" s="425"/>
    </row>
    <row r="367" ht="70.5" customHeight="1">
      <c r="A367" s="427"/>
      <c r="B367" s="425"/>
      <c r="C367" s="425"/>
    </row>
    <row r="368" ht="70.5" customHeight="1">
      <c r="A368" s="427"/>
      <c r="B368" s="425"/>
      <c r="C368" s="425"/>
    </row>
    <row r="369" ht="70.5" customHeight="1">
      <c r="A369" s="427"/>
      <c r="B369" s="425"/>
      <c r="C369" s="425"/>
    </row>
    <row r="370" ht="70.5" customHeight="1">
      <c r="A370" s="427"/>
      <c r="B370" s="425"/>
      <c r="C370" s="425"/>
    </row>
    <row r="371" ht="70.5" customHeight="1">
      <c r="A371" s="427"/>
      <c r="B371" s="425"/>
      <c r="C371" s="425"/>
    </row>
    <row r="372" ht="70.5" customHeight="1">
      <c r="A372" s="427"/>
      <c r="B372" s="425"/>
      <c r="C372" s="425"/>
    </row>
    <row r="373" ht="70.5" customHeight="1">
      <c r="A373" s="427"/>
      <c r="B373" s="425"/>
      <c r="C373" s="425"/>
    </row>
    <row r="374" ht="70.5" customHeight="1">
      <c r="A374" s="427"/>
      <c r="B374" s="425"/>
      <c r="C374" s="425"/>
    </row>
    <row r="375" ht="70.5" customHeight="1">
      <c r="A375" s="427"/>
      <c r="B375" s="425"/>
      <c r="C375" s="425"/>
    </row>
    <row r="376" ht="70.5" customHeight="1">
      <c r="A376" s="427"/>
      <c r="B376" s="425"/>
      <c r="C376" s="425"/>
    </row>
    <row r="377" ht="70.5" customHeight="1">
      <c r="A377" s="427"/>
      <c r="B377" s="425"/>
      <c r="C377" s="425"/>
    </row>
    <row r="378" ht="70.5" customHeight="1">
      <c r="A378" s="427"/>
      <c r="B378" s="425"/>
      <c r="C378" s="425"/>
    </row>
    <row r="379" ht="70.5" customHeight="1">
      <c r="A379" s="427"/>
      <c r="B379" s="425"/>
      <c r="C379" s="425"/>
    </row>
    <row r="380" ht="70.5" customHeight="1">
      <c r="A380" s="427"/>
      <c r="B380" s="425"/>
      <c r="C380" s="425"/>
    </row>
    <row r="381" ht="70.5" customHeight="1">
      <c r="A381" s="427"/>
      <c r="B381" s="425"/>
      <c r="C381" s="425"/>
    </row>
    <row r="382" ht="70.5" customHeight="1">
      <c r="A382" s="427"/>
      <c r="B382" s="425"/>
      <c r="C382" s="425"/>
    </row>
    <row r="383" ht="70.5" customHeight="1">
      <c r="A383" s="427"/>
      <c r="B383" s="425"/>
      <c r="C383" s="425"/>
    </row>
    <row r="384" ht="70.5" customHeight="1">
      <c r="A384" s="427"/>
      <c r="B384" s="425"/>
      <c r="C384" s="425"/>
    </row>
    <row r="385" ht="70.5" customHeight="1">
      <c r="A385" s="427"/>
      <c r="B385" s="425"/>
      <c r="C385" s="425"/>
    </row>
    <row r="386" ht="70.5" customHeight="1">
      <c r="A386" s="427"/>
      <c r="B386" s="425"/>
      <c r="C386" s="425"/>
    </row>
    <row r="387" ht="70.5" customHeight="1">
      <c r="A387" s="427"/>
      <c r="B387" s="425"/>
      <c r="C387" s="425"/>
    </row>
    <row r="388" ht="70.5" customHeight="1">
      <c r="A388" s="427"/>
      <c r="B388" s="425"/>
      <c r="C388" s="425"/>
    </row>
    <row r="389" ht="70.5" customHeight="1">
      <c r="A389" s="427"/>
      <c r="B389" s="425"/>
      <c r="C389" s="425"/>
    </row>
    <row r="390" ht="70.5" customHeight="1">
      <c r="A390" s="427"/>
      <c r="B390" s="425"/>
      <c r="C390" s="425"/>
    </row>
    <row r="391" ht="70.5" customHeight="1">
      <c r="A391" s="427"/>
      <c r="B391" s="425"/>
      <c r="C391" s="425"/>
    </row>
    <row r="392" ht="70.5" customHeight="1">
      <c r="A392" s="427"/>
      <c r="B392" s="425"/>
      <c r="C392" s="425"/>
    </row>
    <row r="393" ht="70.5" customHeight="1">
      <c r="A393" s="427"/>
      <c r="B393" s="425"/>
      <c r="C393" s="425"/>
    </row>
    <row r="394" ht="70.5" customHeight="1">
      <c r="A394" s="427"/>
      <c r="B394" s="425"/>
      <c r="C394" s="425"/>
    </row>
    <row r="395" ht="70.5" customHeight="1">
      <c r="A395" s="427"/>
      <c r="B395" s="425"/>
      <c r="C395" s="425"/>
    </row>
    <row r="396" ht="70.5" customHeight="1">
      <c r="A396" s="427"/>
      <c r="B396" s="425"/>
      <c r="C396" s="425"/>
    </row>
    <row r="397" ht="70.5" customHeight="1">
      <c r="A397" s="427"/>
      <c r="B397" s="425"/>
      <c r="C397" s="425"/>
    </row>
    <row r="398" ht="70.5" customHeight="1">
      <c r="A398" s="427"/>
      <c r="B398" s="425"/>
      <c r="C398" s="425"/>
    </row>
    <row r="399" ht="70.5" customHeight="1">
      <c r="A399" s="427"/>
      <c r="B399" s="425"/>
      <c r="C399" s="425"/>
    </row>
    <row r="400" ht="70.5" customHeight="1">
      <c r="A400" s="427"/>
      <c r="B400" s="425"/>
      <c r="C400" s="425"/>
    </row>
    <row r="401" ht="70.5" customHeight="1">
      <c r="A401" s="427"/>
      <c r="B401" s="425"/>
      <c r="C401" s="425"/>
    </row>
    <row r="402" ht="70.5" customHeight="1">
      <c r="A402" s="427"/>
      <c r="B402" s="425"/>
      <c r="C402" s="425"/>
    </row>
    <row r="403" ht="70.5" customHeight="1">
      <c r="A403" s="427"/>
      <c r="B403" s="425"/>
      <c r="C403" s="425"/>
    </row>
    <row r="404" ht="70.5" customHeight="1">
      <c r="A404" s="427"/>
      <c r="B404" s="425"/>
      <c r="C404" s="425"/>
    </row>
    <row r="405" ht="70.5" customHeight="1">
      <c r="A405" s="427"/>
      <c r="B405" s="425"/>
      <c r="C405" s="425"/>
    </row>
    <row r="406" ht="70.5" customHeight="1">
      <c r="A406" s="427"/>
      <c r="B406" s="425"/>
      <c r="C406" s="425"/>
    </row>
    <row r="407" ht="70.5" customHeight="1">
      <c r="A407" s="427"/>
      <c r="B407" s="425"/>
      <c r="C407" s="425"/>
    </row>
    <row r="408" ht="70.5" customHeight="1">
      <c r="A408" s="427"/>
      <c r="B408" s="425"/>
      <c r="C408" s="425"/>
    </row>
    <row r="409" ht="70.5" customHeight="1">
      <c r="A409" s="427"/>
      <c r="B409" s="425"/>
      <c r="C409" s="425"/>
    </row>
    <row r="410" ht="70.5" customHeight="1">
      <c r="A410" s="427"/>
      <c r="B410" s="425"/>
      <c r="C410" s="425"/>
    </row>
    <row r="411" ht="70.5" customHeight="1">
      <c r="A411" s="427"/>
      <c r="B411" s="425"/>
      <c r="C411" s="425"/>
    </row>
    <row r="412" ht="70.5" customHeight="1">
      <c r="A412" s="427"/>
      <c r="B412" s="425"/>
      <c r="C412" s="425"/>
    </row>
    <row r="413" ht="70.5" customHeight="1">
      <c r="A413" s="427"/>
      <c r="B413" s="425"/>
      <c r="C413" s="425"/>
    </row>
    <row r="414" ht="70.5" customHeight="1">
      <c r="A414" s="427"/>
      <c r="B414" s="425"/>
      <c r="C414" s="425"/>
    </row>
    <row r="415" ht="70.5" customHeight="1">
      <c r="A415" s="427"/>
      <c r="B415" s="425"/>
      <c r="C415" s="425"/>
    </row>
    <row r="416" ht="70.5" customHeight="1">
      <c r="A416" s="427"/>
      <c r="B416" s="425"/>
      <c r="C416" s="425"/>
    </row>
    <row r="417" ht="70.5" customHeight="1">
      <c r="A417" s="427"/>
      <c r="B417" s="425"/>
      <c r="C417" s="425"/>
    </row>
    <row r="418" ht="70.5" customHeight="1">
      <c r="A418" s="427"/>
      <c r="B418" s="425"/>
      <c r="C418" s="425"/>
    </row>
    <row r="419" ht="70.5" customHeight="1">
      <c r="A419" s="427"/>
      <c r="B419" s="425"/>
      <c r="C419" s="425"/>
    </row>
    <row r="420" ht="70.5" customHeight="1">
      <c r="A420" s="427"/>
      <c r="B420" s="425"/>
      <c r="C420" s="425"/>
    </row>
    <row r="421" ht="70.5" customHeight="1">
      <c r="A421" s="427"/>
      <c r="B421" s="425"/>
      <c r="C421" s="425"/>
    </row>
    <row r="422" ht="70.5" customHeight="1">
      <c r="A422" s="427"/>
      <c r="B422" s="425"/>
      <c r="C422" s="425"/>
    </row>
    <row r="423" ht="70.5" customHeight="1">
      <c r="A423" s="427"/>
      <c r="B423" s="425"/>
      <c r="C423" s="425"/>
    </row>
    <row r="424" ht="70.5" customHeight="1">
      <c r="A424" s="427"/>
      <c r="B424" s="425"/>
      <c r="C424" s="425"/>
    </row>
    <row r="425" ht="70.5" customHeight="1">
      <c r="A425" s="427"/>
      <c r="B425" s="425"/>
      <c r="C425" s="425"/>
    </row>
    <row r="426" ht="70.5" customHeight="1">
      <c r="A426" s="427"/>
      <c r="B426" s="425"/>
      <c r="C426" s="425"/>
    </row>
    <row r="427" ht="70.5" customHeight="1">
      <c r="A427" s="427"/>
      <c r="B427" s="425"/>
      <c r="C427" s="425"/>
    </row>
    <row r="428" ht="70.5" customHeight="1">
      <c r="A428" s="427"/>
      <c r="B428" s="425"/>
      <c r="C428" s="425"/>
    </row>
    <row r="429" ht="70.5" customHeight="1">
      <c r="A429" s="427"/>
      <c r="B429" s="425"/>
      <c r="C429" s="425"/>
    </row>
    <row r="430" ht="70.5" customHeight="1">
      <c r="A430" s="427"/>
      <c r="B430" s="425"/>
      <c r="C430" s="425"/>
    </row>
    <row r="431" ht="70.5" customHeight="1">
      <c r="A431" s="427"/>
      <c r="B431" s="425"/>
      <c r="C431" s="425"/>
    </row>
    <row r="432" ht="70.5" customHeight="1">
      <c r="A432" s="427"/>
      <c r="B432" s="425"/>
      <c r="C432" s="425"/>
    </row>
    <row r="433" ht="70.5" customHeight="1">
      <c r="A433" s="427"/>
      <c r="B433" s="425"/>
      <c r="C433" s="425"/>
    </row>
    <row r="434" ht="70.5" customHeight="1">
      <c r="A434" s="427"/>
      <c r="B434" s="425"/>
      <c r="C434" s="425"/>
    </row>
    <row r="435" ht="70.5" customHeight="1">
      <c r="A435" s="427"/>
      <c r="B435" s="425"/>
      <c r="C435" s="425"/>
    </row>
    <row r="436" ht="70.5" customHeight="1">
      <c r="A436" s="427"/>
      <c r="B436" s="425"/>
      <c r="C436" s="425"/>
    </row>
    <row r="437" ht="70.5" customHeight="1">
      <c r="A437" s="427"/>
      <c r="B437" s="425"/>
      <c r="C437" s="425"/>
    </row>
    <row r="438" ht="70.5" customHeight="1">
      <c r="A438" s="427"/>
      <c r="B438" s="425"/>
      <c r="C438" s="425"/>
    </row>
    <row r="439" ht="70.5" customHeight="1">
      <c r="A439" s="427"/>
      <c r="B439" s="425"/>
      <c r="C439" s="425"/>
    </row>
    <row r="440" ht="70.5" customHeight="1">
      <c r="A440" s="427"/>
      <c r="B440" s="425"/>
      <c r="C440" s="425"/>
    </row>
    <row r="441" ht="70.5" customHeight="1">
      <c r="A441" s="427"/>
      <c r="B441" s="425"/>
      <c r="C441" s="425"/>
    </row>
    <row r="442" ht="70.5" customHeight="1">
      <c r="A442" s="427"/>
      <c r="B442" s="425"/>
      <c r="C442" s="425"/>
    </row>
    <row r="443" ht="70.5" customHeight="1">
      <c r="A443" s="427"/>
      <c r="B443" s="425"/>
      <c r="C443" s="425"/>
    </row>
    <row r="444" ht="70.5" customHeight="1">
      <c r="A444" s="427"/>
      <c r="B444" s="425"/>
      <c r="C444" s="425"/>
    </row>
    <row r="445" ht="70.5" customHeight="1">
      <c r="A445" s="427"/>
      <c r="B445" s="425"/>
      <c r="C445" s="425"/>
    </row>
    <row r="446" ht="70.5" customHeight="1">
      <c r="A446" s="427"/>
      <c r="B446" s="425"/>
      <c r="C446" s="425"/>
    </row>
    <row r="447" ht="70.5" customHeight="1">
      <c r="A447" s="427"/>
      <c r="B447" s="425"/>
      <c r="C447" s="425"/>
    </row>
    <row r="448" ht="70.5" customHeight="1">
      <c r="A448" s="427"/>
      <c r="B448" s="425"/>
      <c r="C448" s="425"/>
    </row>
    <row r="449" ht="70.5" customHeight="1">
      <c r="A449" s="427"/>
      <c r="B449" s="425"/>
      <c r="C449" s="425"/>
    </row>
    <row r="450" ht="70.5" customHeight="1">
      <c r="A450" s="427"/>
      <c r="B450" s="425"/>
      <c r="C450" s="425"/>
    </row>
    <row r="451" ht="70.5" customHeight="1">
      <c r="A451" s="427"/>
      <c r="B451" s="425"/>
      <c r="C451" s="425"/>
    </row>
    <row r="452" ht="70.5" customHeight="1">
      <c r="A452" s="427"/>
      <c r="B452" s="425"/>
      <c r="C452" s="425"/>
    </row>
    <row r="453" ht="70.5" customHeight="1">
      <c r="A453" s="427"/>
      <c r="B453" s="425"/>
      <c r="C453" s="425"/>
    </row>
    <row r="454" ht="70.5" customHeight="1">
      <c r="A454" s="427"/>
      <c r="B454" s="425"/>
      <c r="C454" s="425"/>
    </row>
    <row r="455" ht="70.5" customHeight="1">
      <c r="A455" s="427"/>
      <c r="B455" s="425"/>
      <c r="C455" s="425"/>
    </row>
    <row r="456" ht="70.5" customHeight="1">
      <c r="A456" s="427"/>
      <c r="B456" s="425"/>
      <c r="C456" s="425"/>
    </row>
    <row r="457" ht="70.5" customHeight="1">
      <c r="A457" s="427"/>
      <c r="B457" s="425"/>
      <c r="C457" s="425"/>
    </row>
    <row r="458" ht="70.5" customHeight="1">
      <c r="A458" s="427"/>
      <c r="B458" s="425"/>
      <c r="C458" s="425"/>
    </row>
    <row r="459" ht="70.5" customHeight="1">
      <c r="A459" s="427"/>
      <c r="B459" s="425"/>
      <c r="C459" s="425"/>
    </row>
    <row r="460" ht="70.5" customHeight="1">
      <c r="A460" s="427"/>
      <c r="B460" s="425"/>
      <c r="C460" s="425"/>
    </row>
    <row r="461" ht="70.5" customHeight="1">
      <c r="A461" s="427"/>
      <c r="B461" s="425"/>
      <c r="C461" s="425"/>
    </row>
    <row r="462" ht="70.5" customHeight="1">
      <c r="A462" s="427"/>
      <c r="B462" s="425"/>
      <c r="C462" s="425"/>
    </row>
    <row r="463" ht="70.5" customHeight="1">
      <c r="A463" s="427"/>
      <c r="B463" s="425"/>
      <c r="C463" s="425"/>
    </row>
    <row r="464" ht="70.5" customHeight="1">
      <c r="A464" s="427"/>
      <c r="B464" s="425"/>
      <c r="C464" s="425"/>
    </row>
    <row r="465" ht="70.5" customHeight="1">
      <c r="A465" s="427"/>
      <c r="B465" s="425"/>
      <c r="C465" s="425"/>
    </row>
    <row r="466" ht="70.5" customHeight="1">
      <c r="A466" s="427"/>
      <c r="B466" s="425"/>
      <c r="C466" s="425"/>
    </row>
    <row r="467" ht="70.5" customHeight="1">
      <c r="A467" s="427"/>
      <c r="B467" s="425"/>
      <c r="C467" s="425"/>
    </row>
    <row r="468" ht="70.5" customHeight="1">
      <c r="A468" s="427"/>
      <c r="B468" s="425"/>
      <c r="C468" s="425"/>
    </row>
    <row r="469" ht="70.5" customHeight="1">
      <c r="A469" s="427"/>
      <c r="B469" s="425"/>
      <c r="C469" s="425"/>
    </row>
    <row r="470" ht="70.5" customHeight="1">
      <c r="A470" s="427"/>
      <c r="B470" s="425"/>
      <c r="C470" s="425"/>
    </row>
    <row r="471" ht="70.5" customHeight="1">
      <c r="A471" s="427"/>
      <c r="B471" s="425"/>
      <c r="C471" s="425"/>
    </row>
    <row r="472" ht="70.5" customHeight="1">
      <c r="A472" s="427"/>
      <c r="B472" s="425"/>
      <c r="C472" s="425"/>
    </row>
    <row r="473" ht="70.5" customHeight="1">
      <c r="A473" s="427"/>
      <c r="B473" s="425"/>
      <c r="C473" s="425"/>
    </row>
    <row r="474" ht="70.5" customHeight="1">
      <c r="A474" s="427"/>
      <c r="B474" s="425"/>
      <c r="C474" s="425"/>
    </row>
    <row r="475" ht="70.5" customHeight="1">
      <c r="A475" s="427"/>
      <c r="B475" s="425"/>
      <c r="C475" s="425"/>
    </row>
    <row r="476" ht="70.5" customHeight="1">
      <c r="A476" s="427"/>
      <c r="B476" s="425"/>
      <c r="C476" s="425"/>
    </row>
    <row r="477" ht="70.5" customHeight="1">
      <c r="A477" s="427"/>
      <c r="B477" s="425"/>
      <c r="C477" s="425"/>
    </row>
    <row r="478" ht="70.5" customHeight="1">
      <c r="A478" s="427"/>
      <c r="B478" s="425"/>
      <c r="C478" s="425"/>
    </row>
    <row r="479" ht="70.5" customHeight="1">
      <c r="A479" s="427"/>
      <c r="B479" s="425"/>
      <c r="C479" s="425"/>
    </row>
    <row r="480" ht="70.5" customHeight="1">
      <c r="A480" s="427"/>
      <c r="B480" s="425"/>
      <c r="C480" s="425"/>
    </row>
    <row r="481" ht="70.5" customHeight="1">
      <c r="A481" s="427"/>
      <c r="B481" s="425"/>
      <c r="C481" s="425"/>
    </row>
    <row r="482" ht="70.5" customHeight="1">
      <c r="A482" s="427"/>
      <c r="B482" s="425"/>
      <c r="C482" s="425"/>
    </row>
    <row r="483" ht="70.5" customHeight="1">
      <c r="A483" s="427"/>
      <c r="B483" s="425"/>
      <c r="C483" s="425"/>
    </row>
    <row r="484" ht="70.5" customHeight="1">
      <c r="A484" s="427"/>
      <c r="B484" s="425"/>
      <c r="C484" s="425"/>
    </row>
    <row r="485" ht="70.5" customHeight="1">
      <c r="A485" s="427"/>
      <c r="B485" s="425"/>
      <c r="C485" s="425"/>
    </row>
    <row r="486" ht="70.5" customHeight="1">
      <c r="A486" s="427"/>
      <c r="B486" s="425"/>
      <c r="C486" s="425"/>
    </row>
    <row r="487" ht="70.5" customHeight="1">
      <c r="A487" s="427"/>
      <c r="B487" s="425"/>
      <c r="C487" s="425"/>
    </row>
    <row r="488" ht="70.5" customHeight="1">
      <c r="A488" s="427"/>
      <c r="B488" s="425"/>
      <c r="C488" s="425"/>
    </row>
    <row r="489" ht="70.5" customHeight="1">
      <c r="A489" s="427"/>
      <c r="B489" s="425"/>
      <c r="C489" s="425"/>
    </row>
    <row r="490" ht="70.5" customHeight="1">
      <c r="A490" s="427"/>
      <c r="B490" s="425"/>
      <c r="C490" s="425"/>
    </row>
    <row r="491" ht="70.5" customHeight="1">
      <c r="A491" s="427"/>
      <c r="B491" s="425"/>
      <c r="C491" s="425"/>
    </row>
    <row r="492" ht="70.5" customHeight="1">
      <c r="A492" s="427"/>
      <c r="B492" s="425"/>
      <c r="C492" s="425"/>
    </row>
    <row r="493" ht="70.5" customHeight="1">
      <c r="A493" s="427"/>
      <c r="B493" s="425"/>
      <c r="C493" s="425"/>
    </row>
    <row r="494" ht="70.5" customHeight="1">
      <c r="A494" s="427"/>
      <c r="B494" s="425"/>
      <c r="C494" s="425"/>
    </row>
    <row r="495" ht="70.5" customHeight="1">
      <c r="A495" s="427"/>
      <c r="B495" s="425"/>
      <c r="C495" s="425"/>
    </row>
    <row r="496" ht="70.5" customHeight="1">
      <c r="A496" s="427"/>
      <c r="B496" s="425"/>
      <c r="C496" s="425"/>
    </row>
    <row r="497" ht="70.5" customHeight="1">
      <c r="A497" s="427"/>
      <c r="B497" s="425"/>
      <c r="C497" s="425"/>
    </row>
    <row r="498" ht="70.5" customHeight="1">
      <c r="A498" s="427"/>
      <c r="B498" s="425"/>
      <c r="C498" s="425"/>
    </row>
    <row r="499" ht="70.5" customHeight="1">
      <c r="A499" s="427"/>
      <c r="B499" s="425"/>
      <c r="C499" s="425"/>
    </row>
    <row r="500" ht="70.5" customHeight="1">
      <c r="A500" s="427"/>
      <c r="B500" s="425"/>
      <c r="C500" s="425"/>
    </row>
    <row r="501" ht="70.5" customHeight="1">
      <c r="A501" s="427"/>
      <c r="B501" s="425"/>
      <c r="C501" s="425"/>
    </row>
    <row r="502" ht="70.5" customHeight="1">
      <c r="A502" s="427"/>
      <c r="B502" s="425"/>
      <c r="C502" s="425"/>
    </row>
    <row r="503" ht="70.5" customHeight="1">
      <c r="A503" s="427"/>
      <c r="B503" s="425"/>
      <c r="C503" s="425"/>
    </row>
    <row r="504" ht="70.5" customHeight="1">
      <c r="A504" s="427"/>
      <c r="B504" s="425"/>
      <c r="C504" s="425"/>
    </row>
    <row r="505" ht="70.5" customHeight="1">
      <c r="A505" s="427"/>
      <c r="B505" s="425"/>
      <c r="C505" s="425"/>
    </row>
    <row r="506" ht="70.5" customHeight="1">
      <c r="A506" s="427"/>
      <c r="B506" s="425"/>
      <c r="C506" s="425"/>
    </row>
    <row r="507" ht="70.5" customHeight="1">
      <c r="A507" s="427"/>
      <c r="B507" s="425"/>
      <c r="C507" s="425"/>
    </row>
    <row r="508" ht="70.5" customHeight="1">
      <c r="A508" s="427"/>
      <c r="B508" s="425"/>
      <c r="C508" s="425"/>
    </row>
    <row r="509" ht="70.5" customHeight="1">
      <c r="A509" s="427"/>
      <c r="B509" s="425"/>
      <c r="C509" s="425"/>
    </row>
    <row r="510" ht="70.5" customHeight="1">
      <c r="A510" s="427"/>
      <c r="B510" s="425"/>
      <c r="C510" s="425"/>
    </row>
    <row r="511" ht="70.5" customHeight="1">
      <c r="A511" s="427"/>
      <c r="B511" s="425"/>
      <c r="C511" s="425"/>
    </row>
    <row r="512" ht="70.5" customHeight="1">
      <c r="A512" s="427"/>
      <c r="B512" s="425"/>
      <c r="C512" s="425"/>
    </row>
    <row r="513" ht="70.5" customHeight="1">
      <c r="A513" s="427"/>
      <c r="B513" s="425"/>
      <c r="C513" s="425"/>
    </row>
    <row r="514" ht="70.5" customHeight="1">
      <c r="A514" s="427"/>
      <c r="B514" s="425"/>
      <c r="C514" s="425"/>
    </row>
    <row r="515" ht="70.5" customHeight="1">
      <c r="A515" s="427"/>
      <c r="B515" s="425"/>
      <c r="C515" s="425"/>
    </row>
    <row r="516" ht="70.5" customHeight="1">
      <c r="A516" s="427"/>
      <c r="B516" s="425"/>
      <c r="C516" s="425"/>
    </row>
    <row r="517" ht="70.5" customHeight="1">
      <c r="A517" s="427"/>
      <c r="B517" s="425"/>
      <c r="C517" s="425"/>
    </row>
    <row r="518" ht="70.5" customHeight="1">
      <c r="A518" s="427"/>
      <c r="B518" s="425"/>
      <c r="C518" s="425"/>
    </row>
    <row r="519" ht="70.5" customHeight="1">
      <c r="A519" s="427"/>
      <c r="B519" s="425"/>
      <c r="C519" s="425"/>
    </row>
    <row r="520" ht="70.5" customHeight="1">
      <c r="A520" s="427"/>
      <c r="B520" s="425"/>
      <c r="C520" s="425"/>
    </row>
    <row r="521" ht="70.5" customHeight="1">
      <c r="A521" s="427"/>
      <c r="B521" s="425"/>
      <c r="C521" s="425"/>
    </row>
    <row r="522" ht="70.5" customHeight="1">
      <c r="A522" s="427"/>
      <c r="B522" s="425"/>
      <c r="C522" s="425"/>
    </row>
    <row r="523" ht="70.5" customHeight="1">
      <c r="A523" s="427"/>
      <c r="B523" s="425"/>
      <c r="C523" s="425"/>
    </row>
    <row r="524" ht="70.5" customHeight="1">
      <c r="A524" s="427"/>
      <c r="B524" s="425"/>
      <c r="C524" s="425"/>
    </row>
    <row r="525" ht="70.5" customHeight="1">
      <c r="A525" s="427"/>
      <c r="B525" s="425"/>
      <c r="C525" s="425"/>
    </row>
    <row r="526" ht="70.5" customHeight="1">
      <c r="A526" s="427"/>
      <c r="B526" s="425"/>
      <c r="C526" s="425"/>
    </row>
    <row r="527" ht="70.5" customHeight="1">
      <c r="A527" s="427"/>
      <c r="B527" s="425"/>
      <c r="C527" s="425"/>
    </row>
    <row r="528" ht="70.5" customHeight="1">
      <c r="A528" s="427"/>
      <c r="B528" s="425"/>
      <c r="C528" s="425"/>
    </row>
    <row r="529" ht="70.5" customHeight="1">
      <c r="A529" s="427"/>
      <c r="B529" s="425"/>
      <c r="C529" s="425"/>
    </row>
    <row r="530" ht="70.5" customHeight="1">
      <c r="A530" s="427"/>
      <c r="B530" s="425"/>
      <c r="C530" s="425"/>
    </row>
    <row r="531" ht="70.5" customHeight="1">
      <c r="A531" s="427"/>
      <c r="B531" s="425"/>
      <c r="C531" s="425"/>
    </row>
    <row r="532" ht="70.5" customHeight="1">
      <c r="A532" s="427"/>
      <c r="B532" s="425"/>
      <c r="C532" s="425"/>
    </row>
    <row r="533" ht="70.5" customHeight="1">
      <c r="A533" s="427"/>
      <c r="B533" s="425"/>
      <c r="C533" s="425"/>
    </row>
    <row r="534" ht="70.5" customHeight="1">
      <c r="A534" s="427"/>
      <c r="B534" s="425"/>
      <c r="C534" s="425"/>
    </row>
    <row r="535" ht="70.5" customHeight="1">
      <c r="A535" s="427"/>
      <c r="B535" s="425"/>
      <c r="C535" s="425"/>
    </row>
    <row r="536" ht="70.5" customHeight="1">
      <c r="A536" s="427"/>
      <c r="B536" s="425"/>
      <c r="C536" s="425"/>
    </row>
    <row r="537" ht="70.5" customHeight="1">
      <c r="A537" s="427"/>
      <c r="B537" s="425"/>
      <c r="C537" s="425"/>
    </row>
    <row r="538" ht="70.5" customHeight="1">
      <c r="A538" s="427"/>
      <c r="B538" s="425"/>
      <c r="C538" s="425"/>
    </row>
    <row r="539" ht="70.5" customHeight="1">
      <c r="A539" s="427"/>
      <c r="B539" s="425"/>
      <c r="C539" s="425"/>
    </row>
    <row r="540" ht="70.5" customHeight="1">
      <c r="A540" s="427"/>
      <c r="B540" s="425"/>
      <c r="C540" s="425"/>
    </row>
    <row r="541" ht="70.5" customHeight="1">
      <c r="A541" s="427"/>
      <c r="B541" s="425"/>
      <c r="C541" s="425"/>
    </row>
    <row r="542" ht="70.5" customHeight="1">
      <c r="A542" s="427"/>
      <c r="B542" s="425"/>
      <c r="C542" s="425"/>
    </row>
    <row r="543" ht="70.5" customHeight="1">
      <c r="A543" s="427"/>
      <c r="B543" s="425"/>
      <c r="C543" s="425"/>
    </row>
    <row r="544" ht="70.5" customHeight="1">
      <c r="A544" s="427"/>
      <c r="B544" s="425"/>
      <c r="C544" s="425"/>
    </row>
    <row r="545" ht="70.5" customHeight="1">
      <c r="A545" s="427"/>
      <c r="B545" s="425"/>
      <c r="C545" s="425"/>
    </row>
    <row r="546" ht="70.5" customHeight="1">
      <c r="A546" s="427"/>
      <c r="B546" s="425"/>
      <c r="C546" s="425"/>
    </row>
    <row r="547" ht="70.5" customHeight="1">
      <c r="A547" s="427"/>
      <c r="B547" s="425"/>
      <c r="C547" s="425"/>
    </row>
    <row r="548" ht="70.5" customHeight="1">
      <c r="A548" s="427"/>
      <c r="B548" s="425"/>
      <c r="C548" s="425"/>
    </row>
    <row r="549" ht="70.5" customHeight="1">
      <c r="A549" s="427"/>
      <c r="B549" s="425"/>
      <c r="C549" s="425"/>
    </row>
    <row r="550" ht="70.5" customHeight="1">
      <c r="A550" s="427"/>
      <c r="B550" s="425"/>
      <c r="C550" s="425"/>
    </row>
    <row r="551" ht="70.5" customHeight="1">
      <c r="A551" s="427"/>
      <c r="B551" s="425"/>
      <c r="C551" s="425"/>
    </row>
    <row r="552" ht="70.5" customHeight="1">
      <c r="A552" s="427"/>
      <c r="B552" s="425"/>
      <c r="C552" s="425"/>
    </row>
    <row r="553" ht="70.5" customHeight="1">
      <c r="A553" s="427"/>
      <c r="B553" s="425"/>
      <c r="C553" s="425"/>
    </row>
    <row r="554" ht="70.5" customHeight="1">
      <c r="A554" s="427"/>
      <c r="B554" s="425"/>
      <c r="C554" s="425"/>
    </row>
    <row r="555" ht="70.5" customHeight="1">
      <c r="A555" s="427"/>
      <c r="B555" s="425"/>
      <c r="C555" s="425"/>
    </row>
    <row r="556" ht="70.5" customHeight="1">
      <c r="A556" s="427"/>
      <c r="B556" s="425"/>
      <c r="C556" s="425"/>
    </row>
    <row r="557" ht="70.5" customHeight="1">
      <c r="A557" s="427"/>
      <c r="B557" s="425"/>
      <c r="C557" s="425"/>
    </row>
    <row r="558" ht="70.5" customHeight="1">
      <c r="A558" s="427"/>
      <c r="B558" s="425"/>
      <c r="C558" s="425"/>
    </row>
    <row r="559" ht="70.5" customHeight="1">
      <c r="A559" s="427"/>
      <c r="B559" s="425"/>
      <c r="C559" s="425"/>
    </row>
    <row r="560" ht="70.5" customHeight="1">
      <c r="A560" s="427"/>
      <c r="B560" s="425"/>
      <c r="C560" s="425"/>
    </row>
    <row r="561" ht="70.5" customHeight="1">
      <c r="A561" s="427"/>
      <c r="B561" s="425"/>
      <c r="C561" s="425"/>
    </row>
    <row r="562" ht="70.5" customHeight="1">
      <c r="A562" s="427"/>
      <c r="B562" s="425"/>
      <c r="C562" s="425"/>
    </row>
    <row r="563" ht="70.5" customHeight="1">
      <c r="A563" s="427"/>
      <c r="B563" s="425"/>
      <c r="C563" s="425"/>
    </row>
    <row r="564" ht="70.5" customHeight="1">
      <c r="A564" s="427"/>
      <c r="B564" s="425"/>
      <c r="C564" s="425"/>
    </row>
    <row r="565" ht="70.5" customHeight="1">
      <c r="A565" s="427"/>
      <c r="B565" s="425"/>
      <c r="C565" s="425"/>
    </row>
    <row r="566" ht="70.5" customHeight="1">
      <c r="A566" s="427"/>
      <c r="B566" s="425"/>
      <c r="C566" s="425"/>
    </row>
    <row r="567" ht="70.5" customHeight="1">
      <c r="A567" s="427"/>
      <c r="B567" s="425"/>
      <c r="C567" s="425"/>
    </row>
    <row r="568" ht="70.5" customHeight="1">
      <c r="A568" s="427"/>
      <c r="B568" s="425"/>
      <c r="C568" s="425"/>
    </row>
    <row r="569" ht="70.5" customHeight="1">
      <c r="A569" s="427"/>
      <c r="B569" s="425"/>
      <c r="C569" s="425"/>
    </row>
    <row r="570" ht="70.5" customHeight="1">
      <c r="A570" s="427"/>
      <c r="B570" s="425"/>
      <c r="C570" s="425"/>
    </row>
    <row r="571" ht="70.5" customHeight="1">
      <c r="A571" s="427"/>
      <c r="B571" s="425"/>
      <c r="C571" s="425"/>
    </row>
    <row r="572" ht="70.5" customHeight="1">
      <c r="A572" s="427"/>
      <c r="B572" s="425"/>
      <c r="C572" s="425"/>
    </row>
    <row r="573" ht="70.5" customHeight="1">
      <c r="A573" s="427"/>
      <c r="B573" s="425"/>
      <c r="C573" s="425"/>
    </row>
    <row r="574" ht="70.5" customHeight="1">
      <c r="A574" s="427"/>
      <c r="B574" s="425"/>
      <c r="C574" s="425"/>
    </row>
    <row r="575" ht="70.5" customHeight="1">
      <c r="A575" s="427"/>
      <c r="B575" s="425"/>
      <c r="C575" s="425"/>
    </row>
    <row r="576" ht="70.5" customHeight="1">
      <c r="A576" s="427"/>
      <c r="B576" s="425"/>
      <c r="C576" s="425"/>
    </row>
    <row r="577" ht="70.5" customHeight="1">
      <c r="A577" s="427"/>
      <c r="B577" s="425"/>
      <c r="C577" s="425"/>
    </row>
    <row r="578" ht="70.5" customHeight="1">
      <c r="A578" s="427"/>
      <c r="B578" s="425"/>
      <c r="C578" s="425"/>
    </row>
    <row r="579" ht="70.5" customHeight="1">
      <c r="A579" s="427"/>
      <c r="B579" s="425"/>
      <c r="C579" s="425"/>
    </row>
    <row r="580" ht="70.5" customHeight="1">
      <c r="A580" s="427"/>
      <c r="B580" s="425"/>
      <c r="C580" s="425"/>
    </row>
    <row r="581" ht="70.5" customHeight="1">
      <c r="A581" s="427"/>
      <c r="B581" s="425"/>
      <c r="C581" s="425"/>
    </row>
    <row r="582" ht="70.5" customHeight="1">
      <c r="A582" s="427"/>
      <c r="B582" s="425"/>
      <c r="C582" s="425"/>
    </row>
    <row r="583" ht="70.5" customHeight="1">
      <c r="A583" s="427"/>
      <c r="B583" s="425"/>
      <c r="C583" s="425"/>
    </row>
    <row r="584" ht="70.5" customHeight="1">
      <c r="A584" s="427"/>
      <c r="B584" s="425"/>
      <c r="C584" s="425"/>
    </row>
    <row r="585" ht="70.5" customHeight="1">
      <c r="A585" s="427"/>
      <c r="B585" s="425"/>
      <c r="C585" s="425"/>
    </row>
    <row r="586" ht="70.5" customHeight="1">
      <c r="A586" s="427"/>
      <c r="B586" s="425"/>
      <c r="C586" s="425"/>
    </row>
    <row r="587" ht="70.5" customHeight="1">
      <c r="A587" s="427"/>
      <c r="B587" s="425"/>
      <c r="C587" s="425"/>
    </row>
    <row r="588" ht="70.5" customHeight="1">
      <c r="A588" s="427"/>
      <c r="B588" s="425"/>
      <c r="C588" s="425"/>
    </row>
    <row r="589" ht="70.5" customHeight="1">
      <c r="A589" s="427"/>
      <c r="B589" s="425"/>
      <c r="C589" s="425"/>
    </row>
    <row r="590" ht="70.5" customHeight="1">
      <c r="A590" s="427"/>
      <c r="B590" s="425"/>
      <c r="C590" s="425"/>
    </row>
    <row r="591" ht="70.5" customHeight="1">
      <c r="A591" s="427"/>
      <c r="B591" s="425"/>
      <c r="C591" s="425"/>
    </row>
    <row r="592" ht="70.5" customHeight="1">
      <c r="A592" s="427"/>
      <c r="B592" s="425"/>
      <c r="C592" s="425"/>
    </row>
    <row r="593" ht="70.5" customHeight="1">
      <c r="A593" s="427"/>
      <c r="B593" s="425"/>
      <c r="C593" s="425"/>
    </row>
    <row r="594" ht="70.5" customHeight="1">
      <c r="A594" s="427"/>
      <c r="B594" s="425"/>
      <c r="C594" s="425"/>
    </row>
    <row r="595" ht="70.5" customHeight="1">
      <c r="A595" s="427"/>
      <c r="B595" s="425"/>
      <c r="C595" s="425"/>
    </row>
    <row r="596" ht="70.5" customHeight="1">
      <c r="A596" s="427"/>
      <c r="B596" s="425"/>
      <c r="C596" s="425"/>
    </row>
    <row r="597" ht="70.5" customHeight="1">
      <c r="A597" s="427"/>
      <c r="B597" s="425"/>
      <c r="C597" s="425"/>
    </row>
    <row r="598" ht="70.5" customHeight="1">
      <c r="A598" s="427"/>
      <c r="B598" s="425"/>
      <c r="C598" s="425"/>
    </row>
    <row r="599" ht="70.5" customHeight="1">
      <c r="A599" s="427"/>
      <c r="B599" s="425"/>
      <c r="C599" s="425"/>
    </row>
    <row r="600" ht="70.5" customHeight="1">
      <c r="A600" s="427"/>
      <c r="B600" s="425"/>
      <c r="C600" s="425"/>
    </row>
    <row r="601" ht="70.5" customHeight="1">
      <c r="A601" s="427"/>
      <c r="B601" s="425"/>
      <c r="C601" s="425"/>
    </row>
    <row r="602" ht="70.5" customHeight="1">
      <c r="A602" s="427"/>
      <c r="B602" s="425"/>
      <c r="C602" s="425"/>
    </row>
    <row r="603" ht="70.5" customHeight="1">
      <c r="A603" s="427"/>
      <c r="B603" s="425"/>
      <c r="C603" s="425"/>
    </row>
    <row r="604" ht="70.5" customHeight="1">
      <c r="A604" s="427"/>
      <c r="B604" s="425"/>
      <c r="C604" s="425"/>
    </row>
    <row r="605" ht="70.5" customHeight="1">
      <c r="A605" s="427"/>
      <c r="B605" s="425"/>
      <c r="C605" s="425"/>
    </row>
    <row r="606" ht="70.5" customHeight="1">
      <c r="A606" s="427"/>
      <c r="B606" s="425"/>
      <c r="C606" s="425"/>
    </row>
    <row r="607" ht="70.5" customHeight="1">
      <c r="A607" s="427"/>
      <c r="B607" s="425"/>
      <c r="C607" s="425"/>
    </row>
    <row r="608" ht="70.5" customHeight="1">
      <c r="A608" s="427"/>
      <c r="B608" s="425"/>
      <c r="C608" s="425"/>
    </row>
    <row r="609" ht="70.5" customHeight="1">
      <c r="A609" s="427"/>
      <c r="B609" s="425"/>
      <c r="C609" s="425"/>
    </row>
    <row r="610" ht="70.5" customHeight="1">
      <c r="A610" s="427"/>
      <c r="B610" s="425"/>
      <c r="C610" s="425"/>
    </row>
    <row r="611" ht="70.5" customHeight="1">
      <c r="A611" s="427"/>
      <c r="B611" s="425"/>
      <c r="C611" s="425"/>
    </row>
    <row r="612" ht="70.5" customHeight="1">
      <c r="A612" s="427"/>
      <c r="B612" s="425"/>
      <c r="C612" s="425"/>
    </row>
    <row r="613" ht="70.5" customHeight="1">
      <c r="A613" s="427"/>
      <c r="B613" s="425"/>
      <c r="C613" s="425"/>
    </row>
    <row r="614" ht="70.5" customHeight="1">
      <c r="A614" s="427"/>
      <c r="B614" s="425"/>
      <c r="C614" s="425"/>
    </row>
    <row r="615" ht="70.5" customHeight="1">
      <c r="A615" s="427"/>
      <c r="B615" s="425"/>
      <c r="C615" s="425"/>
    </row>
    <row r="616" ht="70.5" customHeight="1">
      <c r="A616" s="427"/>
      <c r="B616" s="425"/>
      <c r="C616" s="425"/>
    </row>
    <row r="617" ht="70.5" customHeight="1">
      <c r="A617" s="427"/>
      <c r="B617" s="425"/>
      <c r="C617" s="425"/>
    </row>
    <row r="618" ht="70.5" customHeight="1">
      <c r="A618" s="427"/>
      <c r="B618" s="425"/>
      <c r="C618" s="425"/>
    </row>
    <row r="619" ht="70.5" customHeight="1">
      <c r="A619" s="427"/>
      <c r="B619" s="425"/>
      <c r="C619" s="425"/>
    </row>
    <row r="620" ht="70.5" customHeight="1">
      <c r="A620" s="427"/>
      <c r="B620" s="425"/>
      <c r="C620" s="425"/>
    </row>
    <row r="621" ht="70.5" customHeight="1">
      <c r="A621" s="427"/>
      <c r="B621" s="425"/>
      <c r="C621" s="425"/>
    </row>
    <row r="622" ht="70.5" customHeight="1">
      <c r="A622" s="427"/>
      <c r="B622" s="425"/>
      <c r="C622" s="425"/>
    </row>
    <row r="623" ht="70.5" customHeight="1">
      <c r="A623" s="427"/>
      <c r="B623" s="425"/>
      <c r="C623" s="425"/>
    </row>
    <row r="624" ht="70.5" customHeight="1">
      <c r="A624" s="427"/>
      <c r="B624" s="425"/>
      <c r="C624" s="425"/>
    </row>
    <row r="625" ht="70.5" customHeight="1">
      <c r="A625" s="427"/>
      <c r="B625" s="425"/>
      <c r="C625" s="425"/>
    </row>
    <row r="626" ht="70.5" customHeight="1">
      <c r="A626" s="427"/>
      <c r="B626" s="425"/>
      <c r="C626" s="425"/>
    </row>
    <row r="627" ht="70.5" customHeight="1">
      <c r="A627" s="427"/>
      <c r="B627" s="425"/>
      <c r="C627" s="425"/>
    </row>
    <row r="628" ht="70.5" customHeight="1">
      <c r="A628" s="427"/>
      <c r="B628" s="425"/>
      <c r="C628" s="425"/>
    </row>
    <row r="629" ht="70.5" customHeight="1">
      <c r="A629" s="427"/>
      <c r="B629" s="425"/>
      <c r="C629" s="425"/>
    </row>
    <row r="630" ht="70.5" customHeight="1">
      <c r="A630" s="427"/>
      <c r="B630" s="425"/>
      <c r="C630" s="425"/>
    </row>
    <row r="631" ht="70.5" customHeight="1">
      <c r="A631" s="427"/>
      <c r="B631" s="425"/>
      <c r="C631" s="425"/>
    </row>
    <row r="632" ht="70.5" customHeight="1">
      <c r="A632" s="427"/>
      <c r="B632" s="425"/>
      <c r="C632" s="425"/>
    </row>
    <row r="633" ht="70.5" customHeight="1">
      <c r="A633" s="427"/>
      <c r="B633" s="425"/>
      <c r="C633" s="425"/>
    </row>
    <row r="634" ht="70.5" customHeight="1">
      <c r="A634" s="427"/>
      <c r="B634" s="425"/>
      <c r="C634" s="425"/>
    </row>
    <row r="635" ht="70.5" customHeight="1">
      <c r="A635" s="427"/>
      <c r="B635" s="425"/>
      <c r="C635" s="425"/>
    </row>
    <row r="636" ht="70.5" customHeight="1">
      <c r="A636" s="427"/>
      <c r="B636" s="425"/>
      <c r="C636" s="425"/>
    </row>
    <row r="637" ht="70.5" customHeight="1">
      <c r="A637" s="427"/>
      <c r="B637" s="425"/>
      <c r="C637" s="425"/>
    </row>
    <row r="638" ht="70.5" customHeight="1">
      <c r="A638" s="427"/>
      <c r="B638" s="425"/>
      <c r="C638" s="425"/>
    </row>
    <row r="639" ht="70.5" customHeight="1">
      <c r="A639" s="427"/>
      <c r="B639" s="425"/>
      <c r="C639" s="425"/>
    </row>
    <row r="640" ht="70.5" customHeight="1">
      <c r="A640" s="427"/>
      <c r="B640" s="425"/>
      <c r="C640" s="425"/>
    </row>
    <row r="641" ht="70.5" customHeight="1">
      <c r="A641" s="427"/>
      <c r="B641" s="425"/>
      <c r="C641" s="425"/>
    </row>
    <row r="642" ht="70.5" customHeight="1">
      <c r="A642" s="427"/>
      <c r="B642" s="425"/>
      <c r="C642" s="425"/>
    </row>
    <row r="643" ht="70.5" customHeight="1">
      <c r="A643" s="427"/>
      <c r="B643" s="425"/>
      <c r="C643" s="425"/>
    </row>
    <row r="644" ht="70.5" customHeight="1">
      <c r="A644" s="427"/>
      <c r="B644" s="425"/>
      <c r="C644" s="425"/>
    </row>
    <row r="645" ht="70.5" customHeight="1">
      <c r="A645" s="427"/>
      <c r="B645" s="425"/>
      <c r="C645" s="425"/>
    </row>
    <row r="646" ht="70.5" customHeight="1">
      <c r="A646" s="427"/>
      <c r="B646" s="425"/>
      <c r="C646" s="425"/>
    </row>
    <row r="647" ht="70.5" customHeight="1">
      <c r="A647" s="427"/>
      <c r="B647" s="425"/>
      <c r="C647" s="425"/>
    </row>
    <row r="648" ht="70.5" customHeight="1">
      <c r="A648" s="427"/>
      <c r="B648" s="425"/>
      <c r="C648" s="425"/>
    </row>
    <row r="649" ht="70.5" customHeight="1">
      <c r="A649" s="427"/>
      <c r="B649" s="425"/>
      <c r="C649" s="425"/>
    </row>
    <row r="650" ht="70.5" customHeight="1">
      <c r="A650" s="427"/>
      <c r="B650" s="425"/>
      <c r="C650" s="425"/>
    </row>
    <row r="651" ht="70.5" customHeight="1">
      <c r="A651" s="427"/>
      <c r="B651" s="425"/>
      <c r="C651" s="425"/>
    </row>
    <row r="652" ht="70.5" customHeight="1">
      <c r="A652" s="427"/>
      <c r="B652" s="425"/>
      <c r="C652" s="425"/>
    </row>
    <row r="653" ht="70.5" customHeight="1">
      <c r="A653" s="427"/>
      <c r="B653" s="425"/>
      <c r="C653" s="425"/>
    </row>
    <row r="654" ht="70.5" customHeight="1">
      <c r="A654" s="427"/>
      <c r="B654" s="425"/>
      <c r="C654" s="425"/>
    </row>
    <row r="655" ht="70.5" customHeight="1">
      <c r="A655" s="427"/>
      <c r="B655" s="425"/>
      <c r="C655" s="425"/>
    </row>
    <row r="656" ht="70.5" customHeight="1">
      <c r="A656" s="427"/>
      <c r="B656" s="425"/>
      <c r="C656" s="425"/>
    </row>
    <row r="657" ht="70.5" customHeight="1">
      <c r="A657" s="427"/>
      <c r="B657" s="425"/>
      <c r="C657" s="425"/>
    </row>
    <row r="658" ht="70.5" customHeight="1">
      <c r="A658" s="427"/>
      <c r="B658" s="425"/>
      <c r="C658" s="425"/>
    </row>
    <row r="659" ht="70.5" customHeight="1">
      <c r="A659" s="427"/>
      <c r="B659" s="425"/>
      <c r="C659" s="425"/>
    </row>
    <row r="660" ht="70.5" customHeight="1">
      <c r="A660" s="427"/>
      <c r="B660" s="425"/>
      <c r="C660" s="425"/>
    </row>
    <row r="661" ht="70.5" customHeight="1">
      <c r="A661" s="427"/>
      <c r="B661" s="425"/>
      <c r="C661" s="425"/>
    </row>
    <row r="662" ht="70.5" customHeight="1">
      <c r="A662" s="427"/>
      <c r="B662" s="425"/>
      <c r="C662" s="425"/>
    </row>
    <row r="663" ht="70.5" customHeight="1">
      <c r="A663" s="427"/>
      <c r="B663" s="425"/>
      <c r="C663" s="425"/>
    </row>
    <row r="664" ht="70.5" customHeight="1">
      <c r="A664" s="427"/>
      <c r="B664" s="425"/>
      <c r="C664" s="425"/>
    </row>
    <row r="665" ht="70.5" customHeight="1">
      <c r="A665" s="427"/>
      <c r="B665" s="425"/>
      <c r="C665" s="425"/>
    </row>
    <row r="666" ht="70.5" customHeight="1">
      <c r="A666" s="427"/>
      <c r="B666" s="425"/>
      <c r="C666" s="425"/>
    </row>
    <row r="667" ht="70.5" customHeight="1">
      <c r="A667" s="427"/>
      <c r="B667" s="425"/>
      <c r="C667" s="425"/>
    </row>
    <row r="668" ht="70.5" customHeight="1">
      <c r="A668" s="427"/>
      <c r="B668" s="425"/>
      <c r="C668" s="425"/>
    </row>
    <row r="669" ht="70.5" customHeight="1">
      <c r="A669" s="427"/>
      <c r="B669" s="425"/>
      <c r="C669" s="425"/>
    </row>
    <row r="670" ht="70.5" customHeight="1">
      <c r="A670" s="427"/>
      <c r="B670" s="425"/>
      <c r="C670" s="425"/>
    </row>
    <row r="671" ht="70.5" customHeight="1">
      <c r="A671" s="427"/>
      <c r="B671" s="425"/>
      <c r="C671" s="425"/>
    </row>
    <row r="672" ht="70.5" customHeight="1">
      <c r="A672" s="427"/>
      <c r="B672" s="425"/>
      <c r="C672" s="425"/>
    </row>
    <row r="673" ht="70.5" customHeight="1">
      <c r="A673" s="427"/>
      <c r="B673" s="425"/>
      <c r="C673" s="425"/>
    </row>
    <row r="674" ht="70.5" customHeight="1">
      <c r="A674" s="427"/>
      <c r="B674" s="425"/>
      <c r="C674" s="425"/>
    </row>
    <row r="675" ht="70.5" customHeight="1">
      <c r="A675" s="427"/>
      <c r="B675" s="425"/>
      <c r="C675" s="425"/>
    </row>
    <row r="676" ht="70.5" customHeight="1">
      <c r="A676" s="427"/>
      <c r="B676" s="425"/>
      <c r="C676" s="425"/>
    </row>
    <row r="677" ht="70.5" customHeight="1">
      <c r="A677" s="427"/>
      <c r="B677" s="425"/>
      <c r="C677" s="425"/>
    </row>
    <row r="678" ht="70.5" customHeight="1">
      <c r="A678" s="427"/>
      <c r="B678" s="425"/>
      <c r="C678" s="425"/>
    </row>
    <row r="679" ht="70.5" customHeight="1">
      <c r="A679" s="427"/>
      <c r="B679" s="425"/>
      <c r="C679" s="425"/>
    </row>
    <row r="680" ht="70.5" customHeight="1">
      <c r="A680" s="427"/>
      <c r="B680" s="425"/>
      <c r="C680" s="425"/>
    </row>
    <row r="681" ht="70.5" customHeight="1">
      <c r="A681" s="427"/>
      <c r="B681" s="425"/>
      <c r="C681" s="425"/>
    </row>
    <row r="682" ht="70.5" customHeight="1">
      <c r="A682" s="427"/>
      <c r="B682" s="425"/>
      <c r="C682" s="425"/>
    </row>
    <row r="683" ht="70.5" customHeight="1">
      <c r="A683" s="427"/>
      <c r="B683" s="425"/>
      <c r="C683" s="425"/>
    </row>
    <row r="684" ht="70.5" customHeight="1">
      <c r="A684" s="427"/>
      <c r="B684" s="425"/>
      <c r="C684" s="425"/>
    </row>
    <row r="685" ht="70.5" customHeight="1">
      <c r="A685" s="427"/>
      <c r="B685" s="425"/>
      <c r="C685" s="425"/>
    </row>
    <row r="686" ht="70.5" customHeight="1">
      <c r="A686" s="427"/>
      <c r="B686" s="425"/>
      <c r="C686" s="425"/>
    </row>
    <row r="687" ht="70.5" customHeight="1">
      <c r="A687" s="427"/>
      <c r="B687" s="425"/>
      <c r="C687" s="425"/>
    </row>
    <row r="688" ht="70.5" customHeight="1">
      <c r="A688" s="427"/>
      <c r="B688" s="425"/>
      <c r="C688" s="425"/>
    </row>
    <row r="689" ht="70.5" customHeight="1">
      <c r="A689" s="427"/>
      <c r="B689" s="425"/>
      <c r="C689" s="425"/>
    </row>
    <row r="690" ht="70.5" customHeight="1">
      <c r="A690" s="427"/>
      <c r="B690" s="425"/>
      <c r="C690" s="425"/>
    </row>
    <row r="691" ht="70.5" customHeight="1">
      <c r="A691" s="427"/>
      <c r="B691" s="425"/>
      <c r="C691" s="425"/>
    </row>
    <row r="692" ht="70.5" customHeight="1">
      <c r="A692" s="427"/>
      <c r="B692" s="425"/>
      <c r="C692" s="425"/>
    </row>
    <row r="693" ht="70.5" customHeight="1">
      <c r="A693" s="427"/>
      <c r="B693" s="425"/>
      <c r="C693" s="425"/>
    </row>
    <row r="694" ht="70.5" customHeight="1">
      <c r="A694" s="427"/>
      <c r="B694" s="425"/>
      <c r="C694" s="425"/>
    </row>
    <row r="695" ht="70.5" customHeight="1">
      <c r="A695" s="427"/>
      <c r="B695" s="425"/>
      <c r="C695" s="425"/>
    </row>
    <row r="696" ht="70.5" customHeight="1">
      <c r="A696" s="427"/>
      <c r="B696" s="425"/>
      <c r="C696" s="425"/>
    </row>
    <row r="697" ht="70.5" customHeight="1">
      <c r="A697" s="427"/>
      <c r="B697" s="425"/>
      <c r="C697" s="425"/>
    </row>
    <row r="698" ht="70.5" customHeight="1">
      <c r="A698" s="427"/>
      <c r="B698" s="425"/>
      <c r="C698" s="425"/>
    </row>
    <row r="699" ht="70.5" customHeight="1">
      <c r="A699" s="427"/>
      <c r="B699" s="425"/>
      <c r="C699" s="425"/>
    </row>
    <row r="700" ht="70.5" customHeight="1">
      <c r="A700" s="427"/>
      <c r="B700" s="425"/>
      <c r="C700" s="425"/>
    </row>
    <row r="701" ht="70.5" customHeight="1">
      <c r="A701" s="427"/>
      <c r="B701" s="425"/>
      <c r="C701" s="425"/>
    </row>
    <row r="702" ht="70.5" customHeight="1">
      <c r="A702" s="427"/>
      <c r="B702" s="425"/>
      <c r="C702" s="425"/>
    </row>
    <row r="703" ht="70.5" customHeight="1">
      <c r="A703" s="427"/>
      <c r="B703" s="425"/>
      <c r="C703" s="425"/>
    </row>
    <row r="704" ht="70.5" customHeight="1">
      <c r="A704" s="427"/>
      <c r="B704" s="425"/>
      <c r="C704" s="425"/>
    </row>
    <row r="705" ht="70.5" customHeight="1">
      <c r="A705" s="427"/>
      <c r="B705" s="425"/>
      <c r="C705" s="425"/>
    </row>
    <row r="706" ht="70.5" customHeight="1">
      <c r="A706" s="427"/>
      <c r="B706" s="425"/>
      <c r="C706" s="425"/>
    </row>
    <row r="707" ht="70.5" customHeight="1">
      <c r="A707" s="427"/>
      <c r="B707" s="425"/>
      <c r="C707" s="425"/>
    </row>
    <row r="708" ht="70.5" customHeight="1">
      <c r="A708" s="427"/>
      <c r="B708" s="425"/>
      <c r="C708" s="425"/>
    </row>
    <row r="709" ht="70.5" customHeight="1">
      <c r="A709" s="427"/>
      <c r="B709" s="425"/>
      <c r="C709" s="425"/>
    </row>
    <row r="710" ht="70.5" customHeight="1">
      <c r="A710" s="427"/>
      <c r="B710" s="425"/>
      <c r="C710" s="425"/>
    </row>
    <row r="711" ht="70.5" customHeight="1">
      <c r="A711" s="427"/>
      <c r="B711" s="425"/>
      <c r="C711" s="425"/>
    </row>
    <row r="712" ht="70.5" customHeight="1">
      <c r="A712" s="427"/>
      <c r="B712" s="425"/>
      <c r="C712" s="425"/>
    </row>
    <row r="713" ht="70.5" customHeight="1">
      <c r="A713" s="427"/>
      <c r="B713" s="425"/>
      <c r="C713" s="425"/>
    </row>
    <row r="714" ht="70.5" customHeight="1">
      <c r="A714" s="427"/>
      <c r="B714" s="425"/>
      <c r="C714" s="425"/>
    </row>
    <row r="715" ht="70.5" customHeight="1">
      <c r="A715" s="427"/>
      <c r="B715" s="425"/>
      <c r="C715" s="425"/>
    </row>
    <row r="716" ht="70.5" customHeight="1">
      <c r="A716" s="427"/>
      <c r="B716" s="425"/>
      <c r="C716" s="425"/>
    </row>
    <row r="717" ht="70.5" customHeight="1">
      <c r="A717" s="427"/>
      <c r="B717" s="425"/>
      <c r="C717" s="425"/>
    </row>
    <row r="718" ht="70.5" customHeight="1">
      <c r="A718" s="427"/>
      <c r="B718" s="425"/>
      <c r="C718" s="425"/>
    </row>
    <row r="719" ht="70.5" customHeight="1">
      <c r="A719" s="427"/>
      <c r="B719" s="425"/>
      <c r="C719" s="425"/>
    </row>
    <row r="720" ht="70.5" customHeight="1">
      <c r="A720" s="427"/>
      <c r="B720" s="425"/>
      <c r="C720" s="425"/>
    </row>
    <row r="721" ht="70.5" customHeight="1">
      <c r="A721" s="427"/>
      <c r="B721" s="425"/>
      <c r="C721" s="425"/>
    </row>
    <row r="722" ht="70.5" customHeight="1">
      <c r="A722" s="427"/>
      <c r="B722" s="425"/>
      <c r="C722" s="425"/>
    </row>
    <row r="723" ht="70.5" customHeight="1">
      <c r="A723" s="427"/>
      <c r="B723" s="425"/>
      <c r="C723" s="425"/>
    </row>
    <row r="724" ht="70.5" customHeight="1">
      <c r="A724" s="427"/>
      <c r="B724" s="425"/>
      <c r="C724" s="425"/>
    </row>
    <row r="725" ht="70.5" customHeight="1">
      <c r="A725" s="427"/>
      <c r="B725" s="425"/>
      <c r="C725" s="425"/>
    </row>
    <row r="726" ht="70.5" customHeight="1">
      <c r="A726" s="427"/>
      <c r="B726" s="425"/>
      <c r="C726" s="425"/>
    </row>
    <row r="727" ht="70.5" customHeight="1">
      <c r="A727" s="427"/>
      <c r="B727" s="425"/>
      <c r="C727" s="425"/>
    </row>
    <row r="728" ht="70.5" customHeight="1">
      <c r="A728" s="427"/>
      <c r="B728" s="425"/>
      <c r="C728" s="425"/>
    </row>
    <row r="729" ht="70.5" customHeight="1">
      <c r="A729" s="427"/>
      <c r="B729" s="425"/>
      <c r="C729" s="425"/>
    </row>
    <row r="730" ht="70.5" customHeight="1">
      <c r="A730" s="427"/>
      <c r="B730" s="425"/>
      <c r="C730" s="425"/>
    </row>
    <row r="731" ht="70.5" customHeight="1">
      <c r="A731" s="427"/>
      <c r="B731" s="425"/>
      <c r="C731" s="425"/>
    </row>
    <row r="732" ht="70.5" customHeight="1">
      <c r="A732" s="427"/>
      <c r="B732" s="425"/>
      <c r="C732" s="425"/>
    </row>
    <row r="733" ht="70.5" customHeight="1">
      <c r="A733" s="427"/>
      <c r="B733" s="425"/>
      <c r="C733" s="425"/>
    </row>
    <row r="734" ht="70.5" customHeight="1">
      <c r="A734" s="427"/>
      <c r="B734" s="425"/>
      <c r="C734" s="425"/>
    </row>
    <row r="735" ht="70.5" customHeight="1">
      <c r="A735" s="427"/>
      <c r="B735" s="425"/>
      <c r="C735" s="425"/>
    </row>
    <row r="736" ht="70.5" customHeight="1">
      <c r="A736" s="427"/>
      <c r="B736" s="425"/>
      <c r="C736" s="425"/>
    </row>
    <row r="737" ht="70.5" customHeight="1">
      <c r="A737" s="427"/>
      <c r="B737" s="425"/>
      <c r="C737" s="425"/>
    </row>
    <row r="738" ht="70.5" customHeight="1">
      <c r="A738" s="427"/>
      <c r="B738" s="425"/>
      <c r="C738" s="425"/>
    </row>
    <row r="739" ht="70.5" customHeight="1">
      <c r="A739" s="427"/>
      <c r="B739" s="425"/>
      <c r="C739" s="425"/>
    </row>
    <row r="740" ht="70.5" customHeight="1">
      <c r="A740" s="427"/>
      <c r="B740" s="425"/>
      <c r="C740" s="425"/>
    </row>
    <row r="741" ht="70.5" customHeight="1">
      <c r="A741" s="427"/>
      <c r="B741" s="425"/>
      <c r="C741" s="425"/>
    </row>
    <row r="742" ht="70.5" customHeight="1">
      <c r="A742" s="427"/>
      <c r="B742" s="425"/>
      <c r="C742" s="425"/>
    </row>
    <row r="743" ht="70.5" customHeight="1">
      <c r="A743" s="427"/>
      <c r="B743" s="425"/>
      <c r="C743" s="425"/>
    </row>
    <row r="744" ht="70.5" customHeight="1">
      <c r="A744" s="427"/>
      <c r="B744" s="425"/>
      <c r="C744" s="425"/>
    </row>
    <row r="745" ht="70.5" customHeight="1">
      <c r="A745" s="427"/>
      <c r="B745" s="425"/>
      <c r="C745" s="425"/>
    </row>
    <row r="746" ht="70.5" customHeight="1">
      <c r="A746" s="427"/>
      <c r="B746" s="425"/>
      <c r="C746" s="425"/>
    </row>
    <row r="747" ht="70.5" customHeight="1">
      <c r="A747" s="427"/>
      <c r="B747" s="425"/>
      <c r="C747" s="425"/>
    </row>
    <row r="748" ht="70.5" customHeight="1">
      <c r="A748" s="427"/>
      <c r="B748" s="425"/>
      <c r="C748" s="425"/>
    </row>
    <row r="749" ht="70.5" customHeight="1">
      <c r="A749" s="427"/>
      <c r="B749" s="425"/>
      <c r="C749" s="425"/>
    </row>
    <row r="750" ht="70.5" customHeight="1">
      <c r="A750" s="427"/>
      <c r="B750" s="425"/>
      <c r="C750" s="425"/>
    </row>
    <row r="751" ht="70.5" customHeight="1">
      <c r="A751" s="427"/>
      <c r="B751" s="425"/>
      <c r="C751" s="425"/>
    </row>
    <row r="752" ht="70.5" customHeight="1">
      <c r="A752" s="427"/>
      <c r="B752" s="425"/>
      <c r="C752" s="425"/>
    </row>
    <row r="753" ht="70.5" customHeight="1">
      <c r="A753" s="427"/>
      <c r="B753" s="425"/>
      <c r="C753" s="425"/>
    </row>
    <row r="754" ht="70.5" customHeight="1">
      <c r="A754" s="427"/>
      <c r="B754" s="425"/>
      <c r="C754" s="425"/>
    </row>
    <row r="755" ht="70.5" customHeight="1">
      <c r="A755" s="427"/>
      <c r="B755" s="425"/>
      <c r="C755" s="425"/>
    </row>
    <row r="756" ht="70.5" customHeight="1">
      <c r="A756" s="427"/>
      <c r="B756" s="425"/>
      <c r="C756" s="425"/>
    </row>
    <row r="757" ht="70.5" customHeight="1">
      <c r="A757" s="427"/>
      <c r="B757" s="425"/>
      <c r="C757" s="425"/>
    </row>
    <row r="758" ht="70.5" customHeight="1">
      <c r="A758" s="427"/>
      <c r="B758" s="425"/>
      <c r="C758" s="425"/>
    </row>
    <row r="759" ht="70.5" customHeight="1">
      <c r="A759" s="427"/>
      <c r="B759" s="425"/>
      <c r="C759" s="425"/>
    </row>
    <row r="760" ht="70.5" customHeight="1">
      <c r="A760" s="427"/>
      <c r="B760" s="425"/>
      <c r="C760" s="425"/>
    </row>
    <row r="761" ht="70.5" customHeight="1">
      <c r="A761" s="427"/>
      <c r="B761" s="425"/>
      <c r="C761" s="425"/>
    </row>
    <row r="762" ht="70.5" customHeight="1">
      <c r="A762" s="427"/>
      <c r="B762" s="425"/>
      <c r="C762" s="425"/>
    </row>
    <row r="763" ht="70.5" customHeight="1">
      <c r="A763" s="427"/>
      <c r="B763" s="425"/>
      <c r="C763" s="425"/>
    </row>
    <row r="764" ht="70.5" customHeight="1">
      <c r="A764" s="427"/>
      <c r="B764" s="425"/>
      <c r="C764" s="425"/>
    </row>
    <row r="765" ht="70.5" customHeight="1">
      <c r="A765" s="427"/>
      <c r="B765" s="425"/>
      <c r="C765" s="425"/>
    </row>
    <row r="766" ht="70.5" customHeight="1">
      <c r="A766" s="427"/>
      <c r="B766" s="425"/>
      <c r="C766" s="425"/>
    </row>
    <row r="767" ht="70.5" customHeight="1">
      <c r="A767" s="427"/>
      <c r="B767" s="425"/>
      <c r="C767" s="425"/>
    </row>
    <row r="768" ht="70.5" customHeight="1">
      <c r="A768" s="427"/>
      <c r="B768" s="425"/>
      <c r="C768" s="425"/>
    </row>
    <row r="769" ht="70.5" customHeight="1">
      <c r="A769" s="427"/>
      <c r="B769" s="425"/>
      <c r="C769" s="425"/>
    </row>
    <row r="770" ht="70.5" customHeight="1">
      <c r="A770" s="427"/>
      <c r="B770" s="425"/>
      <c r="C770" s="425"/>
    </row>
    <row r="771" ht="70.5" customHeight="1">
      <c r="A771" s="427"/>
      <c r="B771" s="425"/>
      <c r="C771" s="425"/>
    </row>
    <row r="772" ht="70.5" customHeight="1">
      <c r="A772" s="427"/>
      <c r="B772" s="425"/>
      <c r="C772" s="425"/>
    </row>
    <row r="773" ht="70.5" customHeight="1">
      <c r="A773" s="427"/>
      <c r="B773" s="425"/>
      <c r="C773" s="425"/>
    </row>
    <row r="774" ht="70.5" customHeight="1">
      <c r="A774" s="427"/>
      <c r="B774" s="425"/>
      <c r="C774" s="425"/>
    </row>
    <row r="775" ht="70.5" customHeight="1">
      <c r="A775" s="427"/>
      <c r="B775" s="425"/>
      <c r="C775" s="425"/>
    </row>
    <row r="776" ht="70.5" customHeight="1">
      <c r="A776" s="427"/>
      <c r="B776" s="425"/>
      <c r="C776" s="425"/>
    </row>
    <row r="777" ht="70.5" customHeight="1">
      <c r="A777" s="427"/>
      <c r="B777" s="425"/>
      <c r="C777" s="425"/>
    </row>
    <row r="778" ht="70.5" customHeight="1">
      <c r="A778" s="427"/>
      <c r="B778" s="425"/>
      <c r="C778" s="425"/>
    </row>
    <row r="779" ht="70.5" customHeight="1">
      <c r="A779" s="427"/>
      <c r="B779" s="425"/>
      <c r="C779" s="425"/>
    </row>
    <row r="780" ht="70.5" customHeight="1">
      <c r="A780" s="427"/>
      <c r="B780" s="425"/>
      <c r="C780" s="425"/>
    </row>
    <row r="781" ht="70.5" customHeight="1">
      <c r="A781" s="427"/>
      <c r="B781" s="425"/>
      <c r="C781" s="425"/>
    </row>
    <row r="782" ht="70.5" customHeight="1">
      <c r="A782" s="427"/>
      <c r="B782" s="425"/>
      <c r="C782" s="425"/>
    </row>
    <row r="783" ht="70.5" customHeight="1">
      <c r="A783" s="427"/>
      <c r="B783" s="425"/>
      <c r="C783" s="425"/>
    </row>
    <row r="784" ht="70.5" customHeight="1">
      <c r="A784" s="427"/>
      <c r="B784" s="425"/>
      <c r="C784" s="425"/>
    </row>
    <row r="785" ht="70.5" customHeight="1">
      <c r="A785" s="427"/>
      <c r="B785" s="425"/>
      <c r="C785" s="425"/>
    </row>
    <row r="786" ht="70.5" customHeight="1">
      <c r="A786" s="427"/>
      <c r="B786" s="425"/>
      <c r="C786" s="425"/>
    </row>
    <row r="787" ht="70.5" customHeight="1">
      <c r="A787" s="427"/>
      <c r="B787" s="425"/>
      <c r="C787" s="425"/>
    </row>
    <row r="788" ht="70.5" customHeight="1">
      <c r="A788" s="427"/>
      <c r="B788" s="425"/>
      <c r="C788" s="425"/>
    </row>
    <row r="789" ht="70.5" customHeight="1">
      <c r="A789" s="427"/>
      <c r="B789" s="425"/>
      <c r="C789" s="425"/>
    </row>
    <row r="790" ht="70.5" customHeight="1">
      <c r="A790" s="427"/>
      <c r="B790" s="425"/>
      <c r="C790" s="425"/>
    </row>
    <row r="791" ht="70.5" customHeight="1">
      <c r="A791" s="427"/>
      <c r="B791" s="425"/>
      <c r="C791" s="425"/>
    </row>
    <row r="792" ht="70.5" customHeight="1">
      <c r="A792" s="427"/>
      <c r="B792" s="425"/>
      <c r="C792" s="425"/>
    </row>
    <row r="793" ht="70.5" customHeight="1">
      <c r="A793" s="427"/>
      <c r="B793" s="425"/>
      <c r="C793" s="425"/>
    </row>
    <row r="794" ht="70.5" customHeight="1">
      <c r="A794" s="427"/>
      <c r="B794" s="425"/>
      <c r="C794" s="425"/>
    </row>
    <row r="795" ht="70.5" customHeight="1">
      <c r="A795" s="427"/>
      <c r="B795" s="425"/>
      <c r="C795" s="425"/>
    </row>
    <row r="796" ht="70.5" customHeight="1">
      <c r="A796" s="427"/>
      <c r="B796" s="425"/>
      <c r="C796" s="425"/>
    </row>
    <row r="797" ht="70.5" customHeight="1">
      <c r="A797" s="427"/>
      <c r="B797" s="425"/>
      <c r="C797" s="425"/>
    </row>
    <row r="798" ht="70.5" customHeight="1">
      <c r="A798" s="427"/>
      <c r="B798" s="425"/>
      <c r="C798" s="425"/>
    </row>
    <row r="799" ht="70.5" customHeight="1">
      <c r="A799" s="427"/>
      <c r="B799" s="425"/>
      <c r="C799" s="425"/>
    </row>
    <row r="800" ht="70.5" customHeight="1">
      <c r="A800" s="427"/>
      <c r="B800" s="425"/>
      <c r="C800" s="425"/>
    </row>
    <row r="801" ht="70.5" customHeight="1">
      <c r="A801" s="427"/>
      <c r="B801" s="425"/>
      <c r="C801" s="425"/>
    </row>
    <row r="802" ht="70.5" customHeight="1">
      <c r="A802" s="427"/>
      <c r="B802" s="425"/>
      <c r="C802" s="425"/>
    </row>
    <row r="803" ht="70.5" customHeight="1">
      <c r="A803" s="427"/>
      <c r="B803" s="425"/>
      <c r="C803" s="425"/>
    </row>
    <row r="804" ht="70.5" customHeight="1">
      <c r="A804" s="427"/>
      <c r="B804" s="425"/>
      <c r="C804" s="425"/>
    </row>
    <row r="805" ht="70.5" customHeight="1">
      <c r="A805" s="427"/>
      <c r="B805" s="425"/>
      <c r="C805" s="425"/>
    </row>
    <row r="806" ht="70.5" customHeight="1">
      <c r="A806" s="427"/>
      <c r="B806" s="425"/>
      <c r="C806" s="425"/>
    </row>
    <row r="807" ht="70.5" customHeight="1">
      <c r="A807" s="427"/>
      <c r="B807" s="425"/>
      <c r="C807" s="425"/>
    </row>
    <row r="808" ht="70.5" customHeight="1">
      <c r="A808" s="427"/>
      <c r="B808" s="425"/>
      <c r="C808" s="425"/>
    </row>
    <row r="809" ht="70.5" customHeight="1">
      <c r="A809" s="427"/>
      <c r="B809" s="425"/>
      <c r="C809" s="425"/>
    </row>
    <row r="810" ht="70.5" customHeight="1">
      <c r="A810" s="427"/>
      <c r="B810" s="425"/>
      <c r="C810" s="425"/>
    </row>
    <row r="811" ht="70.5" customHeight="1">
      <c r="A811" s="427"/>
      <c r="B811" s="425"/>
      <c r="C811" s="425"/>
    </row>
    <row r="812" ht="70.5" customHeight="1">
      <c r="A812" s="427"/>
      <c r="B812" s="425"/>
      <c r="C812" s="425"/>
    </row>
    <row r="813" ht="70.5" customHeight="1">
      <c r="A813" s="427"/>
      <c r="B813" s="425"/>
      <c r="C813" s="425"/>
    </row>
    <row r="814" ht="70.5" customHeight="1">
      <c r="A814" s="427"/>
      <c r="B814" s="425"/>
      <c r="C814" s="425"/>
    </row>
    <row r="815" ht="70.5" customHeight="1">
      <c r="A815" s="427"/>
      <c r="B815" s="425"/>
      <c r="C815" s="425"/>
    </row>
    <row r="816" ht="70.5" customHeight="1">
      <c r="A816" s="427"/>
      <c r="B816" s="425"/>
      <c r="C816" s="425"/>
    </row>
    <row r="817" ht="70.5" customHeight="1">
      <c r="A817" s="427"/>
      <c r="B817" s="425"/>
      <c r="C817" s="425"/>
    </row>
    <row r="818" ht="70.5" customHeight="1">
      <c r="A818" s="427"/>
      <c r="B818" s="425"/>
      <c r="C818" s="425"/>
    </row>
    <row r="819" ht="70.5" customHeight="1">
      <c r="A819" s="427"/>
      <c r="B819" s="425"/>
      <c r="C819" s="425"/>
    </row>
    <row r="820" ht="70.5" customHeight="1">
      <c r="A820" s="427"/>
      <c r="B820" s="425"/>
      <c r="C820" s="425"/>
    </row>
    <row r="821" ht="70.5" customHeight="1">
      <c r="A821" s="427"/>
      <c r="B821" s="425"/>
      <c r="C821" s="425"/>
    </row>
    <row r="822" ht="70.5" customHeight="1">
      <c r="A822" s="427"/>
      <c r="B822" s="425"/>
      <c r="C822" s="425"/>
    </row>
    <row r="823" ht="70.5" customHeight="1">
      <c r="A823" s="427"/>
      <c r="B823" s="425"/>
      <c r="C823" s="425"/>
    </row>
    <row r="824" ht="70.5" customHeight="1">
      <c r="A824" s="427"/>
      <c r="B824" s="425"/>
      <c r="C824" s="425"/>
    </row>
    <row r="825" ht="70.5" customHeight="1">
      <c r="A825" s="427"/>
      <c r="B825" s="425"/>
      <c r="C825" s="425"/>
    </row>
    <row r="826" ht="70.5" customHeight="1">
      <c r="A826" s="427"/>
      <c r="B826" s="425"/>
      <c r="C826" s="425"/>
    </row>
    <row r="827" ht="70.5" customHeight="1">
      <c r="A827" s="427"/>
      <c r="B827" s="425"/>
      <c r="C827" s="425"/>
    </row>
    <row r="828" ht="70.5" customHeight="1">
      <c r="A828" s="427"/>
      <c r="B828" s="425"/>
      <c r="C828" s="425"/>
    </row>
    <row r="829" ht="70.5" customHeight="1">
      <c r="A829" s="427"/>
      <c r="B829" s="425"/>
      <c r="C829" s="425"/>
    </row>
    <row r="830" ht="70.5" customHeight="1">
      <c r="A830" s="427"/>
      <c r="B830" s="425"/>
      <c r="C830" s="425"/>
    </row>
    <row r="831" ht="70.5" customHeight="1">
      <c r="A831" s="427"/>
      <c r="B831" s="425"/>
      <c r="C831" s="425"/>
    </row>
    <row r="832" ht="70.5" customHeight="1">
      <c r="A832" s="427"/>
      <c r="B832" s="425"/>
      <c r="C832" s="425"/>
    </row>
    <row r="833" ht="70.5" customHeight="1">
      <c r="A833" s="427"/>
      <c r="B833" s="425"/>
      <c r="C833" s="425"/>
    </row>
    <row r="834" ht="70.5" customHeight="1">
      <c r="A834" s="427"/>
      <c r="B834" s="425"/>
      <c r="C834" s="425"/>
    </row>
    <row r="835" ht="70.5" customHeight="1">
      <c r="A835" s="427"/>
      <c r="B835" s="425"/>
      <c r="C835" s="425"/>
    </row>
    <row r="836" ht="70.5" customHeight="1">
      <c r="A836" s="427"/>
      <c r="B836" s="425"/>
      <c r="C836" s="425"/>
    </row>
    <row r="837" ht="70.5" customHeight="1">
      <c r="A837" s="427"/>
      <c r="B837" s="425"/>
      <c r="C837" s="425"/>
    </row>
    <row r="838" ht="70.5" customHeight="1">
      <c r="A838" s="427"/>
      <c r="B838" s="425"/>
      <c r="C838" s="425"/>
    </row>
    <row r="839" ht="70.5" customHeight="1">
      <c r="A839" s="427"/>
      <c r="B839" s="425"/>
      <c r="C839" s="425"/>
    </row>
    <row r="840" ht="70.5" customHeight="1">
      <c r="A840" s="427"/>
      <c r="B840" s="425"/>
      <c r="C840" s="425"/>
    </row>
    <row r="841" ht="70.5" customHeight="1">
      <c r="A841" s="427"/>
      <c r="B841" s="425"/>
      <c r="C841" s="425"/>
    </row>
    <row r="842" ht="70.5" customHeight="1">
      <c r="A842" s="427"/>
      <c r="B842" s="425"/>
      <c r="C842" s="425"/>
    </row>
    <row r="843" ht="70.5" customHeight="1">
      <c r="A843" s="427"/>
      <c r="B843" s="425"/>
      <c r="C843" s="425"/>
    </row>
    <row r="844" ht="70.5" customHeight="1">
      <c r="A844" s="427"/>
      <c r="B844" s="425"/>
      <c r="C844" s="425"/>
    </row>
    <row r="845" ht="70.5" customHeight="1">
      <c r="A845" s="427"/>
      <c r="B845" s="425"/>
      <c r="C845" s="425"/>
    </row>
    <row r="846" ht="70.5" customHeight="1">
      <c r="A846" s="427"/>
      <c r="B846" s="425"/>
      <c r="C846" s="425"/>
    </row>
    <row r="847" ht="70.5" customHeight="1">
      <c r="A847" s="427"/>
      <c r="B847" s="425"/>
      <c r="C847" s="425"/>
    </row>
    <row r="848" ht="70.5" customHeight="1">
      <c r="A848" s="427"/>
      <c r="B848" s="425"/>
      <c r="C848" s="425"/>
    </row>
    <row r="849" ht="70.5" customHeight="1">
      <c r="A849" s="427"/>
      <c r="B849" s="425"/>
      <c r="C849" s="425"/>
    </row>
    <row r="850" ht="70.5" customHeight="1">
      <c r="A850" s="427"/>
      <c r="B850" s="425"/>
      <c r="C850" s="425"/>
    </row>
    <row r="851" ht="70.5" customHeight="1">
      <c r="A851" s="427"/>
      <c r="B851" s="425"/>
      <c r="C851" s="425"/>
    </row>
    <row r="852" ht="70.5" customHeight="1">
      <c r="A852" s="427"/>
      <c r="B852" s="425"/>
      <c r="C852" s="425"/>
    </row>
    <row r="853" ht="70.5" customHeight="1">
      <c r="A853" s="427"/>
      <c r="B853" s="425"/>
      <c r="C853" s="425"/>
    </row>
    <row r="854" ht="70.5" customHeight="1">
      <c r="A854" s="427"/>
      <c r="B854" s="425"/>
      <c r="C854" s="425"/>
    </row>
    <row r="855" ht="70.5" customHeight="1">
      <c r="A855" s="427"/>
      <c r="B855" s="425"/>
      <c r="C855" s="425"/>
    </row>
    <row r="856" ht="70.5" customHeight="1">
      <c r="A856" s="427"/>
      <c r="B856" s="425"/>
      <c r="C856" s="425"/>
    </row>
    <row r="857" ht="70.5" customHeight="1">
      <c r="A857" s="427"/>
      <c r="B857" s="425"/>
      <c r="C857" s="425"/>
    </row>
    <row r="858" ht="70.5" customHeight="1">
      <c r="A858" s="427"/>
      <c r="B858" s="425"/>
      <c r="C858" s="425"/>
    </row>
    <row r="859" ht="70.5" customHeight="1">
      <c r="A859" s="427"/>
      <c r="B859" s="425"/>
      <c r="C859" s="425"/>
    </row>
    <row r="860" ht="70.5" customHeight="1">
      <c r="A860" s="427"/>
      <c r="B860" s="425"/>
      <c r="C860" s="425"/>
    </row>
    <row r="861" ht="70.5" customHeight="1">
      <c r="A861" s="427"/>
      <c r="B861" s="425"/>
      <c r="C861" s="425"/>
    </row>
    <row r="862" ht="70.5" customHeight="1">
      <c r="A862" s="427"/>
      <c r="B862" s="425"/>
      <c r="C862" s="425"/>
    </row>
    <row r="863" ht="70.5" customHeight="1">
      <c r="A863" s="427"/>
      <c r="B863" s="425"/>
      <c r="C863" s="425"/>
    </row>
    <row r="864" ht="70.5" customHeight="1">
      <c r="A864" s="427"/>
      <c r="B864" s="425"/>
      <c r="C864" s="425"/>
    </row>
    <row r="865" ht="70.5" customHeight="1">
      <c r="A865" s="427"/>
      <c r="B865" s="425"/>
      <c r="C865" s="425"/>
    </row>
    <row r="866" ht="70.5" customHeight="1">
      <c r="A866" s="427"/>
      <c r="B866" s="425"/>
      <c r="C866" s="425"/>
    </row>
    <row r="867" ht="70.5" customHeight="1">
      <c r="A867" s="427"/>
      <c r="B867" s="425"/>
      <c r="C867" s="425"/>
    </row>
    <row r="868" ht="70.5" customHeight="1">
      <c r="A868" s="427"/>
      <c r="B868" s="425"/>
      <c r="C868" s="425"/>
    </row>
    <row r="869" ht="70.5" customHeight="1">
      <c r="A869" s="427"/>
      <c r="B869" s="425"/>
      <c r="C869" s="425"/>
    </row>
    <row r="870" ht="70.5" customHeight="1">
      <c r="A870" s="427"/>
      <c r="B870" s="425"/>
      <c r="C870" s="425"/>
    </row>
    <row r="871" ht="70.5" customHeight="1">
      <c r="A871" s="427"/>
      <c r="B871" s="425"/>
      <c r="C871" s="425"/>
    </row>
    <row r="872" ht="70.5" customHeight="1">
      <c r="A872" s="427"/>
      <c r="B872" s="425"/>
      <c r="C872" s="425"/>
    </row>
    <row r="873" ht="70.5" customHeight="1">
      <c r="A873" s="427"/>
      <c r="B873" s="425"/>
      <c r="C873" s="425"/>
    </row>
    <row r="874" ht="70.5" customHeight="1">
      <c r="A874" s="427"/>
      <c r="B874" s="425"/>
      <c r="C874" s="425"/>
    </row>
    <row r="875" ht="70.5" customHeight="1">
      <c r="A875" s="427"/>
      <c r="B875" s="425"/>
      <c r="C875" s="425"/>
    </row>
    <row r="876" ht="70.5" customHeight="1">
      <c r="A876" s="427"/>
      <c r="B876" s="425"/>
      <c r="C876" s="425"/>
    </row>
    <row r="877" ht="70.5" customHeight="1">
      <c r="A877" s="427"/>
      <c r="B877" s="425"/>
      <c r="C877" s="425"/>
    </row>
    <row r="878" ht="70.5" customHeight="1">
      <c r="A878" s="427"/>
      <c r="B878" s="425"/>
      <c r="C878" s="425"/>
    </row>
    <row r="879" ht="70.5" customHeight="1">
      <c r="A879" s="427"/>
      <c r="B879" s="425"/>
      <c r="C879" s="425"/>
    </row>
    <row r="880" ht="70.5" customHeight="1">
      <c r="A880" s="427"/>
      <c r="B880" s="425"/>
      <c r="C880" s="425"/>
    </row>
    <row r="881" ht="70.5" customHeight="1">
      <c r="A881" s="427"/>
      <c r="B881" s="425"/>
      <c r="C881" s="425"/>
    </row>
    <row r="882" ht="70.5" customHeight="1">
      <c r="A882" s="427"/>
      <c r="B882" s="425"/>
      <c r="C882" s="425"/>
    </row>
    <row r="883" ht="70.5" customHeight="1">
      <c r="A883" s="427"/>
      <c r="B883" s="425"/>
      <c r="C883" s="425"/>
    </row>
    <row r="884" ht="70.5" customHeight="1">
      <c r="A884" s="427"/>
      <c r="B884" s="425"/>
      <c r="C884" s="425"/>
    </row>
    <row r="885" ht="70.5" customHeight="1">
      <c r="A885" s="427"/>
      <c r="B885" s="425"/>
      <c r="C885" s="425"/>
    </row>
    <row r="886" ht="70.5" customHeight="1">
      <c r="A886" s="427"/>
      <c r="B886" s="425"/>
      <c r="C886" s="425"/>
    </row>
    <row r="887" ht="70.5" customHeight="1">
      <c r="A887" s="427"/>
      <c r="B887" s="425"/>
      <c r="C887" s="425"/>
    </row>
    <row r="888" ht="70.5" customHeight="1">
      <c r="A888" s="427"/>
      <c r="B888" s="425"/>
      <c r="C888" s="425"/>
    </row>
    <row r="889" ht="70.5" customHeight="1">
      <c r="A889" s="427"/>
      <c r="B889" s="425"/>
      <c r="C889" s="425"/>
    </row>
    <row r="890" ht="70.5" customHeight="1">
      <c r="A890" s="427"/>
      <c r="B890" s="425"/>
      <c r="C890" s="425"/>
    </row>
    <row r="891" ht="70.5" customHeight="1">
      <c r="A891" s="427"/>
      <c r="B891" s="425"/>
      <c r="C891" s="425"/>
    </row>
    <row r="892" ht="70.5" customHeight="1">
      <c r="A892" s="427"/>
      <c r="B892" s="425"/>
      <c r="C892" s="425"/>
    </row>
    <row r="893" ht="70.5" customHeight="1">
      <c r="A893" s="427"/>
      <c r="B893" s="425"/>
      <c r="C893" s="425"/>
    </row>
    <row r="894" ht="70.5" customHeight="1">
      <c r="A894" s="427"/>
      <c r="B894" s="425"/>
      <c r="C894" s="425"/>
    </row>
    <row r="895" ht="70.5" customHeight="1">
      <c r="A895" s="427"/>
      <c r="B895" s="425"/>
      <c r="C895" s="425"/>
    </row>
    <row r="896" ht="70.5" customHeight="1">
      <c r="A896" s="427"/>
      <c r="B896" s="425"/>
      <c r="C896" s="425"/>
    </row>
    <row r="897" ht="70.5" customHeight="1">
      <c r="A897" s="427"/>
      <c r="B897" s="425"/>
      <c r="C897" s="425"/>
    </row>
    <row r="898" ht="70.5" customHeight="1">
      <c r="A898" s="427"/>
      <c r="B898" s="425"/>
      <c r="C898" s="425"/>
    </row>
    <row r="899" ht="70.5" customHeight="1">
      <c r="A899" s="427"/>
      <c r="B899" s="425"/>
      <c r="C899" s="425"/>
    </row>
    <row r="900" ht="70.5" customHeight="1">
      <c r="A900" s="427"/>
      <c r="B900" s="425"/>
      <c r="C900" s="425"/>
    </row>
    <row r="901" ht="70.5" customHeight="1">
      <c r="A901" s="427"/>
      <c r="B901" s="425"/>
      <c r="C901" s="425"/>
    </row>
    <row r="902" ht="70.5" customHeight="1">
      <c r="A902" s="427"/>
      <c r="B902" s="425"/>
      <c r="C902" s="425"/>
    </row>
    <row r="903" ht="70.5" customHeight="1">
      <c r="A903" s="427"/>
      <c r="B903" s="425"/>
      <c r="C903" s="425"/>
    </row>
    <row r="904" ht="70.5" customHeight="1">
      <c r="A904" s="427"/>
      <c r="B904" s="425"/>
      <c r="C904" s="425"/>
    </row>
    <row r="905" ht="70.5" customHeight="1">
      <c r="A905" s="427"/>
      <c r="B905" s="425"/>
      <c r="C905" s="425"/>
    </row>
    <row r="906" ht="70.5" customHeight="1">
      <c r="A906" s="427"/>
      <c r="B906" s="425"/>
      <c r="C906" s="425"/>
    </row>
    <row r="907" ht="70.5" customHeight="1">
      <c r="A907" s="427"/>
      <c r="B907" s="425"/>
      <c r="C907" s="425"/>
    </row>
    <row r="908" ht="70.5" customHeight="1">
      <c r="A908" s="427"/>
      <c r="B908" s="425"/>
      <c r="C908" s="425"/>
    </row>
    <row r="909" ht="70.5" customHeight="1">
      <c r="A909" s="427"/>
      <c r="B909" s="425"/>
      <c r="C909" s="425"/>
    </row>
    <row r="910" ht="70.5" customHeight="1">
      <c r="A910" s="427"/>
      <c r="B910" s="425"/>
      <c r="C910" s="425"/>
    </row>
    <row r="911" ht="70.5" customHeight="1">
      <c r="A911" s="427"/>
      <c r="B911" s="425"/>
      <c r="C911" s="425"/>
    </row>
    <row r="912" ht="70.5" customHeight="1">
      <c r="A912" s="427"/>
      <c r="B912" s="425"/>
      <c r="C912" s="425"/>
    </row>
    <row r="913" ht="70.5" customHeight="1">
      <c r="A913" s="427"/>
      <c r="B913" s="425"/>
      <c r="C913" s="425"/>
    </row>
    <row r="914" ht="70.5" customHeight="1">
      <c r="A914" s="427"/>
      <c r="B914" s="425"/>
      <c r="C914" s="425"/>
    </row>
    <row r="915" ht="70.5" customHeight="1">
      <c r="A915" s="427"/>
      <c r="B915" s="425"/>
      <c r="C915" s="425"/>
    </row>
    <row r="916" ht="70.5" customHeight="1">
      <c r="A916" s="427"/>
      <c r="B916" s="425"/>
      <c r="C916" s="425"/>
    </row>
    <row r="917" ht="70.5" customHeight="1">
      <c r="A917" s="427"/>
      <c r="B917" s="425"/>
      <c r="C917" s="425"/>
    </row>
    <row r="918" ht="70.5" customHeight="1">
      <c r="A918" s="427"/>
      <c r="B918" s="425"/>
      <c r="C918" s="425"/>
    </row>
    <row r="919" ht="70.5" customHeight="1">
      <c r="A919" s="427"/>
      <c r="B919" s="425"/>
      <c r="C919" s="425"/>
    </row>
    <row r="920" ht="70.5" customHeight="1">
      <c r="A920" s="427"/>
      <c r="B920" s="425"/>
      <c r="C920" s="425"/>
    </row>
    <row r="921" ht="70.5" customHeight="1">
      <c r="A921" s="427"/>
      <c r="B921" s="425"/>
      <c r="C921" s="425"/>
    </row>
    <row r="922" ht="70.5" customHeight="1">
      <c r="A922" s="427"/>
      <c r="B922" s="425"/>
      <c r="C922" s="425"/>
    </row>
    <row r="923" ht="70.5" customHeight="1">
      <c r="A923" s="427"/>
      <c r="B923" s="425"/>
      <c r="C923" s="425"/>
    </row>
    <row r="924" ht="70.5" customHeight="1">
      <c r="A924" s="427"/>
      <c r="B924" s="425"/>
      <c r="C924" s="425"/>
    </row>
    <row r="925" ht="70.5" customHeight="1">
      <c r="A925" s="427"/>
      <c r="B925" s="425"/>
      <c r="C925" s="425"/>
    </row>
    <row r="926" ht="70.5" customHeight="1">
      <c r="A926" s="427"/>
      <c r="B926" s="425"/>
      <c r="C926" s="425"/>
    </row>
    <row r="927" ht="70.5" customHeight="1">
      <c r="A927" s="427"/>
      <c r="B927" s="425"/>
      <c r="C927" s="425"/>
    </row>
    <row r="928" ht="70.5" customHeight="1">
      <c r="A928" s="427"/>
      <c r="B928" s="425"/>
      <c r="C928" s="425"/>
    </row>
    <row r="929" ht="70.5" customHeight="1">
      <c r="A929" s="427"/>
      <c r="B929" s="425"/>
      <c r="C929" s="425"/>
    </row>
    <row r="930" ht="70.5" customHeight="1">
      <c r="A930" s="427"/>
      <c r="B930" s="425"/>
      <c r="C930" s="425"/>
    </row>
    <row r="931" ht="70.5" customHeight="1">
      <c r="A931" s="427"/>
      <c r="B931" s="425"/>
      <c r="C931" s="425"/>
    </row>
    <row r="932" ht="70.5" customHeight="1">
      <c r="A932" s="427"/>
      <c r="B932" s="425"/>
      <c r="C932" s="425"/>
    </row>
    <row r="933" ht="70.5" customHeight="1">
      <c r="A933" s="427"/>
      <c r="B933" s="425"/>
      <c r="C933" s="425"/>
    </row>
    <row r="934" ht="70.5" customHeight="1">
      <c r="A934" s="427"/>
      <c r="B934" s="425"/>
      <c r="C934" s="425"/>
    </row>
    <row r="935" ht="70.5" customHeight="1">
      <c r="A935" s="427"/>
      <c r="B935" s="425"/>
      <c r="C935" s="425"/>
    </row>
    <row r="936" ht="70.5" customHeight="1">
      <c r="A936" s="427"/>
      <c r="B936" s="425"/>
      <c r="C936" s="425"/>
    </row>
    <row r="937" ht="70.5" customHeight="1">
      <c r="A937" s="427"/>
      <c r="B937" s="425"/>
      <c r="C937" s="425"/>
    </row>
    <row r="938" ht="70.5" customHeight="1">
      <c r="A938" s="427"/>
      <c r="B938" s="425"/>
      <c r="C938" s="425"/>
    </row>
    <row r="939" ht="70.5" customHeight="1">
      <c r="A939" s="427"/>
      <c r="B939" s="425"/>
      <c r="C939" s="425"/>
    </row>
    <row r="940" ht="70.5" customHeight="1">
      <c r="A940" s="427"/>
      <c r="B940" s="425"/>
      <c r="C940" s="425"/>
    </row>
    <row r="941" ht="70.5" customHeight="1">
      <c r="A941" s="427"/>
      <c r="B941" s="425"/>
      <c r="C941" s="425"/>
    </row>
    <row r="942" ht="70.5" customHeight="1">
      <c r="A942" s="427"/>
      <c r="B942" s="425"/>
      <c r="C942" s="425"/>
    </row>
    <row r="943" ht="70.5" customHeight="1">
      <c r="A943" s="427"/>
      <c r="B943" s="425"/>
      <c r="C943" s="425"/>
    </row>
    <row r="944" ht="70.5" customHeight="1">
      <c r="A944" s="427"/>
      <c r="B944" s="425"/>
      <c r="C944" s="425"/>
    </row>
    <row r="945" ht="70.5" customHeight="1">
      <c r="A945" s="427"/>
      <c r="B945" s="425"/>
      <c r="C945" s="425"/>
    </row>
    <row r="946" ht="70.5" customHeight="1">
      <c r="A946" s="427"/>
      <c r="B946" s="425"/>
      <c r="C946" s="425"/>
    </row>
    <row r="947" ht="70.5" customHeight="1">
      <c r="A947" s="427"/>
      <c r="B947" s="425"/>
      <c r="C947" s="425"/>
    </row>
    <row r="948" ht="70.5" customHeight="1">
      <c r="A948" s="427"/>
      <c r="B948" s="425"/>
      <c r="C948" s="425"/>
    </row>
    <row r="949" ht="70.5" customHeight="1">
      <c r="A949" s="427"/>
      <c r="B949" s="425"/>
      <c r="C949" s="425"/>
    </row>
    <row r="950" ht="70.5" customHeight="1">
      <c r="A950" s="427"/>
      <c r="B950" s="425"/>
      <c r="C950" s="425"/>
    </row>
    <row r="951" ht="70.5" customHeight="1">
      <c r="A951" s="427"/>
      <c r="B951" s="425"/>
      <c r="C951" s="425"/>
    </row>
    <row r="952" ht="70.5" customHeight="1">
      <c r="A952" s="427"/>
      <c r="B952" s="425"/>
      <c r="C952" s="425"/>
    </row>
    <row r="953" ht="70.5" customHeight="1">
      <c r="A953" s="427"/>
      <c r="B953" s="425"/>
      <c r="C953" s="425"/>
    </row>
    <row r="954" ht="70.5" customHeight="1">
      <c r="A954" s="427"/>
      <c r="B954" s="425"/>
      <c r="C954" s="425"/>
    </row>
    <row r="955" ht="70.5" customHeight="1">
      <c r="A955" s="427"/>
      <c r="B955" s="425"/>
      <c r="C955" s="425"/>
    </row>
    <row r="956" ht="70.5" customHeight="1">
      <c r="A956" s="427"/>
      <c r="B956" s="425"/>
      <c r="C956" s="425"/>
    </row>
    <row r="957" ht="70.5" customHeight="1">
      <c r="A957" s="427"/>
      <c r="B957" s="425"/>
      <c r="C957" s="425"/>
    </row>
    <row r="958" ht="70.5" customHeight="1">
      <c r="A958" s="427"/>
      <c r="B958" s="425"/>
      <c r="C958" s="425"/>
    </row>
    <row r="959" ht="70.5" customHeight="1">
      <c r="A959" s="427"/>
      <c r="B959" s="425"/>
      <c r="C959" s="425"/>
    </row>
    <row r="960" ht="70.5" customHeight="1">
      <c r="A960" s="427"/>
      <c r="B960" s="425"/>
      <c r="C960" s="425"/>
    </row>
    <row r="961" ht="70.5" customHeight="1">
      <c r="A961" s="427"/>
      <c r="B961" s="425"/>
      <c r="C961" s="425"/>
    </row>
    <row r="962" ht="70.5" customHeight="1">
      <c r="A962" s="427"/>
      <c r="B962" s="425"/>
      <c r="C962" s="425"/>
    </row>
    <row r="963" ht="70.5" customHeight="1">
      <c r="A963" s="427"/>
      <c r="B963" s="425"/>
      <c r="C963" s="425"/>
    </row>
    <row r="964" ht="70.5" customHeight="1">
      <c r="A964" s="427"/>
      <c r="B964" s="425"/>
      <c r="C964" s="425"/>
    </row>
    <row r="965" ht="70.5" customHeight="1">
      <c r="A965" s="427"/>
      <c r="B965" s="425"/>
      <c r="C965" s="425"/>
    </row>
    <row r="966" ht="70.5" customHeight="1">
      <c r="A966" s="427"/>
      <c r="B966" s="425"/>
      <c r="C966" s="425"/>
    </row>
    <row r="967" ht="70.5" customHeight="1">
      <c r="A967" s="427"/>
      <c r="B967" s="425"/>
      <c r="C967" s="425"/>
    </row>
    <row r="968" ht="70.5" customHeight="1">
      <c r="A968" s="427"/>
      <c r="B968" s="425"/>
      <c r="C968" s="425"/>
    </row>
    <row r="969" ht="70.5" customHeight="1">
      <c r="A969" s="427"/>
      <c r="B969" s="425"/>
      <c r="C969" s="425"/>
    </row>
    <row r="970" ht="70.5" customHeight="1">
      <c r="A970" s="427"/>
      <c r="B970" s="425"/>
      <c r="C970" s="425"/>
    </row>
    <row r="971" ht="70.5" customHeight="1">
      <c r="A971" s="427"/>
      <c r="B971" s="425"/>
      <c r="C971" s="425"/>
    </row>
    <row r="972" ht="70.5" customHeight="1">
      <c r="A972" s="427"/>
      <c r="B972" s="425"/>
      <c r="C972" s="425"/>
    </row>
    <row r="973" ht="70.5" customHeight="1">
      <c r="A973" s="427"/>
      <c r="B973" s="425"/>
      <c r="C973" s="425"/>
    </row>
    <row r="974" ht="70.5" customHeight="1">
      <c r="A974" s="427"/>
      <c r="B974" s="425"/>
      <c r="C974" s="425"/>
    </row>
    <row r="975" ht="70.5" customHeight="1">
      <c r="A975" s="427"/>
      <c r="B975" s="425"/>
      <c r="C975" s="425"/>
    </row>
    <row r="976" ht="70.5" customHeight="1">
      <c r="A976" s="427"/>
      <c r="B976" s="425"/>
      <c r="C976" s="425"/>
    </row>
    <row r="977" ht="70.5" customHeight="1">
      <c r="A977" s="427"/>
      <c r="B977" s="425"/>
      <c r="C977" s="425"/>
    </row>
    <row r="978" ht="70.5" customHeight="1">
      <c r="A978" s="427"/>
      <c r="B978" s="425"/>
      <c r="C978" s="425"/>
    </row>
    <row r="979" ht="70.5" customHeight="1">
      <c r="A979" s="427"/>
      <c r="B979" s="425"/>
      <c r="C979" s="425"/>
    </row>
    <row r="980" ht="70.5" customHeight="1">
      <c r="A980" s="427"/>
      <c r="B980" s="425"/>
      <c r="C980" s="425"/>
    </row>
    <row r="981" ht="70.5" customHeight="1">
      <c r="A981" s="427"/>
      <c r="B981" s="425"/>
      <c r="C981" s="425"/>
    </row>
    <row r="982" ht="70.5" customHeight="1">
      <c r="A982" s="427"/>
      <c r="B982" s="425"/>
      <c r="C982" s="425"/>
    </row>
    <row r="983" ht="70.5" customHeight="1">
      <c r="A983" s="427"/>
      <c r="B983" s="425"/>
      <c r="C983" s="425"/>
    </row>
    <row r="984" ht="70.5" customHeight="1">
      <c r="A984" s="427"/>
      <c r="B984" s="425"/>
      <c r="C984" s="425"/>
    </row>
    <row r="985" ht="70.5" customHeight="1">
      <c r="A985" s="427"/>
      <c r="B985" s="425"/>
      <c r="C985" s="425"/>
    </row>
    <row r="986" ht="70.5" customHeight="1">
      <c r="A986" s="427"/>
      <c r="B986" s="425"/>
      <c r="C986" s="425"/>
    </row>
    <row r="987" ht="70.5" customHeight="1">
      <c r="A987" s="427"/>
      <c r="B987" s="425"/>
      <c r="C987" s="425"/>
    </row>
    <row r="988" ht="70.5" customHeight="1">
      <c r="A988" s="427"/>
      <c r="B988" s="425"/>
      <c r="C988" s="425"/>
    </row>
    <row r="989" ht="70.5" customHeight="1">
      <c r="A989" s="427"/>
      <c r="B989" s="425"/>
      <c r="C989" s="425"/>
    </row>
    <row r="990" ht="70.5" customHeight="1">
      <c r="A990" s="427"/>
      <c r="B990" s="425"/>
      <c r="C990" s="425"/>
    </row>
    <row r="991" ht="70.5" customHeight="1">
      <c r="A991" s="427"/>
      <c r="B991" s="425"/>
      <c r="C991" s="425"/>
    </row>
    <row r="992" ht="70.5" customHeight="1">
      <c r="A992" s="427"/>
      <c r="B992" s="425"/>
      <c r="C992" s="425"/>
    </row>
    <row r="993" ht="70.5" customHeight="1">
      <c r="A993" s="427"/>
      <c r="B993" s="425"/>
      <c r="C993" s="425"/>
    </row>
    <row r="994" ht="70.5" customHeight="1">
      <c r="A994" s="427"/>
      <c r="B994" s="425"/>
      <c r="C994" s="425"/>
    </row>
    <row r="995" ht="70.5" customHeight="1">
      <c r="A995" s="427"/>
      <c r="B995" s="425"/>
      <c r="C995" s="425"/>
    </row>
    <row r="996" ht="70.5" customHeight="1">
      <c r="A996" s="427"/>
      <c r="B996" s="425"/>
      <c r="C996" s="425"/>
    </row>
    <row r="997" ht="70.5" customHeight="1">
      <c r="A997" s="427"/>
      <c r="B997" s="425"/>
      <c r="C997" s="425"/>
    </row>
    <row r="998" ht="70.5" customHeight="1">
      <c r="A998" s="427"/>
      <c r="B998" s="425"/>
      <c r="C998" s="425"/>
    </row>
    <row r="999" ht="70.5" customHeight="1">
      <c r="A999" s="427"/>
      <c r="B999" s="425"/>
      <c r="C999" s="425"/>
    </row>
    <row r="1000" ht="70.5" customHeight="1">
      <c r="A1000" s="427"/>
      <c r="B1000" s="425"/>
      <c r="C1000" s="42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7.57"/>
  </cols>
  <sheetData>
    <row r="1">
      <c r="A1" s="417" t="s">
        <v>2008</v>
      </c>
    </row>
    <row r="2">
      <c r="A2" s="428" t="s">
        <v>2009</v>
      </c>
    </row>
    <row r="3">
      <c r="A3" s="428" t="s">
        <v>2010</v>
      </c>
    </row>
    <row r="4">
      <c r="A4" s="428" t="s">
        <v>2011</v>
      </c>
    </row>
    <row r="5">
      <c r="A5" s="428" t="s">
        <v>2012</v>
      </c>
    </row>
    <row r="6">
      <c r="A6" s="428" t="s">
        <v>2013</v>
      </c>
    </row>
    <row r="7">
      <c r="A7" s="428" t="s">
        <v>2014</v>
      </c>
    </row>
    <row r="8">
      <c r="A8" s="428" t="s">
        <v>2015</v>
      </c>
    </row>
    <row r="9">
      <c r="A9" s="428" t="s">
        <v>2016</v>
      </c>
    </row>
    <row r="10">
      <c r="A10" s="428" t="s">
        <v>2017</v>
      </c>
    </row>
    <row r="11">
      <c r="A11" s="428" t="s">
        <v>2018</v>
      </c>
    </row>
    <row r="12">
      <c r="A12" s="428" t="s">
        <v>2019</v>
      </c>
    </row>
    <row r="13">
      <c r="A13" s="428" t="s">
        <v>2020</v>
      </c>
    </row>
    <row r="14">
      <c r="A14" s="428" t="s">
        <v>2021</v>
      </c>
    </row>
    <row r="15">
      <c r="A15" s="428" t="s">
        <v>2022</v>
      </c>
    </row>
    <row r="16">
      <c r="A16" s="428" t="s">
        <v>2023</v>
      </c>
    </row>
    <row r="17">
      <c r="A17" s="428" t="s">
        <v>2024</v>
      </c>
    </row>
    <row r="18">
      <c r="A18" s="428" t="s">
        <v>2025</v>
      </c>
    </row>
    <row r="19">
      <c r="A19" s="428" t="s">
        <v>2026</v>
      </c>
    </row>
    <row r="20">
      <c r="A20" s="428" t="s">
        <v>2027</v>
      </c>
    </row>
    <row r="21">
      <c r="A21" s="428" t="s">
        <v>2028</v>
      </c>
    </row>
    <row r="22">
      <c r="A22" s="428" t="s">
        <v>2029</v>
      </c>
    </row>
    <row r="23">
      <c r="A23" s="428" t="s">
        <v>2030</v>
      </c>
    </row>
    <row r="24">
      <c r="A24" s="428" t="s">
        <v>2031</v>
      </c>
    </row>
    <row r="25">
      <c r="A25" s="428" t="s">
        <v>2032</v>
      </c>
    </row>
    <row r="26">
      <c r="A26" s="428" t="s">
        <v>2033</v>
      </c>
    </row>
    <row r="27">
      <c r="A27" s="428" t="s">
        <v>2034</v>
      </c>
    </row>
    <row r="28">
      <c r="A28" s="428" t="s">
        <v>2035</v>
      </c>
    </row>
    <row r="29">
      <c r="A29" s="428" t="s">
        <v>2036</v>
      </c>
    </row>
    <row r="30">
      <c r="A30" s="428" t="s">
        <v>2037</v>
      </c>
    </row>
    <row r="31">
      <c r="A31" s="428" t="s">
        <v>2038</v>
      </c>
    </row>
    <row r="32">
      <c r="A32" s="428" t="s">
        <v>2039</v>
      </c>
    </row>
    <row r="33">
      <c r="A33" s="428" t="s">
        <v>2040</v>
      </c>
    </row>
    <row r="34">
      <c r="A34" s="428" t="s">
        <v>2041</v>
      </c>
    </row>
    <row r="35">
      <c r="A35" s="428" t="s">
        <v>2042</v>
      </c>
    </row>
    <row r="36">
      <c r="A36" s="428" t="s">
        <v>2043</v>
      </c>
    </row>
    <row r="37">
      <c r="A37" s="428" t="s">
        <v>2044</v>
      </c>
    </row>
    <row r="38">
      <c r="A38" s="428" t="s">
        <v>2045</v>
      </c>
    </row>
    <row r="39">
      <c r="A39" s="428" t="s">
        <v>2046</v>
      </c>
    </row>
    <row r="40">
      <c r="A40" s="428" t="s">
        <v>2047</v>
      </c>
    </row>
    <row r="41">
      <c r="A41" s="428" t="s">
        <v>2048</v>
      </c>
    </row>
    <row r="42">
      <c r="A42" s="428" t="s">
        <v>2049</v>
      </c>
    </row>
    <row r="43">
      <c r="A43" s="428" t="s">
        <v>2050</v>
      </c>
    </row>
    <row r="44">
      <c r="A44" s="428" t="s">
        <v>2051</v>
      </c>
    </row>
    <row r="45">
      <c r="A45" s="428" t="s">
        <v>2052</v>
      </c>
    </row>
    <row r="46">
      <c r="A46" s="428" t="s">
        <v>198</v>
      </c>
    </row>
    <row r="47">
      <c r="A47" s="428" t="s">
        <v>2053</v>
      </c>
    </row>
    <row r="48">
      <c r="A48" s="428" t="s">
        <v>2054</v>
      </c>
    </row>
    <row r="49">
      <c r="A49" s="428" t="s">
        <v>2055</v>
      </c>
    </row>
    <row r="50">
      <c r="A50" s="428" t="s">
        <v>2056</v>
      </c>
    </row>
    <row r="51">
      <c r="A51" s="428" t="s">
        <v>2057</v>
      </c>
    </row>
    <row r="52">
      <c r="A52" s="428" t="s">
        <v>2058</v>
      </c>
    </row>
    <row r="53">
      <c r="A53" s="428" t="s">
        <v>2059</v>
      </c>
    </row>
    <row r="54">
      <c r="A54" s="428" t="s">
        <v>2060</v>
      </c>
    </row>
    <row r="55">
      <c r="A55" s="428" t="s">
        <v>2061</v>
      </c>
    </row>
    <row r="56">
      <c r="A56" s="428" t="s">
        <v>2062</v>
      </c>
    </row>
    <row r="57">
      <c r="A57" s="428" t="s">
        <v>2063</v>
      </c>
    </row>
    <row r="58">
      <c r="A58" s="428" t="s">
        <v>2064</v>
      </c>
    </row>
    <row r="59">
      <c r="A59" s="428" t="s">
        <v>2065</v>
      </c>
    </row>
    <row r="60">
      <c r="A60" s="428" t="s">
        <v>2066</v>
      </c>
    </row>
    <row r="61">
      <c r="A61" s="428" t="s">
        <v>2067</v>
      </c>
    </row>
    <row r="62">
      <c r="A62" s="428" t="s">
        <v>2068</v>
      </c>
    </row>
    <row r="63">
      <c r="A63" s="428" t="s">
        <v>2069</v>
      </c>
    </row>
    <row r="64">
      <c r="A64" s="428" t="s">
        <v>201</v>
      </c>
    </row>
    <row r="65">
      <c r="A65" s="428" t="s">
        <v>195</v>
      </c>
    </row>
    <row r="66">
      <c r="A66" s="428" t="s">
        <v>2039</v>
      </c>
    </row>
    <row r="67">
      <c r="A67" s="428" t="s">
        <v>2070</v>
      </c>
    </row>
    <row r="68">
      <c r="A68" s="428" t="s">
        <v>2071</v>
      </c>
    </row>
    <row r="69">
      <c r="A69" s="428" t="s">
        <v>2072</v>
      </c>
    </row>
    <row r="70">
      <c r="A70" s="428" t="s">
        <v>2073</v>
      </c>
    </row>
    <row r="71">
      <c r="A71" s="428" t="s">
        <v>2074</v>
      </c>
    </row>
    <row r="72">
      <c r="A72" s="428" t="s">
        <v>2075</v>
      </c>
    </row>
    <row r="73">
      <c r="A73" s="428" t="s">
        <v>2076</v>
      </c>
    </row>
    <row r="74">
      <c r="A74" s="428" t="s">
        <v>2077</v>
      </c>
    </row>
    <row r="75">
      <c r="A75" s="428" t="s">
        <v>2078</v>
      </c>
    </row>
    <row r="76">
      <c r="A76" s="428" t="s">
        <v>197</v>
      </c>
    </row>
    <row r="77">
      <c r="A77" s="428" t="s">
        <v>194</v>
      </c>
    </row>
    <row r="78">
      <c r="A78" s="428" t="s">
        <v>2079</v>
      </c>
    </row>
    <row r="79">
      <c r="A79" s="428" t="s">
        <v>2080</v>
      </c>
    </row>
    <row r="80">
      <c r="A80" s="428" t="s">
        <v>2081</v>
      </c>
    </row>
    <row r="81">
      <c r="A81" s="428" t="s">
        <v>2082</v>
      </c>
    </row>
    <row r="82">
      <c r="A82" s="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2" width="69.29"/>
  </cols>
  <sheetData>
    <row r="1" ht="206.25" customHeight="1">
      <c r="A1" s="156" t="str">
        <f>image("https://media.discordapp.net/attachments/895565351880917072/898656262571585536/illust-1.png",2)</f>
        <v/>
      </c>
      <c r="B1" s="156" t="str">
        <f>image("https://media.discordapp.net/attachments/895565351880917072/898656223786844190/illust-2.png",2)</f>
        <v/>
      </c>
    </row>
    <row r="2" ht="206.25" customHeight="1">
      <c r="A2" s="156" t="str">
        <f>image("https://ten-sura-m.bn-ent.net/assets/img/home/story/a1.jpg",2)</f>
        <v/>
      </c>
      <c r="B2" s="156" t="str">
        <f>image("https://ten-sura-m.bn-ent.net/assets/img/home/story/a2.jpg",2)</f>
        <v/>
      </c>
    </row>
    <row r="3" ht="206.25" customHeight="1">
      <c r="A3" s="156" t="str">
        <f>image("https://ten-sura-m.bn-ent.net/assets/img/home/story/a3.jpg",2)</f>
        <v/>
      </c>
      <c r="B3" s="237" t="str">
        <f>image("https://media.discordapp.net/attachments/885290494375100486/900949857257271296/f013e99c7231a4b1.jpg",2)</f>
        <v/>
      </c>
    </row>
    <row r="4" ht="206.25" customHeight="1">
      <c r="A4" s="156" t="str">
        <f>image("https://adm-ten-sura-m.bn-ent.net/dcFCcvjF3I/wp-content/uploads/2021/10/%E3%82%B9%E3%83%95%E3%82%A3%E3%82%A2%E3%81%A8%E3%82%A2%E3%83%AB%E3%83%93%E3%82%B9%E3%83%A3.jpg")</f>
        <v/>
      </c>
      <c r="B4" s="237" t="str">
        <f>image("https://adm-ten-sura-m.bn-ent.net/dcFCcvjF3I/wp-content/uploads/2021/10/%E3%82%B7%E3%83%B3%E3%82%B7%E3%83%A4%E8%A1%A8%E6%83%85%EF%BC%88%E9%9D%92%E9%AB%AA%EF%BC%89.jpg",2)</f>
        <v/>
      </c>
    </row>
    <row r="5" ht="206.25" customHeight="1">
      <c r="A5" s="429" t="str">
        <f>image("https://adm-ten-sura-m.bn-ent.net/dcFCcvjF3I/wp-content/uploads/2021/10/%E4%B8%8A%E4%BD%8D%E5%B7%AB%E5%A5%B3%E3%82%B7%E3%83%A5%E3%83%8AA-1024x724.png",2)</f>
        <v/>
      </c>
      <c r="B5" s="430" t="str">
        <f>image("https://adm-ten-sura-m.bn-ent.net/dcFCcvjF3I/wp-content/uploads/2021/10/%E3%80%90%E5%A4%A9%E7%85%A7%E6%A1%83%E9%AC%BC%E3%80%91%E3%82%B7%E3%83%A5%E3%83%8A_ShunaShrinemaidenRelease_150013_5.png")</f>
        <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15.29"/>
    <col customWidth="1" min="3" max="3" width="10.14"/>
    <col customWidth="1" min="4" max="5" width="12.86"/>
    <col customWidth="1" min="6" max="12" width="14.14"/>
    <col customWidth="1" min="13" max="13" width="5.86"/>
    <col hidden="1" min="14" max="16" width="14.43"/>
  </cols>
  <sheetData>
    <row r="1">
      <c r="A1" s="431"/>
      <c r="B1" s="431"/>
      <c r="C1" s="432"/>
      <c r="D1" s="431"/>
      <c r="E1" s="432"/>
      <c r="F1" s="433" t="s">
        <v>2083</v>
      </c>
      <c r="G1" s="432"/>
      <c r="H1" s="432"/>
      <c r="I1" s="432"/>
      <c r="J1" s="432"/>
      <c r="K1" s="432"/>
      <c r="L1" s="432"/>
      <c r="M1" s="434"/>
      <c r="N1" s="434"/>
      <c r="O1" s="434"/>
      <c r="P1" s="434"/>
    </row>
    <row r="2">
      <c r="A2" s="435"/>
      <c r="B2" s="435"/>
      <c r="C2" s="436"/>
      <c r="D2" s="435"/>
      <c r="E2" s="436"/>
      <c r="F2" s="436"/>
      <c r="G2" s="436"/>
      <c r="H2" s="436"/>
      <c r="I2" s="436"/>
      <c r="J2" s="436"/>
      <c r="K2" s="436"/>
      <c r="L2" s="436"/>
      <c r="M2" s="434"/>
      <c r="N2" s="434"/>
      <c r="O2" s="434"/>
      <c r="P2" s="434"/>
    </row>
    <row r="3" ht="41.25" customHeight="1">
      <c r="A3" s="435"/>
      <c r="B3" s="437" t="s">
        <v>2084</v>
      </c>
      <c r="C3" s="438" t="s">
        <v>796</v>
      </c>
      <c r="D3" s="438" t="s">
        <v>2085</v>
      </c>
      <c r="E3" s="438" t="s">
        <v>2086</v>
      </c>
      <c r="F3" s="439" t="s">
        <v>2087</v>
      </c>
      <c r="G3" s="122"/>
      <c r="H3" s="122"/>
      <c r="I3" s="122"/>
      <c r="J3" s="122"/>
      <c r="K3" s="123"/>
      <c r="L3" s="440"/>
      <c r="M3" s="434"/>
      <c r="N3" s="434"/>
      <c r="O3" s="434"/>
      <c r="P3" s="434"/>
    </row>
    <row r="4" ht="63.75" customHeight="1">
      <c r="A4" s="435"/>
      <c r="B4" s="441" t="s">
        <v>2088</v>
      </c>
      <c r="C4" s="442"/>
      <c r="D4" s="443">
        <v>54.0</v>
      </c>
      <c r="E4" s="442" t="s">
        <v>2089</v>
      </c>
      <c r="F4" s="444" t="s">
        <v>2090</v>
      </c>
      <c r="G4" s="222"/>
      <c r="H4" s="222"/>
      <c r="I4" s="222"/>
      <c r="J4" s="222"/>
      <c r="K4" s="223"/>
      <c r="L4" s="445"/>
      <c r="M4" s="434"/>
      <c r="N4" s="434"/>
      <c r="O4" s="434"/>
      <c r="P4" s="434"/>
    </row>
    <row r="5" ht="50.25" customHeight="1">
      <c r="A5" s="435"/>
      <c r="B5" s="446" t="s">
        <v>2091</v>
      </c>
      <c r="C5" s="447"/>
      <c r="D5" s="448" t="s">
        <v>2092</v>
      </c>
      <c r="E5" s="449" t="s">
        <v>2093</v>
      </c>
      <c r="F5" s="450" t="str">
        <f>image("https://i.imgur.com/nVZVDYD.png")</f>
        <v/>
      </c>
      <c r="G5" s="451" t="str">
        <f>image("https://i.imgur.com/53d93fY.png")</f>
        <v/>
      </c>
      <c r="H5" s="451" t="str">
        <f>image("https://i.imgur.com/fH8gCvW.png")</f>
        <v/>
      </c>
      <c r="I5" s="451" t="str">
        <f>image("https://i.imgur.com/3rHl8BI.png")</f>
        <v/>
      </c>
      <c r="J5" s="451" t="str">
        <f>image("https://i.imgur.com/Bp6WduK.png")</f>
        <v/>
      </c>
      <c r="K5" s="452" t="str">
        <f>image("https://i.imgur.com/pdAPoJb.png")</f>
        <v/>
      </c>
      <c r="L5" s="453"/>
      <c r="M5" s="434"/>
      <c r="N5" s="434"/>
      <c r="O5" s="434"/>
      <c r="P5" s="434"/>
    </row>
    <row r="6">
      <c r="A6" s="435"/>
      <c r="B6" s="334"/>
      <c r="C6" s="226"/>
      <c r="D6" s="226"/>
      <c r="E6" s="226"/>
      <c r="F6" s="454" t="s">
        <v>2094</v>
      </c>
      <c r="G6" s="455" t="s">
        <v>2095</v>
      </c>
      <c r="H6" s="455" t="s">
        <v>2096</v>
      </c>
      <c r="I6" s="455" t="s">
        <v>2097</v>
      </c>
      <c r="J6" s="455" t="s">
        <v>2098</v>
      </c>
      <c r="K6" s="456" t="s">
        <v>2099</v>
      </c>
      <c r="L6" s="453"/>
      <c r="M6" s="434"/>
      <c r="N6" s="434"/>
      <c r="O6" s="434"/>
      <c r="P6" s="434"/>
    </row>
    <row r="7" ht="50.25" customHeight="1">
      <c r="A7" s="435"/>
      <c r="B7" s="334"/>
      <c r="C7" s="226"/>
      <c r="D7" s="226"/>
      <c r="E7" s="226"/>
      <c r="F7" s="450" t="str">
        <f>image("https://i.imgur.com/PdGC848.png")</f>
        <v/>
      </c>
      <c r="G7" s="451" t="str">
        <f>image("https://i.imgur.com/qbkoP0V.png")</f>
        <v/>
      </c>
      <c r="H7" s="451" t="str">
        <f>image("https://i.imgur.com/N1kfk0R.png
")</f>
        <v/>
      </c>
      <c r="I7" s="451" t="str">
        <f>image("https://i.imgur.com/wJAG9ar.png")</f>
        <v/>
      </c>
      <c r="J7" s="451"/>
      <c r="K7" s="452"/>
      <c r="L7" s="453"/>
      <c r="M7" s="434"/>
      <c r="N7" s="434"/>
      <c r="O7" s="434"/>
      <c r="P7" s="434"/>
    </row>
    <row r="8">
      <c r="A8" s="435"/>
      <c r="B8" s="334"/>
      <c r="C8" s="226"/>
      <c r="D8" s="226"/>
      <c r="E8" s="226"/>
      <c r="F8" s="454" t="s">
        <v>2100</v>
      </c>
      <c r="G8" s="455" t="s">
        <v>2101</v>
      </c>
      <c r="H8" s="455" t="s">
        <v>2102</v>
      </c>
      <c r="I8" s="455" t="s">
        <v>2103</v>
      </c>
      <c r="J8" s="455"/>
      <c r="K8" s="456"/>
      <c r="L8" s="453"/>
      <c r="M8" s="434"/>
      <c r="N8" s="434"/>
      <c r="O8" s="434"/>
      <c r="P8" s="434"/>
    </row>
    <row r="9" ht="50.25" customHeight="1">
      <c r="A9" s="435"/>
      <c r="B9" s="441" t="s">
        <v>2104</v>
      </c>
      <c r="C9" s="457"/>
      <c r="D9" s="443" t="s">
        <v>2092</v>
      </c>
      <c r="E9" s="442" t="s">
        <v>2093</v>
      </c>
      <c r="F9" s="37" t="str">
        <f>image("https://i.imgur.com/ao6dhXV.png")</f>
        <v/>
      </c>
      <c r="G9" s="62" t="str">
        <f>image("https://i.imgur.com/sMTNj2A.png")</f>
        <v/>
      </c>
      <c r="H9" s="62" t="str">
        <f>image("https://i.imgur.com/KpuPfqM.png")</f>
        <v/>
      </c>
      <c r="I9" s="92" t="str">
        <f>image("https://i.imgur.com/aemLadL.png")</f>
        <v/>
      </c>
      <c r="J9" s="92" t="str">
        <f>image("https://i.imgur.com/pv1MqRD.png")</f>
        <v/>
      </c>
      <c r="K9" s="458" t="str">
        <f>image("https://i.imgur.com/rsT9HWg.png")</f>
        <v/>
      </c>
      <c r="L9" s="453"/>
      <c r="M9" s="434"/>
      <c r="N9" s="434"/>
      <c r="O9" s="434"/>
      <c r="P9" s="434"/>
    </row>
    <row r="10" ht="15.75" customHeight="1">
      <c r="A10" s="435"/>
      <c r="B10" s="334"/>
      <c r="C10" s="226"/>
      <c r="D10" s="226"/>
      <c r="E10" s="226"/>
      <c r="F10" s="459" t="s">
        <v>2105</v>
      </c>
      <c r="G10" s="460" t="s">
        <v>2106</v>
      </c>
      <c r="H10" s="460" t="s">
        <v>2107</v>
      </c>
      <c r="I10" s="460" t="s">
        <v>2108</v>
      </c>
      <c r="J10" s="460" t="s">
        <v>2109</v>
      </c>
      <c r="K10" s="461" t="s">
        <v>2110</v>
      </c>
      <c r="L10" s="453"/>
      <c r="M10" s="434"/>
      <c r="N10" s="434"/>
      <c r="O10" s="434"/>
      <c r="P10" s="434"/>
    </row>
    <row r="11" ht="50.25" customHeight="1">
      <c r="A11" s="435"/>
      <c r="B11" s="334"/>
      <c r="C11" s="226"/>
      <c r="D11" s="226"/>
      <c r="E11" s="226"/>
      <c r="F11" s="62" t="str">
        <f>image("https://i.imgur.com/2AOQyiR.png")</f>
        <v/>
      </c>
      <c r="G11" s="62" t="str">
        <f>image("https://i.imgur.com/bT7pefQ.png")</f>
        <v/>
      </c>
      <c r="H11" s="453"/>
      <c r="I11" s="453"/>
      <c r="J11" s="453"/>
      <c r="K11" s="457"/>
      <c r="L11" s="453"/>
      <c r="M11" s="434"/>
      <c r="N11" s="434"/>
      <c r="O11" s="434"/>
      <c r="P11" s="434"/>
    </row>
    <row r="12" ht="15.75" customHeight="1">
      <c r="A12" s="435"/>
      <c r="B12" s="334"/>
      <c r="C12" s="226"/>
      <c r="D12" s="226"/>
      <c r="E12" s="226"/>
      <c r="F12" s="459" t="s">
        <v>2111</v>
      </c>
      <c r="G12" s="460" t="s">
        <v>2112</v>
      </c>
      <c r="H12" s="462"/>
      <c r="I12" s="462"/>
      <c r="J12" s="462"/>
      <c r="K12" s="463"/>
      <c r="L12" s="462"/>
      <c r="M12" s="434"/>
      <c r="N12" s="434"/>
      <c r="O12" s="434"/>
      <c r="P12" s="434"/>
    </row>
    <row r="13" ht="50.25" customHeight="1">
      <c r="A13" s="435"/>
      <c r="B13" s="446" t="s">
        <v>2113</v>
      </c>
      <c r="C13" s="447"/>
      <c r="D13" s="448" t="s">
        <v>2092</v>
      </c>
      <c r="E13" s="447"/>
      <c r="F13" s="464" t="str">
        <f>image("https://i.imgur.com/AUuLYqF.png")</f>
        <v/>
      </c>
      <c r="G13" s="62" t="str">
        <f>image("https://i.imgur.com/PaQHYZW.png")</f>
        <v/>
      </c>
      <c r="H13" s="62" t="str">
        <f>image("https://i.imgur.com/qBlORbh.png")</f>
        <v/>
      </c>
      <c r="I13" s="62" t="str">
        <f>image("https://i.imgur.com/1R0Bd7H.png")</f>
        <v/>
      </c>
      <c r="J13" s="92" t="str">
        <f>image("https://i.imgur.com/JrmIKBE.png")</f>
        <v/>
      </c>
      <c r="K13" s="62" t="str">
        <f>image("https://i.imgur.com/sMFoSip.png")</f>
        <v/>
      </c>
      <c r="L13" s="462"/>
      <c r="M13" s="434"/>
      <c r="N13" s="434"/>
      <c r="O13" s="434"/>
      <c r="P13" s="434"/>
    </row>
    <row r="14" ht="16.5" customHeight="1">
      <c r="A14" s="435"/>
      <c r="B14" s="446"/>
      <c r="C14" s="447"/>
      <c r="D14" s="448"/>
      <c r="E14" s="447"/>
      <c r="F14" s="464"/>
      <c r="G14" s="62"/>
      <c r="H14" s="62"/>
      <c r="I14" s="62"/>
      <c r="J14" s="92"/>
      <c r="K14" s="62"/>
      <c r="L14" s="462"/>
      <c r="M14" s="434"/>
      <c r="N14" s="434"/>
      <c r="O14" s="434"/>
      <c r="P14" s="434"/>
    </row>
    <row r="15" ht="44.25" customHeight="1">
      <c r="A15" s="435"/>
      <c r="B15" s="446"/>
      <c r="C15" s="447"/>
      <c r="D15" s="448"/>
      <c r="E15" s="447"/>
      <c r="F15" s="62" t="str">
        <f>image("https://i.imgur.com/1ZDYfr8.png")</f>
        <v/>
      </c>
      <c r="G15" s="62"/>
      <c r="H15" s="62"/>
      <c r="I15" s="62"/>
      <c r="J15" s="92"/>
      <c r="K15" s="62"/>
      <c r="L15" s="462"/>
      <c r="M15" s="434"/>
      <c r="N15" s="434"/>
      <c r="O15" s="434"/>
      <c r="P15" s="434"/>
    </row>
    <row r="16" ht="50.25" customHeight="1">
      <c r="A16" s="435"/>
      <c r="B16" s="441" t="s">
        <v>2114</v>
      </c>
      <c r="C16" s="457"/>
      <c r="D16" s="443" t="s">
        <v>2092</v>
      </c>
      <c r="E16" s="457"/>
      <c r="F16" s="465"/>
      <c r="G16" s="462"/>
      <c r="H16" s="462"/>
      <c r="I16" s="462"/>
      <c r="J16" s="462"/>
      <c r="K16" s="463"/>
      <c r="L16" s="462"/>
      <c r="M16" s="434"/>
      <c r="N16" s="434"/>
      <c r="O16" s="434"/>
      <c r="P16" s="434"/>
    </row>
    <row r="17" ht="50.25" customHeight="1">
      <c r="A17" s="435"/>
      <c r="B17" s="446" t="s">
        <v>2115</v>
      </c>
      <c r="C17" s="447"/>
      <c r="D17" s="448" t="s">
        <v>2092</v>
      </c>
      <c r="E17" s="447"/>
      <c r="F17" s="466"/>
      <c r="G17" s="467"/>
      <c r="H17" s="467"/>
      <c r="I17" s="467"/>
      <c r="J17" s="467"/>
      <c r="K17" s="468"/>
      <c r="L17" s="462"/>
      <c r="M17" s="434"/>
      <c r="N17" s="434"/>
      <c r="O17" s="434"/>
      <c r="P17" s="434"/>
    </row>
    <row r="18" ht="50.25" customHeight="1">
      <c r="A18" s="435"/>
      <c r="B18" s="334"/>
      <c r="C18" s="226"/>
      <c r="D18" s="226"/>
      <c r="E18" s="447"/>
      <c r="F18" s="466"/>
      <c r="G18" s="467"/>
      <c r="H18" s="467"/>
      <c r="I18" s="467"/>
      <c r="J18" s="467"/>
      <c r="K18" s="468"/>
      <c r="L18" s="462"/>
      <c r="M18" s="434"/>
      <c r="N18" s="434"/>
      <c r="O18" s="434"/>
      <c r="P18" s="434"/>
    </row>
    <row r="19" ht="50.25" customHeight="1">
      <c r="A19" s="435"/>
      <c r="B19" s="441" t="s">
        <v>2116</v>
      </c>
      <c r="C19" s="457"/>
      <c r="D19" s="443" t="s">
        <v>2117</v>
      </c>
      <c r="E19" s="457"/>
      <c r="F19" s="459"/>
      <c r="G19" s="460"/>
      <c r="H19" s="460"/>
      <c r="I19" s="460"/>
      <c r="J19" s="460"/>
      <c r="K19" s="461"/>
      <c r="L19" s="462"/>
      <c r="M19" s="434"/>
      <c r="N19" s="434"/>
      <c r="O19" s="434"/>
      <c r="P19" s="434"/>
    </row>
    <row r="20" ht="50.25" customHeight="1">
      <c r="A20" s="435"/>
      <c r="B20" s="334"/>
      <c r="C20" s="226"/>
      <c r="D20" s="226"/>
      <c r="E20" s="457"/>
      <c r="F20" s="459"/>
      <c r="G20" s="460"/>
      <c r="H20" s="460"/>
      <c r="I20" s="460"/>
      <c r="J20" s="460"/>
      <c r="K20" s="461"/>
      <c r="L20" s="462"/>
      <c r="M20" s="434"/>
      <c r="N20" s="434"/>
      <c r="O20" s="434"/>
      <c r="P20" s="434"/>
    </row>
    <row r="21" ht="50.25" customHeight="1">
      <c r="A21" s="435"/>
      <c r="B21" s="446" t="s">
        <v>2118</v>
      </c>
      <c r="C21" s="447"/>
      <c r="D21" s="448" t="s">
        <v>2117</v>
      </c>
      <c r="E21" s="447"/>
      <c r="F21" s="469"/>
      <c r="G21" s="464"/>
      <c r="H21" s="464"/>
      <c r="I21" s="464"/>
      <c r="J21" s="464"/>
      <c r="K21" s="470"/>
      <c r="L21" s="462"/>
      <c r="M21" s="434"/>
      <c r="N21" s="434"/>
      <c r="O21" s="434"/>
      <c r="P21" s="434"/>
    </row>
    <row r="22" ht="50.25" customHeight="1">
      <c r="A22" s="435"/>
      <c r="B22" s="334"/>
      <c r="C22" s="226"/>
      <c r="D22" s="226"/>
      <c r="E22" s="447"/>
      <c r="F22" s="469"/>
      <c r="G22" s="464"/>
      <c r="H22" s="464"/>
      <c r="I22" s="464"/>
      <c r="J22" s="464"/>
      <c r="K22" s="470"/>
      <c r="L22" s="462"/>
      <c r="M22" s="434"/>
      <c r="N22" s="434"/>
      <c r="O22" s="434"/>
      <c r="P22" s="434"/>
    </row>
    <row r="23" ht="50.25" customHeight="1">
      <c r="A23" s="435"/>
      <c r="B23" s="441" t="s">
        <v>2119</v>
      </c>
      <c r="C23" s="457"/>
      <c r="D23" s="443" t="s">
        <v>2117</v>
      </c>
      <c r="E23" s="457"/>
      <c r="F23" s="465"/>
      <c r="G23" s="462"/>
      <c r="H23" s="462"/>
      <c r="I23" s="462"/>
      <c r="J23" s="462"/>
      <c r="K23" s="463"/>
      <c r="L23" s="462"/>
      <c r="M23" s="434"/>
      <c r="N23" s="434"/>
      <c r="O23" s="434"/>
      <c r="P23" s="434"/>
    </row>
    <row r="24" ht="50.25" customHeight="1">
      <c r="A24" s="435"/>
      <c r="B24" s="334"/>
      <c r="C24" s="226"/>
      <c r="D24" s="226"/>
      <c r="E24" s="457"/>
      <c r="F24" s="465"/>
      <c r="G24" s="462"/>
      <c r="H24" s="462"/>
      <c r="I24" s="462"/>
      <c r="J24" s="462"/>
      <c r="K24" s="463"/>
      <c r="L24" s="462"/>
      <c r="M24" s="434"/>
      <c r="N24" s="434"/>
      <c r="O24" s="434"/>
      <c r="P24" s="434"/>
    </row>
    <row r="25" ht="50.25" customHeight="1">
      <c r="A25" s="435"/>
      <c r="B25" s="446" t="s">
        <v>2120</v>
      </c>
      <c r="C25" s="447"/>
      <c r="D25" s="448" t="s">
        <v>2117</v>
      </c>
      <c r="E25" s="447"/>
      <c r="F25" s="469"/>
      <c r="G25" s="464"/>
      <c r="H25" s="464"/>
      <c r="I25" s="464"/>
      <c r="J25" s="464"/>
      <c r="K25" s="470"/>
      <c r="L25" s="462"/>
      <c r="M25" s="434"/>
      <c r="N25" s="434"/>
      <c r="O25" s="434"/>
      <c r="P25" s="434"/>
    </row>
    <row r="26" ht="50.25" customHeight="1">
      <c r="A26" s="435"/>
      <c r="B26" s="334"/>
      <c r="C26" s="226"/>
      <c r="D26" s="226"/>
      <c r="E26" s="447"/>
      <c r="F26" s="469"/>
      <c r="G26" s="464"/>
      <c r="H26" s="464"/>
      <c r="I26" s="464"/>
      <c r="J26" s="464"/>
      <c r="K26" s="470"/>
      <c r="L26" s="462"/>
      <c r="M26" s="434"/>
      <c r="N26" s="434"/>
      <c r="O26" s="434"/>
      <c r="P26" s="434"/>
    </row>
    <row r="27" ht="50.25" customHeight="1">
      <c r="A27" s="435"/>
      <c r="B27" s="441" t="s">
        <v>2121</v>
      </c>
      <c r="C27" s="457"/>
      <c r="D27" s="443" t="s">
        <v>2117</v>
      </c>
      <c r="E27" s="457"/>
      <c r="F27" s="465"/>
      <c r="G27" s="462"/>
      <c r="H27" s="462"/>
      <c r="I27" s="462"/>
      <c r="J27" s="462"/>
      <c r="K27" s="463"/>
      <c r="L27" s="462"/>
      <c r="M27" s="434"/>
      <c r="N27" s="434"/>
      <c r="O27" s="434"/>
      <c r="P27" s="434"/>
    </row>
    <row r="28" ht="50.25" customHeight="1">
      <c r="A28" s="435"/>
      <c r="B28" s="334"/>
      <c r="C28" s="226"/>
      <c r="D28" s="226"/>
      <c r="E28" s="457"/>
      <c r="F28" s="465"/>
      <c r="G28" s="462"/>
      <c r="H28" s="462"/>
      <c r="I28" s="462"/>
      <c r="J28" s="462"/>
      <c r="K28" s="463"/>
      <c r="L28" s="462"/>
      <c r="M28" s="434"/>
      <c r="N28" s="434"/>
      <c r="O28" s="434"/>
      <c r="P28" s="434"/>
    </row>
    <row r="29" ht="50.25" customHeight="1">
      <c r="A29" s="435"/>
      <c r="B29" s="446" t="s">
        <v>2122</v>
      </c>
      <c r="C29" s="447"/>
      <c r="D29" s="448" t="s">
        <v>2123</v>
      </c>
      <c r="E29" s="447"/>
      <c r="F29" s="469"/>
      <c r="G29" s="464"/>
      <c r="H29" s="464"/>
      <c r="I29" s="464"/>
      <c r="J29" s="464"/>
      <c r="K29" s="470"/>
      <c r="L29" s="462"/>
      <c r="M29" s="434"/>
      <c r="N29" s="434"/>
      <c r="O29" s="434"/>
      <c r="P29" s="434"/>
    </row>
    <row r="30" ht="50.25" customHeight="1">
      <c r="A30" s="435"/>
      <c r="B30" s="334"/>
      <c r="C30" s="226"/>
      <c r="D30" s="226"/>
      <c r="E30" s="447"/>
      <c r="F30" s="469"/>
      <c r="G30" s="464"/>
      <c r="H30" s="464"/>
      <c r="I30" s="464"/>
      <c r="J30" s="464"/>
      <c r="K30" s="470"/>
      <c r="L30" s="462"/>
      <c r="M30" s="434"/>
      <c r="N30" s="434"/>
      <c r="O30" s="434"/>
      <c r="P30" s="434"/>
    </row>
    <row r="31" ht="50.25" customHeight="1">
      <c r="A31" s="435"/>
      <c r="B31" s="441" t="s">
        <v>2124</v>
      </c>
      <c r="C31" s="457"/>
      <c r="D31" s="443" t="s">
        <v>2123</v>
      </c>
      <c r="E31" s="457"/>
      <c r="F31" s="465"/>
      <c r="G31" s="462"/>
      <c r="H31" s="462"/>
      <c r="I31" s="462"/>
      <c r="J31" s="462"/>
      <c r="K31" s="463"/>
      <c r="L31" s="462"/>
      <c r="M31" s="434"/>
      <c r="N31" s="434"/>
      <c r="O31" s="434"/>
      <c r="P31" s="434"/>
    </row>
    <row r="32" ht="50.25" customHeight="1">
      <c r="A32" s="435"/>
      <c r="B32" s="334"/>
      <c r="C32" s="226"/>
      <c r="D32" s="226"/>
      <c r="E32" s="457"/>
      <c r="F32" s="465"/>
      <c r="G32" s="462"/>
      <c r="H32" s="462"/>
      <c r="I32" s="462"/>
      <c r="J32" s="462"/>
      <c r="K32" s="463"/>
      <c r="L32" s="462"/>
      <c r="M32" s="434"/>
      <c r="N32" s="434"/>
      <c r="O32" s="434"/>
      <c r="P32" s="434"/>
    </row>
    <row r="33" ht="50.25" customHeight="1">
      <c r="A33" s="435"/>
      <c r="B33" s="446" t="s">
        <v>2125</v>
      </c>
      <c r="C33" s="447"/>
      <c r="D33" s="448" t="s">
        <v>2123</v>
      </c>
      <c r="E33" s="447"/>
      <c r="F33" s="469"/>
      <c r="G33" s="464"/>
      <c r="H33" s="464"/>
      <c r="I33" s="464"/>
      <c r="J33" s="464"/>
      <c r="K33" s="470"/>
      <c r="L33" s="462"/>
      <c r="M33" s="434"/>
      <c r="N33" s="434"/>
      <c r="O33" s="434"/>
      <c r="P33" s="434"/>
    </row>
    <row r="34" ht="50.25" customHeight="1">
      <c r="A34" s="435"/>
      <c r="B34" s="334"/>
      <c r="C34" s="226"/>
      <c r="D34" s="226"/>
      <c r="E34" s="447"/>
      <c r="F34" s="469"/>
      <c r="G34" s="464"/>
      <c r="H34" s="464"/>
      <c r="I34" s="464"/>
      <c r="J34" s="464"/>
      <c r="K34" s="470"/>
      <c r="L34" s="462"/>
      <c r="M34" s="434"/>
      <c r="N34" s="434"/>
      <c r="O34" s="434"/>
      <c r="P34" s="434"/>
    </row>
    <row r="35" ht="50.25" customHeight="1">
      <c r="A35" s="435"/>
      <c r="B35" s="441" t="s">
        <v>2126</v>
      </c>
      <c r="C35" s="457"/>
      <c r="D35" s="443" t="s">
        <v>2123</v>
      </c>
      <c r="E35" s="457"/>
      <c r="F35" s="465"/>
      <c r="G35" s="462"/>
      <c r="H35" s="462"/>
      <c r="I35" s="462"/>
      <c r="J35" s="462"/>
      <c r="K35" s="463"/>
      <c r="L35" s="462"/>
      <c r="M35" s="434"/>
      <c r="N35" s="434"/>
      <c r="O35" s="434"/>
      <c r="P35" s="434"/>
    </row>
    <row r="36" ht="50.25" customHeight="1">
      <c r="A36" s="435"/>
      <c r="B36" s="334"/>
      <c r="C36" s="226"/>
      <c r="D36" s="226"/>
      <c r="E36" s="457"/>
      <c r="F36" s="465"/>
      <c r="G36" s="462"/>
      <c r="H36" s="462"/>
      <c r="I36" s="462"/>
      <c r="J36" s="462"/>
      <c r="K36" s="463"/>
      <c r="L36" s="462"/>
      <c r="M36" s="434"/>
      <c r="N36" s="434"/>
      <c r="O36" s="434"/>
      <c r="P36" s="434"/>
    </row>
    <row r="37" ht="50.25" customHeight="1">
      <c r="A37" s="435"/>
      <c r="B37" s="446" t="s">
        <v>2127</v>
      </c>
      <c r="C37" s="447"/>
      <c r="D37" s="448" t="s">
        <v>2123</v>
      </c>
      <c r="E37" s="447"/>
      <c r="F37" s="469"/>
      <c r="G37" s="464"/>
      <c r="H37" s="464"/>
      <c r="I37" s="464"/>
      <c r="J37" s="464"/>
      <c r="K37" s="470"/>
      <c r="L37" s="462"/>
      <c r="M37" s="434"/>
      <c r="N37" s="434"/>
      <c r="O37" s="434"/>
      <c r="P37" s="434"/>
    </row>
    <row r="38" ht="50.25" customHeight="1">
      <c r="A38" s="435"/>
      <c r="B38" s="338"/>
      <c r="C38" s="247"/>
      <c r="D38" s="247"/>
      <c r="E38" s="471"/>
      <c r="F38" s="472"/>
      <c r="G38" s="473"/>
      <c r="H38" s="473"/>
      <c r="I38" s="473"/>
      <c r="J38" s="473"/>
      <c r="K38" s="474"/>
      <c r="L38" s="462"/>
      <c r="M38" s="434"/>
      <c r="N38" s="434"/>
      <c r="O38" s="434"/>
      <c r="P38" s="434"/>
    </row>
    <row r="39" ht="30.0" customHeight="1">
      <c r="A39" s="435"/>
      <c r="B39" s="475"/>
      <c r="C39" s="476"/>
      <c r="D39" s="477"/>
      <c r="E39" s="453"/>
      <c r="F39" s="462"/>
      <c r="G39" s="462"/>
      <c r="H39" s="462"/>
      <c r="I39" s="462"/>
      <c r="J39" s="462"/>
      <c r="K39" s="462"/>
      <c r="L39" s="462"/>
      <c r="M39" s="434"/>
      <c r="N39" s="434"/>
      <c r="O39" s="434"/>
      <c r="P39" s="434"/>
    </row>
    <row r="40" ht="30.0" customHeight="1">
      <c r="A40" s="431"/>
      <c r="B40" s="478"/>
      <c r="C40" s="432"/>
      <c r="D40" s="431"/>
      <c r="E40" s="432"/>
      <c r="F40" s="479"/>
      <c r="G40" s="479"/>
      <c r="H40" s="479"/>
      <c r="I40" s="479"/>
      <c r="J40" s="479"/>
      <c r="K40" s="479"/>
      <c r="L40" s="479"/>
      <c r="M40" s="434"/>
      <c r="N40" s="434"/>
      <c r="O40" s="434"/>
      <c r="P40" s="434"/>
    </row>
    <row r="41" ht="30.0" customHeight="1">
      <c r="A41" s="431"/>
      <c r="B41" s="478"/>
      <c r="C41" s="432"/>
      <c r="D41" s="431"/>
      <c r="E41" s="432"/>
      <c r="F41" s="479"/>
      <c r="G41" s="479"/>
      <c r="H41" s="479"/>
      <c r="I41" s="479"/>
      <c r="J41" s="479"/>
      <c r="K41" s="479"/>
      <c r="L41" s="479"/>
      <c r="M41" s="434"/>
      <c r="N41" s="434"/>
      <c r="O41" s="434"/>
      <c r="P41" s="434"/>
    </row>
    <row r="42" ht="30.0" customHeight="1">
      <c r="A42" s="431"/>
      <c r="B42" s="478"/>
      <c r="C42" s="432"/>
      <c r="D42" s="431"/>
      <c r="E42" s="432"/>
      <c r="F42" s="479"/>
      <c r="G42" s="479"/>
      <c r="H42" s="479"/>
      <c r="I42" s="479"/>
      <c r="J42" s="479"/>
      <c r="K42" s="479"/>
      <c r="L42" s="479"/>
      <c r="M42" s="434"/>
      <c r="N42" s="434"/>
      <c r="O42" s="434"/>
      <c r="P42" s="434"/>
    </row>
  </sheetData>
  <mergeCells count="43">
    <mergeCell ref="F3:K3"/>
    <mergeCell ref="F4:K4"/>
    <mergeCell ref="B5:B8"/>
    <mergeCell ref="C5:C8"/>
    <mergeCell ref="D5:D8"/>
    <mergeCell ref="E5:E8"/>
    <mergeCell ref="B9:B12"/>
    <mergeCell ref="E9:E12"/>
    <mergeCell ref="C9:C12"/>
    <mergeCell ref="D9:D12"/>
    <mergeCell ref="B17:B18"/>
    <mergeCell ref="C17:C18"/>
    <mergeCell ref="D17:D18"/>
    <mergeCell ref="C19:C20"/>
    <mergeCell ref="D19:D20"/>
    <mergeCell ref="B19:B20"/>
    <mergeCell ref="B21:B22"/>
    <mergeCell ref="C21:C22"/>
    <mergeCell ref="D21:D22"/>
    <mergeCell ref="B23:B24"/>
    <mergeCell ref="C23:C24"/>
    <mergeCell ref="D23:D24"/>
    <mergeCell ref="C29:C30"/>
    <mergeCell ref="D29:D30"/>
    <mergeCell ref="B25:B26"/>
    <mergeCell ref="C25:C26"/>
    <mergeCell ref="D25:D26"/>
    <mergeCell ref="B27:B28"/>
    <mergeCell ref="C27:C28"/>
    <mergeCell ref="D27:D28"/>
    <mergeCell ref="B29:B30"/>
    <mergeCell ref="C35:C36"/>
    <mergeCell ref="D35:D36"/>
    <mergeCell ref="B37:B38"/>
    <mergeCell ref="C37:C38"/>
    <mergeCell ref="D37:D38"/>
    <mergeCell ref="B31:B32"/>
    <mergeCell ref="C31:C32"/>
    <mergeCell ref="D31:D32"/>
    <mergeCell ref="B33:B34"/>
    <mergeCell ref="C33:C34"/>
    <mergeCell ref="D33:D34"/>
    <mergeCell ref="B35:B36"/>
  </mergeCells>
  <drawing r:id="rId1"/>
</worksheet>
</file>