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pe\Desktop\ecse478_honours_thesis\1 Hardware\MCP33151 Eval Board Bringup\Testing Data\"/>
    </mc:Choice>
  </mc:AlternateContent>
  <xr:revisionPtr revIDLastSave="0" documentId="13_ncr:1_{089E0482-2D47-4AD0-A0E1-FD2B8CAC9A23}" xr6:coauthVersionLast="47" xr6:coauthVersionMax="47" xr10:uidLastSave="{00000000-0000-0000-0000-000000000000}"/>
  <bookViews>
    <workbookView xWindow="-108" yWindow="-108" windowWidth="23256" windowHeight="14016" tabRatio="778" activeTab="5" xr2:uid="{7F6D996F-7E04-4D92-871E-4D697BCB5885}"/>
  </bookViews>
  <sheets>
    <sheet name="Power rails" sheetId="1" r:id="rId1"/>
    <sheet name="LS SE Gains" sheetId="2" r:id="rId2"/>
    <sheet name="LS SE Input Pulldown" sheetId="4" r:id="rId3"/>
    <sheet name="AA filter input bias offset" sheetId="5" r:id="rId4"/>
    <sheet name="AA filter comp experiments" sheetId="9" r:id="rId5"/>
    <sheet name="AA filter mag response" sheetId="6" r:id="rId6"/>
    <sheet name="AA filter mag resp LTspic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9" l="1"/>
  <c r="F48" i="9"/>
  <c r="F43" i="9"/>
  <c r="F37" i="9" l="1"/>
  <c r="F31" i="9"/>
  <c r="B123" i="9"/>
  <c r="C123" i="9" s="1"/>
  <c r="B122" i="9"/>
  <c r="C122" i="9" s="1"/>
  <c r="B121" i="9"/>
  <c r="C121" i="9" s="1"/>
  <c r="B120" i="9"/>
  <c r="C120" i="9" s="1"/>
  <c r="F55" i="9"/>
  <c r="F54" i="9"/>
  <c r="F50" i="9"/>
  <c r="F49" i="9"/>
  <c r="F45" i="9"/>
  <c r="F44" i="9"/>
  <c r="F39" i="9"/>
  <c r="F38" i="9"/>
  <c r="F33" i="9"/>
  <c r="F32" i="9"/>
  <c r="B56" i="5"/>
  <c r="C21" i="2"/>
  <c r="C20" i="2"/>
  <c r="B19" i="2"/>
  <c r="C19" i="2" s="1"/>
  <c r="B20" i="2"/>
  <c r="B21" i="2"/>
  <c r="B18" i="2"/>
  <c r="C18" i="2" s="1"/>
  <c r="E12" i="2"/>
  <c r="D12" i="2"/>
  <c r="E11" i="2"/>
  <c r="D11" i="2"/>
  <c r="E10" i="2"/>
  <c r="D10" i="2"/>
  <c r="E9" i="2"/>
  <c r="D9" i="2"/>
  <c r="E7" i="2"/>
  <c r="D7" i="2"/>
  <c r="E6" i="2"/>
  <c r="D6" i="2"/>
  <c r="E5" i="2"/>
  <c r="D5" i="2"/>
  <c r="E4" i="2"/>
  <c r="D4" i="2"/>
  <c r="I27" i="6"/>
  <c r="J27" i="6" s="1"/>
  <c r="I26" i="6"/>
  <c r="J26" i="6" s="1"/>
  <c r="J13" i="6"/>
  <c r="J14" i="6"/>
  <c r="J15" i="6"/>
  <c r="I8" i="6"/>
  <c r="J8" i="6" s="1"/>
  <c r="I9" i="6"/>
  <c r="J9" i="6" s="1"/>
  <c r="I10" i="6"/>
  <c r="J10" i="6" s="1"/>
  <c r="I11" i="6"/>
  <c r="J11" i="6" s="1"/>
  <c r="I12" i="6"/>
  <c r="J12" i="6" s="1"/>
  <c r="I13" i="6"/>
  <c r="I14" i="6"/>
  <c r="I15" i="6"/>
  <c r="I16" i="6"/>
  <c r="J16" i="6" s="1"/>
  <c r="I17" i="6"/>
  <c r="J17" i="6" s="1"/>
  <c r="I18" i="6"/>
  <c r="J18" i="6" s="1"/>
  <c r="I19" i="6"/>
  <c r="J19" i="6" s="1"/>
  <c r="I20" i="6"/>
  <c r="J20" i="6" s="1"/>
  <c r="I21" i="6"/>
  <c r="J21" i="6" s="1"/>
  <c r="I22" i="6"/>
  <c r="J22" i="6" s="1"/>
  <c r="I23" i="6"/>
  <c r="J23" i="6" s="1"/>
  <c r="I24" i="6"/>
  <c r="J24" i="6" s="1"/>
  <c r="I25" i="6"/>
  <c r="J25" i="6" s="1"/>
  <c r="I7" i="6"/>
  <c r="J7" i="6" s="1"/>
  <c r="E14" i="5"/>
  <c r="D14" i="5"/>
  <c r="D17" i="5" s="1"/>
  <c r="E23" i="5"/>
  <c r="D23" i="5"/>
  <c r="C23" i="5"/>
  <c r="C14" i="5"/>
  <c r="D26" i="5"/>
  <c r="D8" i="5"/>
  <c r="D9" i="5" s="1"/>
  <c r="D10" i="5" s="1"/>
  <c r="D13" i="5" s="1"/>
  <c r="B31" i="4"/>
  <c r="D25" i="4"/>
  <c r="B50" i="5"/>
  <c r="E25" i="5"/>
  <c r="C25" i="5"/>
  <c r="E24" i="5"/>
  <c r="C24" i="5"/>
  <c r="E16" i="5"/>
  <c r="C16" i="5"/>
  <c r="E15" i="5"/>
  <c r="C15" i="5"/>
  <c r="E7" i="5"/>
  <c r="C7" i="5"/>
  <c r="E6" i="5"/>
  <c r="E8" i="5" s="1"/>
  <c r="E9" i="5" s="1"/>
  <c r="C6" i="5"/>
  <c r="D30" i="4"/>
  <c r="D31" i="4" s="1"/>
  <c r="B30" i="4"/>
  <c r="D29" i="4"/>
  <c r="B29" i="4"/>
  <c r="D28" i="4"/>
  <c r="C28" i="4"/>
  <c r="C31" i="4" s="1"/>
  <c r="B28" i="4"/>
  <c r="D24" i="4"/>
  <c r="B24" i="4"/>
  <c r="B25" i="4" s="1"/>
  <c r="D23" i="4"/>
  <c r="B23" i="4"/>
  <c r="D22" i="4"/>
  <c r="C22" i="4"/>
  <c r="C25" i="4" s="1"/>
  <c r="B22" i="4"/>
  <c r="B14" i="4"/>
  <c r="E17" i="5" l="1"/>
  <c r="C8" i="5"/>
  <c r="C9" i="5" s="1"/>
  <c r="C10" i="5" s="1"/>
  <c r="C13" i="5" s="1"/>
  <c r="C17" i="5"/>
  <c r="C18" i="5" s="1"/>
  <c r="C19" i="5" s="1"/>
  <c r="C22" i="5" s="1"/>
  <c r="C26" i="5"/>
  <c r="E26" i="5"/>
  <c r="D18" i="5"/>
  <c r="D19" i="5" s="1"/>
  <c r="D22" i="5" s="1"/>
  <c r="E10" i="5"/>
  <c r="E13" i="5" s="1"/>
  <c r="E18" i="5" s="1"/>
  <c r="C27" i="5" l="1"/>
  <c r="C28" i="5" s="1"/>
  <c r="C30" i="5" s="1"/>
  <c r="D27" i="5"/>
  <c r="D28" i="5" s="1"/>
  <c r="D30" i="5" s="1"/>
  <c r="E19" i="5"/>
  <c r="E22" i="5" s="1"/>
  <c r="E27" i="5" l="1"/>
  <c r="E28" i="5" s="1"/>
  <c r="E30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Jasper Yun</author>
  </authors>
  <commentList>
    <comment ref="F5" authorId="0" shapeId="0" xr:uid="{A26701DA-EE54-4DFE-B888-CB478DBF5216}">
      <text>
        <r>
          <rPr>
            <b/>
            <sz val="9"/>
            <color indexed="81"/>
            <rFont val="Tahoma"/>
            <family val="2"/>
          </rPr>
          <t>Jasper Yun:</t>
        </r>
        <r>
          <rPr>
            <sz val="9"/>
            <color indexed="81"/>
            <rFont val="Tahoma"/>
            <family val="2"/>
          </rPr>
          <t xml:space="preserve">
Measured output of op amp before ADC
</t>
        </r>
      </text>
    </comment>
  </commentList>
</comments>
</file>

<file path=xl/sharedStrings.xml><?xml version="1.0" encoding="utf-8"?>
<sst xmlns="http://schemas.openxmlformats.org/spreadsheetml/2006/main" count="362" uniqueCount="190">
  <si>
    <t>Measurements</t>
  </si>
  <si>
    <t>+15V rail</t>
  </si>
  <si>
    <t>-15V rail</t>
  </si>
  <si>
    <t>+12V rail</t>
  </si>
  <si>
    <t>-12V rail</t>
  </si>
  <si>
    <t>+5V (USB)</t>
  </si>
  <si>
    <t>+3V3 rail</t>
  </si>
  <si>
    <t>+5V_A</t>
  </si>
  <si>
    <t>+1V8_A</t>
  </si>
  <si>
    <t>probe: 10x</t>
  </si>
  <si>
    <t>bandwidth limited to 20M</t>
  </si>
  <si>
    <t>rails loaded by board only (no external connections)</t>
  </si>
  <si>
    <t>probe with ground spring</t>
  </si>
  <si>
    <t>ac coupled</t>
  </si>
  <si>
    <t>200MHz probe</t>
  </si>
  <si>
    <t>probing the test points for the rails</t>
  </si>
  <si>
    <t>rail</t>
  </si>
  <si>
    <t>26, 27</t>
  </si>
  <si>
    <t>n/a</t>
  </si>
  <si>
    <t>board powered by phone charger brick</t>
  </si>
  <si>
    <t>Methods</t>
  </si>
  <si>
    <t>Hardware Output (V)</t>
  </si>
  <si>
    <t>ADC averaged reading (V)</t>
  </si>
  <si>
    <t>Hardware Gain (V/V)</t>
  </si>
  <si>
    <t>Perceived Gain (V/V)</t>
  </si>
  <si>
    <t>Input (mV)</t>
  </si>
  <si>
    <t>measured with FLIR</t>
  </si>
  <si>
    <t>measured with OWON B35T+</t>
  </si>
  <si>
    <t>through alligator cables</t>
  </si>
  <si>
    <t>Connector voltage</t>
  </si>
  <si>
    <t>Mux output</t>
  </si>
  <si>
    <t>Op-amp non-inv input</t>
  </si>
  <si>
    <t>10K pull-down</t>
  </si>
  <si>
    <t>mV</t>
  </si>
  <si>
    <t>ADC input</t>
  </si>
  <si>
    <t>Gain</t>
  </si>
  <si>
    <t>V/V</t>
  </si>
  <si>
    <t>V</t>
  </si>
  <si>
    <t>not measured</t>
  </si>
  <si>
    <t>RC4580 input bias current</t>
  </si>
  <si>
    <t>Parameter</t>
  </si>
  <si>
    <t>Min</t>
  </si>
  <si>
    <t>Nom</t>
  </si>
  <si>
    <t>Max</t>
  </si>
  <si>
    <t>Units</t>
  </si>
  <si>
    <t>nA</t>
  </si>
  <si>
    <t>2 x mux on-state resistance</t>
  </si>
  <si>
    <t>Ohm</t>
  </si>
  <si>
    <t>Non-inv input compensation resistor</t>
  </si>
  <si>
    <t>Voltage at non-inv input due to bias current</t>
  </si>
  <si>
    <t>Pull-down resistance on input</t>
  </si>
  <si>
    <t>First stage</t>
  </si>
  <si>
    <t>R51</t>
  </si>
  <si>
    <t>R50</t>
  </si>
  <si>
    <t>Tolerance</t>
  </si>
  <si>
    <t>kOhm</t>
  </si>
  <si>
    <t>Non-inv input voltage</t>
  </si>
  <si>
    <t>Output voltage</t>
  </si>
  <si>
    <t>Anti-aliasing filter input voltage from in-amp</t>
  </si>
  <si>
    <t>Second stage</t>
  </si>
  <si>
    <t>Third stage</t>
  </si>
  <si>
    <t>Second stage input voltage</t>
  </si>
  <si>
    <t>Third stage input voltage</t>
  </si>
  <si>
    <t xml:space="preserve">Anti-aliasing filter output voltage </t>
  </si>
  <si>
    <t>Final output voltage</t>
  </si>
  <si>
    <t>Gain stage</t>
  </si>
  <si>
    <t>Test setup</t>
  </si>
  <si>
    <t>Multimeter measures voltages (probed sequentially)</t>
  </si>
  <si>
    <t>SPD3303X-E DC power supply provides 3.20V to shorted differential inputs</t>
  </si>
  <si>
    <t>Measurements (tested at DC)</t>
  </si>
  <si>
    <t>Gain stage on HS DE inputs was set to unity gain</t>
  </si>
  <si>
    <t>Offset voltage due to bias current in this stage</t>
  </si>
  <si>
    <t>Output voltage (voltage follower)</t>
  </si>
  <si>
    <t>Keeping AA filter as designed in schematic, no compensation resistors in feedback path</t>
  </si>
  <si>
    <t>In+ is a sinusoid from signal generator</t>
  </si>
  <si>
    <t>In-(DC) (V)</t>
  </si>
  <si>
    <t>In+ offset (V)</t>
  </si>
  <si>
    <t>In+ Freq (Hz)</t>
  </si>
  <si>
    <t>Output freq (Hz)</t>
  </si>
  <si>
    <t>Hardware output sinusoid</t>
  </si>
  <si>
    <t>Input+ sinusoid (1Vpp)</t>
  </si>
  <si>
    <t>In+ mean (oscope) (V)</t>
  </si>
  <si>
    <t>Output mean (V)</t>
  </si>
  <si>
    <t>noticeable phase shift occurring</t>
  </si>
  <si>
    <t>Output Vpp (V)</t>
  </si>
  <si>
    <t>Input Vpp (V)</t>
  </si>
  <si>
    <t>Output / Input (V/V)</t>
  </si>
  <si>
    <t>Output / Input (dB)</t>
  </si>
  <si>
    <t>1x</t>
  </si>
  <si>
    <t>10x</t>
  </si>
  <si>
    <t>50x</t>
  </si>
  <si>
    <t>100x</t>
  </si>
  <si>
    <t>Offset (mV)</t>
  </si>
  <si>
    <t>Gain (V/V)</t>
  </si>
  <si>
    <t>Before adding compensation resistors</t>
  </si>
  <si>
    <t>Add 63k4</t>
  </si>
  <si>
    <t>Vout-1v/v</t>
  </si>
  <si>
    <t>Vout-10v/v</t>
  </si>
  <si>
    <t>Vout-50v/v</t>
  </si>
  <si>
    <t>Vout-100v/v</t>
  </si>
  <si>
    <t>Add 48k7</t>
  </si>
  <si>
    <t>Add 24k3</t>
  </si>
  <si>
    <t>ADC reading</t>
  </si>
  <si>
    <t>units</t>
  </si>
  <si>
    <t>Mag (dB)</t>
  </si>
  <si>
    <t>Freq (Hz)</t>
  </si>
  <si>
    <t>Testing on op amp only board, measurements with FLIR DM92 multimeter in mV mode</t>
  </si>
  <si>
    <t>2.5V input to AA filter, unity gain</t>
  </si>
  <si>
    <t>GNDed input to AA filter (at in-amp output test point), unity gain</t>
  </si>
  <si>
    <t>3.3V input, unity gain</t>
  </si>
  <si>
    <t>RC4580 op amp</t>
  </si>
  <si>
    <t>TLV2172 op amp</t>
  </si>
  <si>
    <t>sad forgot to check vout of third stage which is different from final vout (output of gain stage)</t>
  </si>
  <si>
    <t>TLV2172 op amp with compensation resistors in feedback loop</t>
  </si>
  <si>
    <t>TLV2172 op amp with reworks but 0 ohm resistors</t>
  </si>
  <si>
    <t>Final Vout - Vin (mV)</t>
  </si>
  <si>
    <t>RC4580 op amp with compensation (on first soldered board)</t>
  </si>
  <si>
    <t>Vout_final (V)</t>
  </si>
  <si>
    <t>Vout_ina (V)</t>
  </si>
  <si>
    <t>Vin- (V)</t>
  </si>
  <si>
    <t>Vin+ (V)</t>
  </si>
  <si>
    <t>RC4580 with compensation, check vout vs vin</t>
  </si>
  <si>
    <t>Unity gain</t>
  </si>
  <si>
    <t>10x gain</t>
  </si>
  <si>
    <t>50x gain</t>
  </si>
  <si>
    <t>100x gain</t>
  </si>
  <si>
    <t>Manual calculations of gain and offset</t>
  </si>
  <si>
    <t>1x gain</t>
  </si>
  <si>
    <t>gain (V/V)</t>
  </si>
  <si>
    <t>offset (V)</t>
  </si>
  <si>
    <t>x1 (V)</t>
  </si>
  <si>
    <t>y1 (V)</t>
  </si>
  <si>
    <t>x2 (V)</t>
  </si>
  <si>
    <t>y2 (V)</t>
  </si>
  <si>
    <t>trend gain (V/V)</t>
  </si>
  <si>
    <t>trend offset (V)</t>
  </si>
  <si>
    <t>1x, 10x gains are within tolerance</t>
  </si>
  <si>
    <t>50x, 100x gains are slightly outside, probably due to imprecise multimeter measurements.</t>
  </si>
  <si>
    <t>should redo with averaging of e.g. 10000 samples over 2 sec, use labjack?</t>
  </si>
  <si>
    <t>with multimeter and hook probes</t>
  </si>
  <si>
    <t>Rail</t>
  </si>
  <si>
    <t>Voltage (V)</t>
  </si>
  <si>
    <t>Power Rail Measurements</t>
  </si>
  <si>
    <t>oscilloscope settings:</t>
  </si>
  <si>
    <t>ripple (mVpp)</t>
  </si>
  <si>
    <t>ripple frequency (kHz)</t>
  </si>
  <si>
    <t>oscilloscope screenshot filename</t>
  </si>
  <si>
    <t>clipped with hook probes</t>
  </si>
  <si>
    <t>ADC Gain and Offset Measurements</t>
  </si>
  <si>
    <t>Input measured at input to gain stage</t>
  </si>
  <si>
    <t>Hardware Output measured at output of gain stage</t>
  </si>
  <si>
    <t>ADC averaged reading used 1000 samples measured at 50 Hz</t>
  </si>
  <si>
    <t>Hardware gain = Hardware Output / Input</t>
  </si>
  <si>
    <t>Perceived gain = ADC averaged reading / Input</t>
  </si>
  <si>
    <t>Gain and Offset calculated for ADC assuming ADC is linear and has gain and offset</t>
  </si>
  <si>
    <t>Gain Setting</t>
  </si>
  <si>
    <t>1 Meg pull-down (Rpd in picture)</t>
  </si>
  <si>
    <t>Cause: hypothesis that it is most likely due to op-amp input bias current</t>
  </si>
  <si>
    <t>Calculations to estimate expected offset voltages due to bias currents:</t>
  </si>
  <si>
    <t>Trying to Add Input Pulldown Resistors to Prevent Floating Inputs</t>
  </si>
  <si>
    <t>Anti-Aliasing Filter Offset Voltage Measurements</t>
  </si>
  <si>
    <t>R53</t>
  </si>
  <si>
    <t>R52</t>
  </si>
  <si>
    <t>R55</t>
  </si>
  <si>
    <t>R54</t>
  </si>
  <si>
    <t>Anti-Aliasing Filter Offset Voltage Estimations</t>
  </si>
  <si>
    <t>Total offset voltage developed across filter</t>
  </si>
  <si>
    <t>Adding compensation resistors to each stage of the AA filter</t>
  </si>
  <si>
    <t>to reduce offset voltage developed across the filter</t>
  </si>
  <si>
    <t>forgot</t>
  </si>
  <si>
    <t>observed trend is that offset voltage reduces significantly</t>
  </si>
  <si>
    <t>with each added compensation resistor</t>
  </si>
  <si>
    <t>Filter Vin (V)</t>
  </si>
  <si>
    <t>First Stage Vout (V)</t>
  </si>
  <si>
    <t>Second Stage Vout (V)</t>
  </si>
  <si>
    <t>Final Vout (V)</t>
  </si>
  <si>
    <t>Conditions: No compensation resistors (no rework), powered by +/-12V from SPD3303x-e supply in slave mode, unity gain configuration by shorting mux</t>
  </si>
  <si>
    <t>Conditions: same as RC4580 op amp above</t>
  </si>
  <si>
    <t>output of in-amp</t>
  </si>
  <si>
    <t>output of gain stage</t>
  </si>
  <si>
    <t>Ltspice filter simulation points for graphing</t>
  </si>
  <si>
    <t>Anti-Aliasing Filter Magnitude Response</t>
  </si>
  <si>
    <t>with oscilloscope (settings below)</t>
  </si>
  <si>
    <t>clamped</t>
  </si>
  <si>
    <t>by schottky diode</t>
  </si>
  <si>
    <t xml:space="preserve"> averaging 128 samples on acquisition from now on</t>
  </si>
  <si>
    <t>looked like a flat line…</t>
  </si>
  <si>
    <t>oscilloscope doesn't go smaller than 5mV/div</t>
  </si>
  <si>
    <t>Conclusion: measurements match well with calculations for input bias current</t>
  </si>
  <si>
    <t>Next step: add compensation resistors to reduce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</si>
</sst>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#,##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quotePrefix="1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0" xfId="0" applyFont="1" applyFill="1"/>
    <xf numFmtId="10" fontId="0" fillId="0" borderId="0" xfId="0" applyNumberFormat="1"/>
    <xf numFmtId="0" fontId="0" fillId="2" borderId="0" xfId="0" applyFill="1"/>
    <xf numFmtId="164" fontId="0" fillId="0" borderId="1" xfId="0" applyNumberFormat="1" applyBorder="1"/>
    <xf numFmtId="164" fontId="0" fillId="0" borderId="2" xfId="0" applyNumberFormat="1" applyBorder="1"/>
    <xf numFmtId="166" fontId="0" fillId="0" borderId="0" xfId="0" applyNumberFormat="1"/>
    <xf numFmtId="0" fontId="0" fillId="3" borderId="0" xfId="0" applyFill="1"/>
    <xf numFmtId="167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1" fillId="0" borderId="0" xfId="0" applyNumberFormat="1" applyFont="1"/>
    <xf numFmtId="0" fontId="1" fillId="0" borderId="7" xfId="0" applyFont="1" applyBorder="1"/>
    <xf numFmtId="0" fontId="1" fillId="0" borderId="8" xfId="0" applyFont="1" applyBorder="1"/>
    <xf numFmtId="166" fontId="0" fillId="0" borderId="9" xfId="0" applyNumberFormat="1" applyBorder="1"/>
    <xf numFmtId="166" fontId="0" fillId="0" borderId="10" xfId="0" applyNumberFormat="1" applyBorder="1"/>
    <xf numFmtId="166" fontId="0" fillId="0" borderId="11" xfId="0" applyNumberFormat="1" applyBorder="1"/>
    <xf numFmtId="166" fontId="0" fillId="0" borderId="12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4" borderId="0" xfId="0" applyFont="1" applyFill="1"/>
    <xf numFmtId="0" fontId="4" fillId="0" borderId="0" xfId="0" applyFont="1"/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Vout_final (V) -- 10x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'AA filter comp experiments'!$E$73</c:f>
              <c:strCache>
                <c:ptCount val="1"/>
                <c:pt idx="0">
                  <c:v>Vout_final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213980885977039"/>
                  <c:y val="6.439814814814814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CA" sz="1400" baseline="0"/>
                      <a:t>y = 10.108x - 0.0489</a:t>
                    </a:r>
                    <a:endParaRPr lang="en-CA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'AA filter comp experiments'!$D$74:$D$86</c:f>
              <c:numCache>
                <c:formatCode>General</c:formatCode>
                <c:ptCount val="13"/>
                <c:pt idx="0">
                  <c:v>1.1000000000000001E-3</c:v>
                </c:pt>
                <c:pt idx="1">
                  <c:v>1.0500000000000001E-2</c:v>
                </c:pt>
                <c:pt idx="2">
                  <c:v>2.06E-2</c:v>
                </c:pt>
                <c:pt idx="3">
                  <c:v>3.0700000000000002E-2</c:v>
                </c:pt>
                <c:pt idx="4">
                  <c:v>4.0800000000000003E-2</c:v>
                </c:pt>
                <c:pt idx="5">
                  <c:v>5.0900000000000001E-2</c:v>
                </c:pt>
                <c:pt idx="6">
                  <c:v>0.1008</c:v>
                </c:pt>
                <c:pt idx="7">
                  <c:v>0.15049999999999999</c:v>
                </c:pt>
                <c:pt idx="8">
                  <c:v>0.2006</c:v>
                </c:pt>
                <c:pt idx="9">
                  <c:v>0.25009999999999999</c:v>
                </c:pt>
                <c:pt idx="10">
                  <c:v>0.29980000000000001</c:v>
                </c:pt>
                <c:pt idx="11">
                  <c:v>0.4002</c:v>
                </c:pt>
                <c:pt idx="12">
                  <c:v>0.4501</c:v>
                </c:pt>
              </c:numCache>
            </c:numRef>
          </c:xVal>
          <c:yVal>
            <c:numRef>
              <c:f>'AA filter comp experiments'!$E$74:$E$86</c:f>
              <c:numCache>
                <c:formatCode>General</c:formatCode>
                <c:ptCount val="13"/>
                <c:pt idx="0">
                  <c:v>-3.6299999999999999E-2</c:v>
                </c:pt>
                <c:pt idx="1">
                  <c:v>5.6599999999999998E-2</c:v>
                </c:pt>
                <c:pt idx="2">
                  <c:v>0.15809999999999999</c:v>
                </c:pt>
                <c:pt idx="3">
                  <c:v>0.26140000000000002</c:v>
                </c:pt>
                <c:pt idx="4">
                  <c:v>0.36280000000000001</c:v>
                </c:pt>
                <c:pt idx="5">
                  <c:v>0.46560000000000001</c:v>
                </c:pt>
                <c:pt idx="6">
                  <c:v>0.96970000000000001</c:v>
                </c:pt>
                <c:pt idx="7">
                  <c:v>1.4723999999999999</c:v>
                </c:pt>
                <c:pt idx="8">
                  <c:v>1.9802</c:v>
                </c:pt>
                <c:pt idx="9">
                  <c:v>2.4792999999999998</c:v>
                </c:pt>
                <c:pt idx="10">
                  <c:v>2.9834999999999998</c:v>
                </c:pt>
                <c:pt idx="11">
                  <c:v>3.9981</c:v>
                </c:pt>
                <c:pt idx="12">
                  <c:v>4.4980000000000002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A6-40C4-A749-FB337211C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142592"/>
        <c:axId val="1247143424"/>
      </c:scatterChart>
      <c:valAx>
        <c:axId val="124714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143424"/>
        <c:crosses val="autoZero"/>
        <c:crossBetween val="midCat"/>
      </c:valAx>
      <c:valAx>
        <c:axId val="124714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14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Vout_final (V) -- 1x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'AA filter comp experiments'!$E$58</c:f>
              <c:strCache>
                <c:ptCount val="1"/>
                <c:pt idx="0">
                  <c:v>Vout_final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4925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820062795888827"/>
                  <c:y val="6.902777777777777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1.0164x - 0.0239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'AA filter comp experiments'!$D$59:$D$71</c:f>
              <c:numCache>
                <c:formatCode>General</c:formatCode>
                <c:ptCount val="13"/>
                <c:pt idx="0">
                  <c:v>1.1000000000000001E-3</c:v>
                </c:pt>
                <c:pt idx="1">
                  <c:v>5.0999999999999997E-2</c:v>
                </c:pt>
                <c:pt idx="2">
                  <c:v>0.1008</c:v>
                </c:pt>
                <c:pt idx="3">
                  <c:v>0.15040000000000001</c:v>
                </c:pt>
                <c:pt idx="4">
                  <c:v>0.25</c:v>
                </c:pt>
                <c:pt idx="5">
                  <c:v>0.50060000000000004</c:v>
                </c:pt>
                <c:pt idx="6">
                  <c:v>0.749</c:v>
                </c:pt>
                <c:pt idx="7">
                  <c:v>0.998</c:v>
                </c:pt>
                <c:pt idx="8">
                  <c:v>1.496</c:v>
                </c:pt>
                <c:pt idx="9">
                  <c:v>1.9950000000000001</c:v>
                </c:pt>
                <c:pt idx="10">
                  <c:v>2.4940000000000002</c:v>
                </c:pt>
                <c:pt idx="11">
                  <c:v>2.992</c:v>
                </c:pt>
                <c:pt idx="12">
                  <c:v>4.49</c:v>
                </c:pt>
              </c:numCache>
            </c:numRef>
          </c:xVal>
          <c:yVal>
            <c:numRef>
              <c:f>'AA filter comp experiments'!$E$59:$E$71</c:f>
              <c:numCache>
                <c:formatCode>General</c:formatCode>
                <c:ptCount val="13"/>
                <c:pt idx="0">
                  <c:v>-2.4199999999999999E-2</c:v>
                </c:pt>
                <c:pt idx="1">
                  <c:v>2.81E-2</c:v>
                </c:pt>
                <c:pt idx="2">
                  <c:v>7.8899999999999998E-2</c:v>
                </c:pt>
                <c:pt idx="3">
                  <c:v>0.12939999999999999</c:v>
                </c:pt>
                <c:pt idx="4">
                  <c:v>0.2303</c:v>
                </c:pt>
                <c:pt idx="5">
                  <c:v>0.48420000000000002</c:v>
                </c:pt>
                <c:pt idx="6">
                  <c:v>0.73760000000000003</c:v>
                </c:pt>
                <c:pt idx="7">
                  <c:v>0.99050000000000005</c:v>
                </c:pt>
                <c:pt idx="8">
                  <c:v>1.4972000000000001</c:v>
                </c:pt>
                <c:pt idx="9">
                  <c:v>2.0041000000000002</c:v>
                </c:pt>
                <c:pt idx="10">
                  <c:v>2.5106999999999999</c:v>
                </c:pt>
                <c:pt idx="11">
                  <c:v>3.0182000000000002</c:v>
                </c:pt>
                <c:pt idx="12">
                  <c:v>4.5389999999999997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00-42F3-8712-5E68CB9E2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953792"/>
        <c:axId val="1246954624"/>
      </c:scatterChart>
      <c:valAx>
        <c:axId val="124695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954624"/>
        <c:crosses val="autoZero"/>
        <c:crossBetween val="midCat"/>
      </c:valAx>
      <c:valAx>
        <c:axId val="12469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95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Vout_final (V) -- 50x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'AA filter comp experiments'!$E$88</c:f>
              <c:strCache>
                <c:ptCount val="1"/>
                <c:pt idx="0">
                  <c:v>Vout_final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588932633420822"/>
                  <c:y val="-1.9783464566929133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49.632x - 0.2221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'AA filter comp experiments'!$D$89:$D$99</c:f>
              <c:numCache>
                <c:formatCode>General</c:formatCode>
                <c:ptCount val="11"/>
                <c:pt idx="0">
                  <c:v>6.9999999999999999E-4</c:v>
                </c:pt>
                <c:pt idx="1">
                  <c:v>1.01E-2</c:v>
                </c:pt>
                <c:pt idx="2">
                  <c:v>2.01E-2</c:v>
                </c:pt>
                <c:pt idx="3">
                  <c:v>3.0599999999999999E-2</c:v>
                </c:pt>
                <c:pt idx="4">
                  <c:v>4.07E-2</c:v>
                </c:pt>
                <c:pt idx="5">
                  <c:v>5.0700000000000002E-2</c:v>
                </c:pt>
                <c:pt idx="6">
                  <c:v>6.08E-2</c:v>
                </c:pt>
                <c:pt idx="7">
                  <c:v>7.0900000000000005E-2</c:v>
                </c:pt>
                <c:pt idx="8">
                  <c:v>8.0500000000000002E-2</c:v>
                </c:pt>
                <c:pt idx="9">
                  <c:v>9.0499999999999997E-2</c:v>
                </c:pt>
                <c:pt idx="10">
                  <c:v>0.10050000000000001</c:v>
                </c:pt>
              </c:numCache>
            </c:numRef>
          </c:xVal>
          <c:yVal>
            <c:numRef>
              <c:f>'AA filter comp experiments'!$E$89:$E$99</c:f>
              <c:numCache>
                <c:formatCode>General</c:formatCode>
                <c:ptCount val="11"/>
                <c:pt idx="0">
                  <c:v>-0.15989999999999999</c:v>
                </c:pt>
                <c:pt idx="1">
                  <c:v>0.26960000000000001</c:v>
                </c:pt>
                <c:pt idx="2">
                  <c:v>0.76949999999999996</c:v>
                </c:pt>
                <c:pt idx="3">
                  <c:v>1.2836000000000001</c:v>
                </c:pt>
                <c:pt idx="4">
                  <c:v>1.7894000000000001</c:v>
                </c:pt>
                <c:pt idx="5">
                  <c:v>2.2924000000000002</c:v>
                </c:pt>
                <c:pt idx="6">
                  <c:v>2.7955999999999999</c:v>
                </c:pt>
                <c:pt idx="7">
                  <c:v>3.2993000000000001</c:v>
                </c:pt>
                <c:pt idx="8">
                  <c:v>3.7745000000000002</c:v>
                </c:pt>
                <c:pt idx="9">
                  <c:v>4.2699999999999996</c:v>
                </c:pt>
                <c:pt idx="10">
                  <c:v>4.7729999999999997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BC-43B6-91CC-DEB280A42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424176"/>
        <c:axId val="1068423344"/>
      </c:scatterChart>
      <c:valAx>
        <c:axId val="106842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23344"/>
        <c:crosses val="autoZero"/>
        <c:crossBetween val="midCat"/>
      </c:valAx>
      <c:valAx>
        <c:axId val="10684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2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Vout_final (V) -- 100x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'AA filter comp experiments'!$E$101</c:f>
              <c:strCache>
                <c:ptCount val="1"/>
                <c:pt idx="0">
                  <c:v>Vout_final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899256342957132"/>
                  <c:y val="8.842592592592592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CA" sz="1400" baseline="0"/>
                      <a:t>y = 101.85x - 0.5254</a:t>
                    </a:r>
                    <a:endParaRPr lang="en-CA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'AA filter comp experiments'!$D$102:$D$107</c:f>
              <c:numCache>
                <c:formatCode>General</c:formatCode>
                <c:ptCount val="6"/>
                <c:pt idx="0">
                  <c:v>1.2999999999999999E-3</c:v>
                </c:pt>
                <c:pt idx="1">
                  <c:v>1.0699999999999999E-2</c:v>
                </c:pt>
                <c:pt idx="2">
                  <c:v>2.07E-2</c:v>
                </c:pt>
                <c:pt idx="3">
                  <c:v>3.09E-2</c:v>
                </c:pt>
                <c:pt idx="4">
                  <c:v>4.1000000000000002E-2</c:v>
                </c:pt>
                <c:pt idx="5">
                  <c:v>5.11E-2</c:v>
                </c:pt>
              </c:numCache>
            </c:numRef>
          </c:xVal>
          <c:yVal>
            <c:numRef>
              <c:f>'AA filter comp experiments'!$E$102:$E$107</c:f>
              <c:numCache>
                <c:formatCode>General</c:formatCode>
                <c:ptCount val="6"/>
                <c:pt idx="0">
                  <c:v>-0.39789999999999998</c:v>
                </c:pt>
                <c:pt idx="1">
                  <c:v>0.55640000000000001</c:v>
                </c:pt>
                <c:pt idx="2">
                  <c:v>1.5952999999999999</c:v>
                </c:pt>
                <c:pt idx="3">
                  <c:v>2.6301000000000001</c:v>
                </c:pt>
                <c:pt idx="4">
                  <c:v>3.6528999999999998</c:v>
                </c:pt>
                <c:pt idx="5">
                  <c:v>4.6689999999999996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E2-40A6-86B6-84B5527BD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430576"/>
        <c:axId val="1362429328"/>
      </c:scatterChart>
      <c:valAx>
        <c:axId val="136243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429328"/>
        <c:crosses val="autoZero"/>
        <c:crossBetween val="midCat"/>
      </c:valAx>
      <c:valAx>
        <c:axId val="13624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43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'AA filter mag response'!$I$6</c:f>
              <c:strCache>
                <c:ptCount val="1"/>
                <c:pt idx="0">
                  <c:v>Output / Input (V/V)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 filter mag response'!$C$7:$C$27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12000</c:v>
                </c:pt>
                <c:pt idx="11">
                  <c:v>15000</c:v>
                </c:pt>
                <c:pt idx="12">
                  <c:v>20000</c:v>
                </c:pt>
                <c:pt idx="13">
                  <c:v>22000</c:v>
                </c:pt>
                <c:pt idx="14">
                  <c:v>25000</c:v>
                </c:pt>
                <c:pt idx="15">
                  <c:v>30000</c:v>
                </c:pt>
                <c:pt idx="16">
                  <c:v>50000</c:v>
                </c:pt>
                <c:pt idx="17">
                  <c:v>75000</c:v>
                </c:pt>
                <c:pt idx="18">
                  <c:v>100000</c:v>
                </c:pt>
                <c:pt idx="19">
                  <c:v>150000</c:v>
                </c:pt>
                <c:pt idx="20">
                  <c:v>200000</c:v>
                </c:pt>
              </c:numCache>
            </c:numRef>
          </c:xVal>
          <c:yVal>
            <c:numRef>
              <c:f>'AA filter mag response'!$I$7:$I$27</c:f>
              <c:numCache>
                <c:formatCode>General</c:formatCode>
                <c:ptCount val="21"/>
                <c:pt idx="0">
                  <c:v>1.0588235294117647</c:v>
                </c:pt>
                <c:pt idx="1">
                  <c:v>1.0588235294117647</c:v>
                </c:pt>
                <c:pt idx="2">
                  <c:v>1.0588235294117647</c:v>
                </c:pt>
                <c:pt idx="3">
                  <c:v>1.0784313725490198</c:v>
                </c:pt>
                <c:pt idx="4">
                  <c:v>1.0784313725490198</c:v>
                </c:pt>
                <c:pt idx="5">
                  <c:v>1.0188679245283019</c:v>
                </c:pt>
                <c:pt idx="6">
                  <c:v>1.0188679245283019</c:v>
                </c:pt>
                <c:pt idx="7">
                  <c:v>1</c:v>
                </c:pt>
                <c:pt idx="8">
                  <c:v>1</c:v>
                </c:pt>
                <c:pt idx="9">
                  <c:v>0.96226415094339623</c:v>
                </c:pt>
                <c:pt idx="10">
                  <c:v>0.94339622641509424</c:v>
                </c:pt>
                <c:pt idx="11">
                  <c:v>0.90566037735849048</c:v>
                </c:pt>
                <c:pt idx="12">
                  <c:v>0.83018867924528295</c:v>
                </c:pt>
                <c:pt idx="13">
                  <c:v>0.79245283018867918</c:v>
                </c:pt>
                <c:pt idx="14">
                  <c:v>0.79245283018867918</c:v>
                </c:pt>
                <c:pt idx="15">
                  <c:v>0.64150943396226412</c:v>
                </c:pt>
                <c:pt idx="16">
                  <c:v>0.29629629629629628</c:v>
                </c:pt>
                <c:pt idx="17">
                  <c:v>6.3703703703703693E-2</c:v>
                </c:pt>
                <c:pt idx="18">
                  <c:v>1.5555555555555553E-2</c:v>
                </c:pt>
                <c:pt idx="19">
                  <c:v>2.4074074074074072E-3</c:v>
                </c:pt>
                <c:pt idx="20">
                  <c:v>1.1111111111111109E-3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99-40F6-AAAE-D3685CEE1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60735"/>
        <c:axId val="498789855"/>
      </c:scatterChart>
      <c:valAx>
        <c:axId val="498760735"/>
        <c:scaling>
          <c:logBase val="10"/>
          <c:orientation val="minMax"/>
          <c:max val="2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89855"/>
        <c:crosses val="autoZero"/>
        <c:crossBetween val="midCat"/>
      </c:valAx>
      <c:valAx>
        <c:axId val="49878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6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'AA filter mag response'!$J$6</c:f>
              <c:strCache>
                <c:ptCount val="1"/>
                <c:pt idx="0">
                  <c:v>Output / Input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 filter mag response'!$C$7:$C$27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12000</c:v>
                </c:pt>
                <c:pt idx="11">
                  <c:v>15000</c:v>
                </c:pt>
                <c:pt idx="12">
                  <c:v>20000</c:v>
                </c:pt>
                <c:pt idx="13">
                  <c:v>22000</c:v>
                </c:pt>
                <c:pt idx="14">
                  <c:v>25000</c:v>
                </c:pt>
                <c:pt idx="15">
                  <c:v>30000</c:v>
                </c:pt>
                <c:pt idx="16">
                  <c:v>50000</c:v>
                </c:pt>
                <c:pt idx="17">
                  <c:v>75000</c:v>
                </c:pt>
                <c:pt idx="18">
                  <c:v>100000</c:v>
                </c:pt>
                <c:pt idx="19">
                  <c:v>150000</c:v>
                </c:pt>
                <c:pt idx="20">
                  <c:v>200000</c:v>
                </c:pt>
              </c:numCache>
            </c:numRef>
          </c:xVal>
          <c:yVal>
            <c:numRef>
              <c:f>'AA filter mag response'!$J$7:$J$27</c:f>
              <c:numCache>
                <c:formatCode>General</c:formatCode>
                <c:ptCount val="21"/>
                <c:pt idx="0">
                  <c:v>0.49647167450064289</c:v>
                </c:pt>
                <c:pt idx="1">
                  <c:v>0.49647167450064289</c:v>
                </c:pt>
                <c:pt idx="2">
                  <c:v>0.49647167450064289</c:v>
                </c:pt>
                <c:pt idx="3">
                  <c:v>0.65585026792615086</c:v>
                </c:pt>
                <c:pt idx="4">
                  <c:v>0.65585026792615086</c:v>
                </c:pt>
                <c:pt idx="5">
                  <c:v>0.16235780444358919</c:v>
                </c:pt>
                <c:pt idx="6">
                  <c:v>0.16235780444358919</c:v>
                </c:pt>
                <c:pt idx="7">
                  <c:v>0</c:v>
                </c:pt>
                <c:pt idx="8">
                  <c:v>0</c:v>
                </c:pt>
                <c:pt idx="9">
                  <c:v>-0.33411387005705351</c:v>
                </c:pt>
                <c:pt idx="10">
                  <c:v>-0.50611730529540577</c:v>
                </c:pt>
                <c:pt idx="11">
                  <c:v>-0.86069264450403737</c:v>
                </c:pt>
                <c:pt idx="12">
                  <c:v>-1.6164638622920329</c:v>
                </c:pt>
                <c:pt idx="13">
                  <c:v>-2.0205315840577724</c:v>
                </c:pt>
                <c:pt idx="14">
                  <c:v>-2.0205315840577724</c:v>
                </c:pt>
                <c:pt idx="15">
                  <c:v>-3.8559390511706786</c:v>
                </c:pt>
                <c:pt idx="16">
                  <c:v>-10.565475543340874</c:v>
                </c:pt>
                <c:pt idx="17">
                  <c:v>-23.916706345028768</c:v>
                </c:pt>
                <c:pt idx="18">
                  <c:v>-36.162289475221733</c:v>
                </c:pt>
                <c:pt idx="19">
                  <c:v>-52.369008150322635</c:v>
                </c:pt>
                <c:pt idx="20">
                  <c:v>-59.084850188786497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D5-48DB-83CE-1DBE38EFB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40831"/>
        <c:axId val="159359135"/>
      </c:scatterChart>
      <c:valAx>
        <c:axId val="159340831"/>
        <c:scaling>
          <c:logBase val="10"/>
          <c:orientation val="minMax"/>
          <c:max val="2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59135"/>
        <c:crosses val="autoZero"/>
        <c:crossBetween val="midCat"/>
      </c:valAx>
      <c:valAx>
        <c:axId val="15935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329227</xdr:colOff>
      <xdr:row>12</xdr:row>
      <xdr:rowOff>7432</xdr:rowOff>
    </xdr:from>
    <xdr:to>
      <xdr:col>9</xdr:col>
      <xdr:colOff>314098</xdr:colOff>
      <xdr:row>32</xdr:row>
      <xdr:rowOff>36266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45F577-E0FD-5440-C9BD-EF76E26DD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6845" y="2248608"/>
          <a:ext cx="2539812" cy="3659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1095035</xdr:colOff>
      <xdr:row>133</xdr:row>
      <xdr:rowOff>166311</xdr:rowOff>
    </xdr:from>
    <xdr:to>
      <xdr:col>8</xdr:col>
      <xdr:colOff>832555</xdr:colOff>
      <xdr:row>155</xdr:row>
      <xdr:rowOff>42333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1217DA-3168-4E48-8F99-0741DEDFD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84968</xdr:colOff>
      <xdr:row>133</xdr:row>
      <xdr:rowOff>174205</xdr:rowOff>
    </xdr:from>
    <xdr:to>
      <xdr:col>3</xdr:col>
      <xdr:colOff>832556</xdr:colOff>
      <xdr:row>155</xdr:row>
      <xdr:rowOff>70555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B569A3-40F0-488C-9AD5-2C11400BC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85988</xdr:colOff>
      <xdr:row>156</xdr:row>
      <xdr:rowOff>64877</xdr:rowOff>
    </xdr:from>
    <xdr:to>
      <xdr:col>3</xdr:col>
      <xdr:colOff>832556</xdr:colOff>
      <xdr:row>177</xdr:row>
      <xdr:rowOff>84667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27E91C-22A9-46A8-AFCC-3FEFC01F1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1100666</xdr:colOff>
      <xdr:row>156</xdr:row>
      <xdr:rowOff>73348</xdr:rowOff>
    </xdr:from>
    <xdr:to>
      <xdr:col>8</xdr:col>
      <xdr:colOff>832554</xdr:colOff>
      <xdr:row>177</xdr:row>
      <xdr:rowOff>56444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28C617-EA4E-4BBF-B844-C674CDC27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421395</xdr:colOff>
      <xdr:row>29</xdr:row>
      <xdr:rowOff>94560</xdr:rowOff>
    </xdr:from>
    <xdr:to>
      <xdr:col>5</xdr:col>
      <xdr:colOff>605928</xdr:colOff>
      <xdr:row>44</xdr:row>
      <xdr:rowOff>148348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CAB0E-939C-F76C-DEC8-DC3E63DF9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759460</xdr:colOff>
      <xdr:row>29</xdr:row>
      <xdr:rowOff>122751</xdr:rowOff>
    </xdr:from>
    <xdr:to>
      <xdr:col>11</xdr:col>
      <xdr:colOff>523300</xdr:colOff>
      <xdr:row>44</xdr:row>
      <xdr:rowOff>176539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99B542-D2F5-89EC-1154-E97F5925B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5D28-1794-4B05-844D-C41C46B39434}">
  <dimension ref="A1:D33"/>
  <sheetViews>
    <sheetView topLeftCell="A4" zoomScaleNormal="100" zoomScalePageLayoutView="83" workbookViewId="0">
      <selection activeCell="A33" sqref="A33"/>
    </sheetView>
  </sheetViews>
  <sheetFormatPr defaultRowHeight="14.4" x14ac:dyDescent="0.3"/>
  <cols>
    <col min="2" max="2" width="12.6640625" bestFit="1" customWidth="1"/>
    <col min="3" max="3" width="19.77734375" bestFit="1" customWidth="1"/>
    <col min="4" max="4" width="28.88671875" bestFit="1" customWidth="1"/>
  </cols>
  <sheetData>
    <row r="1" spans="1:4" ht="21" x14ac:dyDescent="0.4">
      <c r="A1" s="34" t="s">
        <v>142</v>
      </c>
    </row>
    <row r="3" spans="1:4" x14ac:dyDescent="0.3">
      <c r="A3" s="2" t="s">
        <v>139</v>
      </c>
    </row>
    <row r="4" spans="1:4" x14ac:dyDescent="0.3">
      <c r="A4" s="33" t="s">
        <v>140</v>
      </c>
      <c r="B4" s="33" t="s">
        <v>141</v>
      </c>
    </row>
    <row r="5" spans="1:4" x14ac:dyDescent="0.3">
      <c r="A5" s="1" t="s">
        <v>1</v>
      </c>
      <c r="B5">
        <v>14.885</v>
      </c>
    </row>
    <row r="6" spans="1:4" x14ac:dyDescent="0.3">
      <c r="A6" s="1" t="s">
        <v>2</v>
      </c>
      <c r="B6">
        <v>-14.532999999999999</v>
      </c>
    </row>
    <row r="7" spans="1:4" x14ac:dyDescent="0.3">
      <c r="A7" s="1" t="s">
        <v>3</v>
      </c>
      <c r="B7">
        <v>11.909000000000001</v>
      </c>
    </row>
    <row r="8" spans="1:4" x14ac:dyDescent="0.3">
      <c r="A8" s="1" t="s">
        <v>4</v>
      </c>
      <c r="B8" s="3">
        <v>-12.27</v>
      </c>
    </row>
    <row r="9" spans="1:4" x14ac:dyDescent="0.3">
      <c r="A9" s="1" t="s">
        <v>5</v>
      </c>
      <c r="B9">
        <v>5.0659999999999998</v>
      </c>
    </row>
    <row r="10" spans="1:4" x14ac:dyDescent="0.3">
      <c r="A10" s="1" t="s">
        <v>6</v>
      </c>
      <c r="B10">
        <v>3.3189000000000002</v>
      </c>
    </row>
    <row r="11" spans="1:4" x14ac:dyDescent="0.3">
      <c r="A11" s="1" t="s">
        <v>7</v>
      </c>
      <c r="B11">
        <v>4.9790000000000001</v>
      </c>
    </row>
    <row r="12" spans="1:4" x14ac:dyDescent="0.3">
      <c r="A12" s="1" t="s">
        <v>8</v>
      </c>
      <c r="B12">
        <v>1.8027</v>
      </c>
    </row>
    <row r="15" spans="1:4" x14ac:dyDescent="0.3">
      <c r="A15" s="2" t="s">
        <v>182</v>
      </c>
    </row>
    <row r="16" spans="1:4" x14ac:dyDescent="0.3">
      <c r="A16" s="33" t="s">
        <v>16</v>
      </c>
      <c r="B16" s="33" t="s">
        <v>144</v>
      </c>
      <c r="C16" s="33" t="s">
        <v>145</v>
      </c>
      <c r="D16" s="33" t="s">
        <v>146</v>
      </c>
    </row>
    <row r="17" spans="1:4" x14ac:dyDescent="0.3">
      <c r="A17" s="1" t="s">
        <v>1</v>
      </c>
      <c r="B17" s="4">
        <v>224</v>
      </c>
      <c r="C17">
        <v>20.41</v>
      </c>
      <c r="D17">
        <v>25</v>
      </c>
    </row>
    <row r="18" spans="1:4" x14ac:dyDescent="0.3">
      <c r="A18" s="1" t="s">
        <v>2</v>
      </c>
      <c r="B18" s="4">
        <v>188</v>
      </c>
      <c r="C18">
        <v>25</v>
      </c>
      <c r="D18" t="s">
        <v>17</v>
      </c>
    </row>
    <row r="19" spans="1:4" x14ac:dyDescent="0.3">
      <c r="A19" s="1" t="s">
        <v>3</v>
      </c>
      <c r="B19" s="4">
        <v>21.4</v>
      </c>
      <c r="C19" t="s">
        <v>18</v>
      </c>
      <c r="D19">
        <v>28</v>
      </c>
    </row>
    <row r="20" spans="1:4" x14ac:dyDescent="0.3">
      <c r="A20" s="1" t="s">
        <v>4</v>
      </c>
      <c r="B20" s="4">
        <v>12.8</v>
      </c>
      <c r="C20">
        <v>25</v>
      </c>
      <c r="D20">
        <v>29</v>
      </c>
    </row>
    <row r="21" spans="1:4" x14ac:dyDescent="0.3">
      <c r="A21" s="1" t="s">
        <v>7</v>
      </c>
      <c r="B21" s="4">
        <v>12</v>
      </c>
      <c r="C21" t="s">
        <v>18</v>
      </c>
      <c r="D21">
        <v>31</v>
      </c>
    </row>
    <row r="22" spans="1:4" x14ac:dyDescent="0.3">
      <c r="A22" s="1" t="s">
        <v>8</v>
      </c>
      <c r="B22" s="4">
        <v>10.199999999999999</v>
      </c>
      <c r="C22" t="s">
        <v>18</v>
      </c>
      <c r="D22">
        <v>30</v>
      </c>
    </row>
    <row r="25" spans="1:4" x14ac:dyDescent="0.3">
      <c r="A25" s="2" t="s">
        <v>143</v>
      </c>
    </row>
    <row r="26" spans="1:4" x14ac:dyDescent="0.3">
      <c r="A26" t="s">
        <v>9</v>
      </c>
    </row>
    <row r="27" spans="1:4" x14ac:dyDescent="0.3">
      <c r="A27" t="s">
        <v>10</v>
      </c>
    </row>
    <row r="28" spans="1:4" x14ac:dyDescent="0.3">
      <c r="A28" t="s">
        <v>11</v>
      </c>
    </row>
    <row r="29" spans="1:4" x14ac:dyDescent="0.3">
      <c r="A29" t="s">
        <v>12</v>
      </c>
    </row>
    <row r="30" spans="1:4" x14ac:dyDescent="0.3">
      <c r="A30" t="s">
        <v>13</v>
      </c>
    </row>
    <row r="31" spans="1:4" x14ac:dyDescent="0.3">
      <c r="A31" t="s">
        <v>14</v>
      </c>
    </row>
    <row r="32" spans="1:4" x14ac:dyDescent="0.3">
      <c r="A32" t="s">
        <v>15</v>
      </c>
    </row>
    <row r="33" spans="1:1" x14ac:dyDescent="0.3">
      <c r="A33" t="s">
        <v>19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A28D4-CBC6-46E5-BF8A-151B6CCFCF91}">
  <dimension ref="A1:E31"/>
  <sheetViews>
    <sheetView zoomScale="85" zoomScaleNormal="85" zoomScalePageLayoutView="67" workbookViewId="0">
      <selection activeCell="E22" sqref="E22"/>
    </sheetView>
  </sheetViews>
  <sheetFormatPr defaultRowHeight="14.4" x14ac:dyDescent="0.3"/>
  <cols>
    <col min="1" max="1" width="28.77734375" customWidth="1"/>
    <col min="2" max="2" width="21.6640625" bestFit="1" customWidth="1"/>
    <col min="3" max="3" width="24.6640625" customWidth="1"/>
    <col min="4" max="4" width="18.88671875" customWidth="1"/>
    <col min="5" max="5" width="18.77734375" bestFit="1" customWidth="1"/>
  </cols>
  <sheetData>
    <row r="1" spans="1:5" ht="21" x14ac:dyDescent="0.4">
      <c r="A1" s="34" t="s">
        <v>148</v>
      </c>
    </row>
    <row r="3" spans="1:5" x14ac:dyDescent="0.3">
      <c r="A3" s="7" t="s">
        <v>25</v>
      </c>
      <c r="B3" s="7" t="s">
        <v>21</v>
      </c>
      <c r="C3" s="7" t="s">
        <v>22</v>
      </c>
      <c r="D3" s="7" t="s">
        <v>23</v>
      </c>
      <c r="E3" s="7" t="s">
        <v>24</v>
      </c>
    </row>
    <row r="4" spans="1:5" x14ac:dyDescent="0.3">
      <c r="A4" s="5">
        <v>27.1</v>
      </c>
      <c r="B4" s="5">
        <v>2.8299999999999999E-2</v>
      </c>
      <c r="C4" s="5">
        <v>2.5590000000000002E-2</v>
      </c>
      <c r="D4" s="6">
        <f>B4/A4*1000</f>
        <v>1.0442804428044279</v>
      </c>
      <c r="E4" s="6">
        <f>C4/A4*1000</f>
        <v>0.94428044280442802</v>
      </c>
    </row>
    <row r="5" spans="1:5" x14ac:dyDescent="0.3">
      <c r="A5" s="5">
        <v>27.1</v>
      </c>
      <c r="B5" s="5">
        <v>0.27460000000000001</v>
      </c>
      <c r="C5" s="5">
        <v>0.26571</v>
      </c>
      <c r="D5" s="6">
        <f>B5/A5*1000</f>
        <v>10.132841328413285</v>
      </c>
      <c r="E5" s="6">
        <f>C5/A5*1000</f>
        <v>9.804797047970478</v>
      </c>
    </row>
    <row r="6" spans="1:5" x14ac:dyDescent="0.3">
      <c r="A6" s="5">
        <v>27.1</v>
      </c>
      <c r="B6" s="5">
        <v>1.3509</v>
      </c>
      <c r="C6" s="5">
        <v>1.33066</v>
      </c>
      <c r="D6" s="6">
        <f>B6/A6*1000</f>
        <v>49.84870848708487</v>
      </c>
      <c r="E6" s="6">
        <f>C6/A6*1000</f>
        <v>49.101845018450177</v>
      </c>
    </row>
    <row r="7" spans="1:5" x14ac:dyDescent="0.3">
      <c r="A7" s="5">
        <v>27.1</v>
      </c>
      <c r="B7" s="5">
        <v>2.7422</v>
      </c>
      <c r="C7" s="5">
        <v>2.70696</v>
      </c>
      <c r="D7" s="6">
        <f>B7/A7*1000</f>
        <v>101.18819188191881</v>
      </c>
      <c r="E7" s="6">
        <f>C7/A7*1000</f>
        <v>99.887822878228789</v>
      </c>
    </row>
    <row r="8" spans="1:5" x14ac:dyDescent="0.3">
      <c r="A8" s="5"/>
    </row>
    <row r="9" spans="1:5" x14ac:dyDescent="0.3">
      <c r="A9" s="5">
        <v>37.200000000000003</v>
      </c>
      <c r="B9" s="5">
        <v>3.85E-2</v>
      </c>
      <c r="C9" s="5">
        <v>3.5036999999999999E-2</v>
      </c>
      <c r="D9" s="6">
        <f>B9/A9*1000</f>
        <v>1.0349462365591395</v>
      </c>
      <c r="E9" s="6">
        <f>C9/A9*1000</f>
        <v>0.94185483870967734</v>
      </c>
    </row>
    <row r="10" spans="1:5" x14ac:dyDescent="0.3">
      <c r="A10" s="5">
        <v>37.200000000000003</v>
      </c>
      <c r="B10" s="5">
        <v>0.37709999999999999</v>
      </c>
      <c r="C10" s="5">
        <v>0.37025000000000002</v>
      </c>
      <c r="D10" s="6">
        <f>B10/A10*1000</f>
        <v>10.137096774193548</v>
      </c>
      <c r="E10" s="6">
        <f>C10/A10*1000</f>
        <v>9.952956989247312</v>
      </c>
    </row>
    <row r="11" spans="1:5" x14ac:dyDescent="0.3">
      <c r="A11" s="5">
        <v>37.200000000000003</v>
      </c>
      <c r="B11" s="5">
        <v>1.8554999999999999</v>
      </c>
      <c r="C11" s="5">
        <v>1.851</v>
      </c>
      <c r="D11" s="6">
        <f>B11/A11*1000</f>
        <v>49.879032258064512</v>
      </c>
      <c r="E11" s="6">
        <f>C11/A11*1000</f>
        <v>49.758064516129025</v>
      </c>
    </row>
    <row r="12" spans="1:5" x14ac:dyDescent="0.3">
      <c r="A12" s="5">
        <v>37.200000000000003</v>
      </c>
      <c r="B12" s="5">
        <v>3.7707999999999999</v>
      </c>
      <c r="C12" s="5">
        <v>3.7693400000000001</v>
      </c>
      <c r="D12" s="6">
        <f>B12/A12*1000</f>
        <v>101.36559139784946</v>
      </c>
      <c r="E12" s="6">
        <f>C12/A12*1000</f>
        <v>101.32634408602151</v>
      </c>
    </row>
    <row r="14" spans="1:5" x14ac:dyDescent="0.3">
      <c r="A14" t="s">
        <v>27</v>
      </c>
      <c r="B14" t="s">
        <v>26</v>
      </c>
    </row>
    <row r="15" spans="1:5" x14ac:dyDescent="0.3">
      <c r="A15" t="s">
        <v>28</v>
      </c>
      <c r="B15" t="s">
        <v>147</v>
      </c>
    </row>
    <row r="17" spans="1:3" x14ac:dyDescent="0.3">
      <c r="A17" s="33" t="s">
        <v>155</v>
      </c>
      <c r="B17" s="33" t="s">
        <v>93</v>
      </c>
      <c r="C17" s="33" t="s">
        <v>92</v>
      </c>
    </row>
    <row r="18" spans="1:3" x14ac:dyDescent="0.3">
      <c r="A18" t="s">
        <v>88</v>
      </c>
      <c r="B18">
        <f>(B9-B4)/(A9-A4)*1000</f>
        <v>1.0099009900990099</v>
      </c>
      <c r="C18">
        <f>(B4-B18*A4/1000)*1000</f>
        <v>0.93168316831682829</v>
      </c>
    </row>
    <row r="19" spans="1:3" x14ac:dyDescent="0.3">
      <c r="A19" t="s">
        <v>89</v>
      </c>
      <c r="B19">
        <f>(B10-B5)/(A10-A5)*1000</f>
        <v>10.148514851485146</v>
      </c>
      <c r="C19">
        <f>(B5-B19*A5/1000)*1000</f>
        <v>-0.42475247524742521</v>
      </c>
    </row>
    <row r="20" spans="1:3" x14ac:dyDescent="0.3">
      <c r="A20" t="s">
        <v>90</v>
      </c>
      <c r="B20">
        <f>(B11-B6)/(A11-A6)*1000</f>
        <v>49.96039603960395</v>
      </c>
      <c r="C20">
        <f>(B6-B20*A6/1000)*1000</f>
        <v>-3.0267326732669186</v>
      </c>
    </row>
    <row r="21" spans="1:3" x14ac:dyDescent="0.3">
      <c r="A21" t="s">
        <v>91</v>
      </c>
      <c r="B21">
        <f>(B12-B7)/(A12-A7)*1000</f>
        <v>101.84158415841583</v>
      </c>
      <c r="C21">
        <f>(B7-B21*A7/1000)*1000</f>
        <v>-17.706930693069278</v>
      </c>
    </row>
    <row r="24" spans="1:3" x14ac:dyDescent="0.3">
      <c r="A24" s="2" t="s">
        <v>20</v>
      </c>
    </row>
    <row r="25" spans="1:3" x14ac:dyDescent="0.3">
      <c r="A25" t="s">
        <v>149</v>
      </c>
    </row>
    <row r="26" spans="1:3" x14ac:dyDescent="0.3">
      <c r="A26" t="s">
        <v>150</v>
      </c>
    </row>
    <row r="27" spans="1:3" x14ac:dyDescent="0.3">
      <c r="A27" t="s">
        <v>151</v>
      </c>
    </row>
    <row r="28" spans="1:3" x14ac:dyDescent="0.3">
      <c r="A28" t="s">
        <v>152</v>
      </c>
    </row>
    <row r="29" spans="1:3" x14ac:dyDescent="0.3">
      <c r="A29" t="s">
        <v>153</v>
      </c>
    </row>
    <row r="31" spans="1:3" x14ac:dyDescent="0.3">
      <c r="A31" t="s">
        <v>154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A3597-F22F-491D-91B0-A797DF7E6B00}">
  <dimension ref="A1:E31"/>
  <sheetViews>
    <sheetView topLeftCell="A6" zoomScale="98" zoomScaleNormal="111" zoomScalePageLayoutView="68" workbookViewId="0">
      <selection activeCell="A26" sqref="A26"/>
    </sheetView>
  </sheetViews>
  <sheetFormatPr defaultRowHeight="14.4" x14ac:dyDescent="0.3"/>
  <cols>
    <col min="1" max="1" width="39.21875" customWidth="1"/>
  </cols>
  <sheetData>
    <row r="1" spans="1:5" ht="21" x14ac:dyDescent="0.4">
      <c r="A1" s="34" t="s">
        <v>159</v>
      </c>
    </row>
    <row r="3" spans="1:5" x14ac:dyDescent="0.3">
      <c r="A3" s="11" t="s">
        <v>0</v>
      </c>
      <c r="B3" s="13"/>
      <c r="C3" s="13"/>
      <c r="D3" s="13"/>
      <c r="E3" s="13"/>
    </row>
    <row r="4" spans="1:5" x14ac:dyDescent="0.3">
      <c r="A4" s="2" t="s">
        <v>156</v>
      </c>
    </row>
    <row r="5" spans="1:5" x14ac:dyDescent="0.3">
      <c r="A5" t="s">
        <v>29</v>
      </c>
      <c r="B5">
        <v>191</v>
      </c>
      <c r="C5" t="s">
        <v>33</v>
      </c>
    </row>
    <row r="6" spans="1:5" x14ac:dyDescent="0.3">
      <c r="A6" t="s">
        <v>30</v>
      </c>
      <c r="B6">
        <v>191</v>
      </c>
      <c r="C6" t="s">
        <v>33</v>
      </c>
    </row>
    <row r="7" spans="1:5" x14ac:dyDescent="0.3">
      <c r="A7" t="s">
        <v>31</v>
      </c>
      <c r="B7" t="s">
        <v>18</v>
      </c>
      <c r="C7" t="s">
        <v>38</v>
      </c>
    </row>
    <row r="9" spans="1:5" x14ac:dyDescent="0.3">
      <c r="A9" s="2" t="s">
        <v>32</v>
      </c>
    </row>
    <row r="10" spans="1:5" x14ac:dyDescent="0.3">
      <c r="A10" t="s">
        <v>29</v>
      </c>
      <c r="B10">
        <v>1.994</v>
      </c>
      <c r="C10" t="s">
        <v>33</v>
      </c>
    </row>
    <row r="11" spans="1:5" x14ac:dyDescent="0.3">
      <c r="A11" t="s">
        <v>30</v>
      </c>
      <c r="B11">
        <v>1.994</v>
      </c>
      <c r="C11" t="s">
        <v>33</v>
      </c>
    </row>
    <row r="12" spans="1:5" x14ac:dyDescent="0.3">
      <c r="A12" t="s">
        <v>31</v>
      </c>
      <c r="B12">
        <v>2.9049999999999998</v>
      </c>
      <c r="C12" t="s">
        <v>33</v>
      </c>
    </row>
    <row r="13" spans="1:5" x14ac:dyDescent="0.3">
      <c r="A13" t="s">
        <v>34</v>
      </c>
      <c r="B13">
        <v>3.032</v>
      </c>
      <c r="C13" t="s">
        <v>33</v>
      </c>
    </row>
    <row r="14" spans="1:5" x14ac:dyDescent="0.3">
      <c r="A14" t="s">
        <v>35</v>
      </c>
      <c r="B14">
        <f>B13/B12</f>
        <v>1.0437177280550776</v>
      </c>
      <c r="C14" t="s">
        <v>36</v>
      </c>
    </row>
    <row r="16" spans="1:5" x14ac:dyDescent="0.3">
      <c r="A16" t="s">
        <v>157</v>
      </c>
    </row>
    <row r="19" spans="1:5" x14ac:dyDescent="0.3">
      <c r="A19" t="s">
        <v>158</v>
      </c>
    </row>
    <row r="20" spans="1:5" x14ac:dyDescent="0.3">
      <c r="A20" s="11" t="s">
        <v>40</v>
      </c>
      <c r="B20" s="11" t="s">
        <v>41</v>
      </c>
      <c r="C20" s="11" t="s">
        <v>42</v>
      </c>
      <c r="D20" s="11" t="s">
        <v>43</v>
      </c>
      <c r="E20" s="11" t="s">
        <v>44</v>
      </c>
    </row>
    <row r="21" spans="1:5" x14ac:dyDescent="0.3">
      <c r="A21" t="s">
        <v>39</v>
      </c>
      <c r="B21">
        <v>10</v>
      </c>
      <c r="C21">
        <v>100</v>
      </c>
      <c r="D21">
        <v>500</v>
      </c>
      <c r="E21" t="s">
        <v>45</v>
      </c>
    </row>
    <row r="22" spans="1:5" x14ac:dyDescent="0.3">
      <c r="A22" t="s">
        <v>46</v>
      </c>
      <c r="B22">
        <f>2*40</f>
        <v>80</v>
      </c>
      <c r="C22">
        <f>2*50</f>
        <v>100</v>
      </c>
      <c r="D22">
        <f>2*125</f>
        <v>250</v>
      </c>
      <c r="E22" t="s">
        <v>47</v>
      </c>
    </row>
    <row r="23" spans="1:5" x14ac:dyDescent="0.3">
      <c r="A23" t="s">
        <v>48</v>
      </c>
      <c r="B23">
        <f>(1-0.1%)*C23</f>
        <v>4525.47</v>
      </c>
      <c r="C23">
        <v>4530</v>
      </c>
      <c r="D23">
        <f>(1+0.1%)*C23</f>
        <v>4534.53</v>
      </c>
      <c r="E23" t="s">
        <v>47</v>
      </c>
    </row>
    <row r="24" spans="1:5" ht="15" thickBot="1" x14ac:dyDescent="0.35">
      <c r="A24" t="s">
        <v>50</v>
      </c>
      <c r="B24">
        <f>(1-1%)*C24</f>
        <v>990000</v>
      </c>
      <c r="C24">
        <v>1000000</v>
      </c>
      <c r="D24">
        <f>(1+1%)*C24</f>
        <v>1010000</v>
      </c>
      <c r="E24" t="s">
        <v>47</v>
      </c>
    </row>
    <row r="25" spans="1:5" ht="15" thickBot="1" x14ac:dyDescent="0.35">
      <c r="A25" t="s">
        <v>49</v>
      </c>
      <c r="B25" s="8">
        <f>(B24+B23+B22)*B21/1000000</f>
        <v>9.9460546999999995</v>
      </c>
      <c r="C25" s="9">
        <f>(C24+C23+C22)*C21/1000000</f>
        <v>100.46299999999999</v>
      </c>
      <c r="D25" s="9">
        <f>(D24+D23+D22)*D21/1000000</f>
        <v>507.39226500000001</v>
      </c>
      <c r="E25" s="10" t="s">
        <v>33</v>
      </c>
    </row>
    <row r="27" spans="1:5" x14ac:dyDescent="0.3">
      <c r="A27" t="s">
        <v>39</v>
      </c>
      <c r="B27">
        <v>10</v>
      </c>
      <c r="C27">
        <v>100</v>
      </c>
      <c r="D27">
        <v>500</v>
      </c>
      <c r="E27" t="s">
        <v>45</v>
      </c>
    </row>
    <row r="28" spans="1:5" x14ac:dyDescent="0.3">
      <c r="A28" t="s">
        <v>46</v>
      </c>
      <c r="B28">
        <f>2*40</f>
        <v>80</v>
      </c>
      <c r="C28">
        <f>2*50</f>
        <v>100</v>
      </c>
      <c r="D28">
        <f>2*125</f>
        <v>250</v>
      </c>
      <c r="E28" t="s">
        <v>47</v>
      </c>
    </row>
    <row r="29" spans="1:5" x14ac:dyDescent="0.3">
      <c r="A29" t="s">
        <v>48</v>
      </c>
      <c r="B29">
        <f>(1-0.1%)*C29</f>
        <v>4525.47</v>
      </c>
      <c r="C29">
        <v>4530</v>
      </c>
      <c r="D29">
        <f>(1+0.1%)*C29</f>
        <v>4534.53</v>
      </c>
      <c r="E29" t="s">
        <v>47</v>
      </c>
    </row>
    <row r="30" spans="1:5" ht="15" thickBot="1" x14ac:dyDescent="0.35">
      <c r="A30" t="s">
        <v>50</v>
      </c>
      <c r="B30">
        <f>(1-1%)*C30</f>
        <v>9900</v>
      </c>
      <c r="C30">
        <v>10000</v>
      </c>
      <c r="D30">
        <f>(1+1%)*C30</f>
        <v>10100</v>
      </c>
      <c r="E30" t="s">
        <v>47</v>
      </c>
    </row>
    <row r="31" spans="1:5" ht="15" thickBot="1" x14ac:dyDescent="0.35">
      <c r="A31" t="s">
        <v>49</v>
      </c>
      <c r="B31" s="8">
        <f>(B30+B29+B28)*B27/1000000</f>
        <v>0.14505470000000001</v>
      </c>
      <c r="C31" s="9">
        <f>(C30+C29+C28)*C27/1000000</f>
        <v>1.4630000000000001</v>
      </c>
      <c r="D31" s="9">
        <f>(D30+D29+D28)*D27/1000000</f>
        <v>7.442264999999999</v>
      </c>
      <c r="E31" s="10" t="s">
        <v>33</v>
      </c>
    </row>
  </sheetData>
  <pageMargins left="0.7" right="0.7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666E9-2125-403F-A1F7-D59C50427D35}">
  <dimension ref="A1:F64"/>
  <sheetViews>
    <sheetView topLeftCell="A12" zoomScale="76" zoomScaleNormal="76" zoomScalePageLayoutView="50" workbookViewId="0">
      <selection activeCell="A12" sqref="A12"/>
    </sheetView>
  </sheetViews>
  <sheetFormatPr defaultRowHeight="14.4" x14ac:dyDescent="0.3"/>
  <cols>
    <col min="1" max="1" width="42.33203125" customWidth="1"/>
    <col min="2" max="2" width="13.33203125" bestFit="1" customWidth="1"/>
    <col min="3" max="3" width="7.33203125" bestFit="1" customWidth="1"/>
    <col min="4" max="5" width="8.6640625" bestFit="1" customWidth="1"/>
    <col min="6" max="6" width="7.77734375" bestFit="1" customWidth="1"/>
    <col min="7" max="7" width="4.5546875" customWidth="1"/>
    <col min="8" max="8" width="3.77734375" customWidth="1"/>
    <col min="9" max="9" width="38.33203125" customWidth="1"/>
  </cols>
  <sheetData>
    <row r="1" spans="1:6" ht="21" x14ac:dyDescent="0.4">
      <c r="A1" s="34" t="s">
        <v>165</v>
      </c>
    </row>
    <row r="2" spans="1:6" x14ac:dyDescent="0.3">
      <c r="A2" s="11" t="s">
        <v>40</v>
      </c>
      <c r="B2" s="11" t="s">
        <v>54</v>
      </c>
      <c r="C2" s="11" t="s">
        <v>41</v>
      </c>
      <c r="D2" s="11" t="s">
        <v>42</v>
      </c>
      <c r="E2" s="11" t="s">
        <v>43</v>
      </c>
      <c r="F2" s="11" t="s">
        <v>44</v>
      </c>
    </row>
    <row r="3" spans="1:6" x14ac:dyDescent="0.3">
      <c r="A3" s="2" t="s">
        <v>51</v>
      </c>
      <c r="C3" s="3"/>
      <c r="D3" s="3"/>
      <c r="E3" s="3"/>
    </row>
    <row r="4" spans="1:6" x14ac:dyDescent="0.3">
      <c r="A4" t="s">
        <v>58</v>
      </c>
      <c r="C4" s="3">
        <v>0</v>
      </c>
      <c r="D4" s="3">
        <v>0</v>
      </c>
      <c r="E4" s="3">
        <v>0</v>
      </c>
      <c r="F4" t="s">
        <v>37</v>
      </c>
    </row>
    <row r="5" spans="1:6" x14ac:dyDescent="0.3">
      <c r="A5" t="s">
        <v>39</v>
      </c>
      <c r="C5" s="3">
        <v>10</v>
      </c>
      <c r="D5" s="3">
        <v>200</v>
      </c>
      <c r="E5" s="3">
        <v>500</v>
      </c>
      <c r="F5" t="s">
        <v>45</v>
      </c>
    </row>
    <row r="6" spans="1:6" x14ac:dyDescent="0.3">
      <c r="A6" t="s">
        <v>52</v>
      </c>
      <c r="B6" s="12">
        <v>1E-3</v>
      </c>
      <c r="C6" s="3">
        <f>(1-B6)*D6</f>
        <v>1.68831</v>
      </c>
      <c r="D6" s="3">
        <v>1.69</v>
      </c>
      <c r="E6" s="3">
        <f>(1+B6)*D6</f>
        <v>1.6916899999999997</v>
      </c>
      <c r="F6" t="s">
        <v>55</v>
      </c>
    </row>
    <row r="7" spans="1:6" x14ac:dyDescent="0.3">
      <c r="A7" t="s">
        <v>53</v>
      </c>
      <c r="B7" s="12">
        <v>1E-3</v>
      </c>
      <c r="C7" s="3">
        <f>(1-B7)*D7</f>
        <v>63.336599999999997</v>
      </c>
      <c r="D7" s="3">
        <v>63.4</v>
      </c>
      <c r="E7" s="3">
        <f>(1+B7)*D7</f>
        <v>63.463399999999993</v>
      </c>
      <c r="F7" t="s">
        <v>55</v>
      </c>
    </row>
    <row r="8" spans="1:6" x14ac:dyDescent="0.3">
      <c r="A8" t="s">
        <v>71</v>
      </c>
      <c r="C8" s="3">
        <f>(C7+C6)*C5/1000</f>
        <v>0.65024909999999991</v>
      </c>
      <c r="D8" s="3">
        <f>(D7+D6)*D5/1000</f>
        <v>13.018000000000001</v>
      </c>
      <c r="E8" s="3">
        <f>(E7+E6)*E5/1000</f>
        <v>32.577544999999994</v>
      </c>
      <c r="F8" t="s">
        <v>33</v>
      </c>
    </row>
    <row r="9" spans="1:6" x14ac:dyDescent="0.3">
      <c r="A9" t="s">
        <v>56</v>
      </c>
      <c r="C9" s="3">
        <f>C8+C4</f>
        <v>0.65024909999999991</v>
      </c>
      <c r="D9" s="3">
        <f>D8+D4</f>
        <v>13.018000000000001</v>
      </c>
      <c r="E9" s="3">
        <f>E8+E4</f>
        <v>32.577544999999994</v>
      </c>
      <c r="F9" t="s">
        <v>33</v>
      </c>
    </row>
    <row r="10" spans="1:6" x14ac:dyDescent="0.3">
      <c r="A10" t="s">
        <v>72</v>
      </c>
      <c r="C10" s="3">
        <f>C9</f>
        <v>0.65024909999999991</v>
      </c>
      <c r="D10" s="3">
        <f>D9</f>
        <v>13.018000000000001</v>
      </c>
      <c r="E10" s="3">
        <f>E9</f>
        <v>32.577544999999994</v>
      </c>
      <c r="F10" t="s">
        <v>33</v>
      </c>
    </row>
    <row r="11" spans="1:6" x14ac:dyDescent="0.3">
      <c r="C11" s="3"/>
      <c r="D11" s="3"/>
      <c r="E11" s="3"/>
    </row>
    <row r="12" spans="1:6" x14ac:dyDescent="0.3">
      <c r="A12" s="2" t="s">
        <v>59</v>
      </c>
      <c r="C12" s="3"/>
      <c r="D12" s="3"/>
      <c r="E12" s="3"/>
    </row>
    <row r="13" spans="1:6" x14ac:dyDescent="0.3">
      <c r="A13" t="s">
        <v>61</v>
      </c>
      <c r="C13" s="3">
        <f>C10</f>
        <v>0.65024909999999991</v>
      </c>
      <c r="D13" s="3">
        <f>D10</f>
        <v>13.018000000000001</v>
      </c>
      <c r="E13" s="3">
        <f>E10</f>
        <v>32.577544999999994</v>
      </c>
      <c r="F13" t="s">
        <v>33</v>
      </c>
    </row>
    <row r="14" spans="1:6" x14ac:dyDescent="0.3">
      <c r="A14" t="s">
        <v>39</v>
      </c>
      <c r="C14" s="3">
        <f>C5</f>
        <v>10</v>
      </c>
      <c r="D14" s="3">
        <f>D5</f>
        <v>200</v>
      </c>
      <c r="E14" s="3">
        <f>E5</f>
        <v>500</v>
      </c>
      <c r="F14" t="s">
        <v>45</v>
      </c>
    </row>
    <row r="15" spans="1:6" x14ac:dyDescent="0.3">
      <c r="A15" t="s">
        <v>161</v>
      </c>
      <c r="B15" s="12">
        <v>1E-3</v>
      </c>
      <c r="C15" s="3">
        <f>(1-B15)*D15</f>
        <v>1.95804</v>
      </c>
      <c r="D15" s="3">
        <v>1.96</v>
      </c>
      <c r="E15" s="3">
        <f>(1+B15)*D15</f>
        <v>1.9619599999999997</v>
      </c>
      <c r="F15" t="s">
        <v>55</v>
      </c>
    </row>
    <row r="16" spans="1:6" x14ac:dyDescent="0.3">
      <c r="A16" t="s">
        <v>162</v>
      </c>
      <c r="B16" s="12">
        <v>1E-3</v>
      </c>
      <c r="C16" s="3">
        <f>(1-B16)*D16</f>
        <v>48.651300000000006</v>
      </c>
      <c r="D16" s="3">
        <v>48.7</v>
      </c>
      <c r="E16" s="3">
        <f>(1+B16)*D16</f>
        <v>48.748699999999999</v>
      </c>
      <c r="F16" t="s">
        <v>55</v>
      </c>
    </row>
    <row r="17" spans="1:6" x14ac:dyDescent="0.3">
      <c r="A17" t="s">
        <v>71</v>
      </c>
      <c r="C17" s="3">
        <f>(C16+C15)*C14/1000</f>
        <v>0.50609340000000003</v>
      </c>
      <c r="D17" s="3">
        <f>(D16+D15)*D14/1000</f>
        <v>10.132</v>
      </c>
      <c r="E17" s="3">
        <f>(E16+E15)*E14/1000</f>
        <v>25.355329999999999</v>
      </c>
      <c r="F17" t="s">
        <v>33</v>
      </c>
    </row>
    <row r="18" spans="1:6" x14ac:dyDescent="0.3">
      <c r="A18" t="s">
        <v>56</v>
      </c>
      <c r="C18" s="3">
        <f>C17+C13</f>
        <v>1.1563425000000001</v>
      </c>
      <c r="D18" s="3">
        <f>D17+D13</f>
        <v>23.15</v>
      </c>
      <c r="E18" s="3">
        <f>E17+E13</f>
        <v>57.932874999999996</v>
      </c>
      <c r="F18" t="s">
        <v>33</v>
      </c>
    </row>
    <row r="19" spans="1:6" x14ac:dyDescent="0.3">
      <c r="A19" t="s">
        <v>72</v>
      </c>
      <c r="C19" s="3">
        <f>C18</f>
        <v>1.1563425000000001</v>
      </c>
      <c r="D19" s="3">
        <f>D18</f>
        <v>23.15</v>
      </c>
      <c r="E19" s="3">
        <f>E18</f>
        <v>57.932874999999996</v>
      </c>
      <c r="F19" t="s">
        <v>33</v>
      </c>
    </row>
    <row r="20" spans="1:6" x14ac:dyDescent="0.3">
      <c r="C20" s="3"/>
      <c r="D20" s="3"/>
      <c r="E20" s="3"/>
    </row>
    <row r="21" spans="1:6" x14ac:dyDescent="0.3">
      <c r="A21" s="2" t="s">
        <v>60</v>
      </c>
      <c r="C21" s="3"/>
      <c r="D21" s="3"/>
      <c r="E21" s="3"/>
    </row>
    <row r="22" spans="1:6" x14ac:dyDescent="0.3">
      <c r="A22" t="s">
        <v>62</v>
      </c>
      <c r="C22" s="3">
        <f>C19</f>
        <v>1.1563425000000001</v>
      </c>
      <c r="D22" s="3">
        <f>D19</f>
        <v>23.15</v>
      </c>
      <c r="E22" s="3">
        <f>E19</f>
        <v>57.932874999999996</v>
      </c>
      <c r="F22" t="s">
        <v>33</v>
      </c>
    </row>
    <row r="23" spans="1:6" x14ac:dyDescent="0.3">
      <c r="A23" t="s">
        <v>39</v>
      </c>
      <c r="C23" s="3">
        <f>C5</f>
        <v>10</v>
      </c>
      <c r="D23" s="3">
        <f>D5</f>
        <v>200</v>
      </c>
      <c r="E23" s="3">
        <f>E5</f>
        <v>500</v>
      </c>
      <c r="F23" t="s">
        <v>45</v>
      </c>
    </row>
    <row r="24" spans="1:6" x14ac:dyDescent="0.3">
      <c r="A24" t="s">
        <v>163</v>
      </c>
      <c r="B24" s="12">
        <v>1E-3</v>
      </c>
      <c r="C24" s="3">
        <f>(1-B24)*D24</f>
        <v>3.1568400000000003</v>
      </c>
      <c r="D24" s="3">
        <v>3.16</v>
      </c>
      <c r="E24" s="3">
        <f>(1+B24)*D24</f>
        <v>3.16316</v>
      </c>
      <c r="F24" t="s">
        <v>55</v>
      </c>
    </row>
    <row r="25" spans="1:6" x14ac:dyDescent="0.3">
      <c r="A25" t="s">
        <v>164</v>
      </c>
      <c r="B25" s="12">
        <v>1E-3</v>
      </c>
      <c r="C25" s="3">
        <f>(1-B25)*D25</f>
        <v>24.275700000000001</v>
      </c>
      <c r="D25" s="3">
        <v>24.3</v>
      </c>
      <c r="E25" s="3">
        <f>(1+B25)*D25</f>
        <v>24.324299999999997</v>
      </c>
      <c r="F25" t="s">
        <v>55</v>
      </c>
    </row>
    <row r="26" spans="1:6" x14ac:dyDescent="0.3">
      <c r="A26" t="s">
        <v>71</v>
      </c>
      <c r="C26" s="3">
        <f>(C25+C24)*C23/1000</f>
        <v>0.2743254</v>
      </c>
      <c r="D26" s="3">
        <f>(D25+D24)*D23/1000</f>
        <v>5.492</v>
      </c>
      <c r="E26" s="3">
        <f>(E25+E24)*E23/1000</f>
        <v>13.743729999999999</v>
      </c>
      <c r="F26" t="s">
        <v>33</v>
      </c>
    </row>
    <row r="27" spans="1:6" x14ac:dyDescent="0.3">
      <c r="A27" t="s">
        <v>56</v>
      </c>
      <c r="C27" s="3">
        <f>C26+C22</f>
        <v>1.4306679</v>
      </c>
      <c r="D27" s="3">
        <f>D26+D22</f>
        <v>28.641999999999999</v>
      </c>
      <c r="E27" s="3">
        <f>E26+E22</f>
        <v>71.676604999999995</v>
      </c>
      <c r="F27" t="s">
        <v>33</v>
      </c>
    </row>
    <row r="28" spans="1:6" x14ac:dyDescent="0.3">
      <c r="A28" t="s">
        <v>72</v>
      </c>
      <c r="C28" s="3">
        <f>C27</f>
        <v>1.4306679</v>
      </c>
      <c r="D28" s="3">
        <f>D27</f>
        <v>28.641999999999999</v>
      </c>
      <c r="E28" s="3">
        <f>E27</f>
        <v>71.676604999999995</v>
      </c>
      <c r="F28" t="s">
        <v>33</v>
      </c>
    </row>
    <row r="29" spans="1:6" ht="15" thickBot="1" x14ac:dyDescent="0.35">
      <c r="C29" s="3"/>
      <c r="D29" s="3"/>
      <c r="E29" s="3"/>
    </row>
    <row r="30" spans="1:6" ht="15" thickBot="1" x14ac:dyDescent="0.35">
      <c r="A30" t="s">
        <v>63</v>
      </c>
      <c r="C30" s="14">
        <f>C28</f>
        <v>1.4306679</v>
      </c>
      <c r="D30" s="15">
        <f>D28</f>
        <v>28.641999999999999</v>
      </c>
      <c r="E30" s="15">
        <f>E28</f>
        <v>71.676604999999995</v>
      </c>
      <c r="F30" s="10" t="s">
        <v>33</v>
      </c>
    </row>
    <row r="34" spans="1:3" ht="21" x14ac:dyDescent="0.4">
      <c r="A34" s="34" t="s">
        <v>160</v>
      </c>
    </row>
    <row r="35" spans="1:3" x14ac:dyDescent="0.3">
      <c r="A35" s="11" t="s">
        <v>69</v>
      </c>
      <c r="B35" s="13"/>
      <c r="C35" s="13"/>
    </row>
    <row r="36" spans="1:3" x14ac:dyDescent="0.3">
      <c r="A36" s="2" t="s">
        <v>51</v>
      </c>
    </row>
    <row r="37" spans="1:3" x14ac:dyDescent="0.3">
      <c r="A37" t="s">
        <v>58</v>
      </c>
      <c r="B37">
        <v>0.28100000000000003</v>
      </c>
      <c r="C37" t="s">
        <v>33</v>
      </c>
    </row>
    <row r="38" spans="1:3" x14ac:dyDescent="0.3">
      <c r="A38" t="s">
        <v>56</v>
      </c>
      <c r="B38">
        <v>13.026</v>
      </c>
      <c r="C38" t="s">
        <v>33</v>
      </c>
    </row>
    <row r="39" spans="1:3" x14ac:dyDescent="0.3">
      <c r="A39" t="s">
        <v>57</v>
      </c>
      <c r="B39">
        <v>13.686</v>
      </c>
      <c r="C39" t="s">
        <v>33</v>
      </c>
    </row>
    <row r="40" spans="1:3" x14ac:dyDescent="0.3">
      <c r="B40" s="3"/>
    </row>
    <row r="42" spans="1:3" x14ac:dyDescent="0.3">
      <c r="A42" s="2" t="s">
        <v>59</v>
      </c>
    </row>
    <row r="43" spans="1:3" x14ac:dyDescent="0.3">
      <c r="A43" t="s">
        <v>56</v>
      </c>
      <c r="B43">
        <v>23.001000000000001</v>
      </c>
      <c r="C43" t="s">
        <v>33</v>
      </c>
    </row>
    <row r="44" spans="1:3" x14ac:dyDescent="0.3">
      <c r="A44" t="s">
        <v>57</v>
      </c>
      <c r="B44">
        <v>24.338000000000001</v>
      </c>
      <c r="C44" t="s">
        <v>33</v>
      </c>
    </row>
    <row r="45" spans="1:3" x14ac:dyDescent="0.3">
      <c r="B45" s="3"/>
    </row>
    <row r="47" spans="1:3" x14ac:dyDescent="0.3">
      <c r="A47" s="2" t="s">
        <v>60</v>
      </c>
    </row>
    <row r="48" spans="1:3" x14ac:dyDescent="0.3">
      <c r="A48" t="s">
        <v>56</v>
      </c>
      <c r="B48">
        <v>29.268999999999998</v>
      </c>
      <c r="C48" t="s">
        <v>33</v>
      </c>
    </row>
    <row r="49" spans="1:3" x14ac:dyDescent="0.3">
      <c r="A49" t="s">
        <v>57</v>
      </c>
      <c r="B49">
        <v>29.843</v>
      </c>
      <c r="C49" t="s">
        <v>33</v>
      </c>
    </row>
    <row r="50" spans="1:3" x14ac:dyDescent="0.3">
      <c r="A50" t="s">
        <v>35</v>
      </c>
      <c r="B50" s="3">
        <f>B49/B48</f>
        <v>1.0196111927295091</v>
      </c>
      <c r="C50" t="s">
        <v>36</v>
      </c>
    </row>
    <row r="51" spans="1:3" x14ac:dyDescent="0.3">
      <c r="B51" s="3"/>
    </row>
    <row r="52" spans="1:3" x14ac:dyDescent="0.3">
      <c r="A52" s="2" t="s">
        <v>65</v>
      </c>
    </row>
    <row r="53" spans="1:3" x14ac:dyDescent="0.3">
      <c r="A53" t="s">
        <v>56</v>
      </c>
      <c r="B53">
        <v>30.64</v>
      </c>
      <c r="C53" t="s">
        <v>33</v>
      </c>
    </row>
    <row r="54" spans="1:3" x14ac:dyDescent="0.3">
      <c r="A54" t="s">
        <v>64</v>
      </c>
      <c r="B54">
        <v>31.042000000000002</v>
      </c>
      <c r="C54" t="s">
        <v>33</v>
      </c>
    </row>
    <row r="55" spans="1:3" ht="15" thickBot="1" x14ac:dyDescent="0.35">
      <c r="B55" s="3"/>
    </row>
    <row r="56" spans="1:3" ht="15" thickBot="1" x14ac:dyDescent="0.35">
      <c r="A56" t="s">
        <v>166</v>
      </c>
      <c r="B56" s="8">
        <f>B54-B37</f>
        <v>30.761000000000003</v>
      </c>
      <c r="C56" s="10" t="s">
        <v>33</v>
      </c>
    </row>
    <row r="58" spans="1:3" x14ac:dyDescent="0.3">
      <c r="A58" s="2" t="s">
        <v>66</v>
      </c>
    </row>
    <row r="59" spans="1:3" x14ac:dyDescent="0.3">
      <c r="A59" t="s">
        <v>67</v>
      </c>
    </row>
    <row r="60" spans="1:3" x14ac:dyDescent="0.3">
      <c r="A60" t="s">
        <v>68</v>
      </c>
    </row>
    <row r="61" spans="1:3" x14ac:dyDescent="0.3">
      <c r="A61" t="s">
        <v>70</v>
      </c>
    </row>
    <row r="63" spans="1:3" x14ac:dyDescent="0.3">
      <c r="A63" t="s">
        <v>188</v>
      </c>
    </row>
    <row r="64" spans="1:3" x14ac:dyDescent="0.3">
      <c r="A64" t="s">
        <v>189</v>
      </c>
    </row>
  </sheetData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27FB-C600-4603-BC49-5BA4E5B77820}">
  <dimension ref="A1:G127"/>
  <sheetViews>
    <sheetView zoomScale="73" zoomScaleNormal="73" zoomScalePageLayoutView="54" workbookViewId="0">
      <selection activeCell="A48" sqref="A48"/>
    </sheetView>
  </sheetViews>
  <sheetFormatPr defaultRowHeight="14.4" x14ac:dyDescent="0.3"/>
  <cols>
    <col min="1" max="1" width="34.5546875" style="37" customWidth="1"/>
    <col min="2" max="2" width="13.109375" bestFit="1" customWidth="1"/>
    <col min="3" max="3" width="19.6640625" bestFit="1" customWidth="1"/>
    <col min="4" max="4" width="21" bestFit="1" customWidth="1"/>
    <col min="5" max="5" width="18.109375" customWidth="1"/>
    <col min="6" max="6" width="20.6640625" bestFit="1" customWidth="1"/>
    <col min="7" max="7" width="12.33203125" bestFit="1" customWidth="1"/>
    <col min="8" max="8" width="14.77734375" bestFit="1" customWidth="1"/>
    <col min="9" max="9" width="14.109375" bestFit="1" customWidth="1"/>
    <col min="10" max="10" width="38.33203125" customWidth="1"/>
  </cols>
  <sheetData>
    <row r="1" spans="1:4" ht="42" x14ac:dyDescent="0.4">
      <c r="A1" s="35" t="s">
        <v>160</v>
      </c>
    </row>
    <row r="2" spans="1:4" x14ac:dyDescent="0.3">
      <c r="A2" s="36" t="s">
        <v>94</v>
      </c>
      <c r="B2" t="s">
        <v>102</v>
      </c>
      <c r="C2" t="s">
        <v>103</v>
      </c>
      <c r="D2" t="s">
        <v>167</v>
      </c>
    </row>
    <row r="3" spans="1:4" x14ac:dyDescent="0.3">
      <c r="A3" s="37" t="s">
        <v>96</v>
      </c>
      <c r="B3">
        <v>0.03</v>
      </c>
      <c r="C3" t="s">
        <v>37</v>
      </c>
      <c r="D3" t="s">
        <v>168</v>
      </c>
    </row>
    <row r="4" spans="1:4" x14ac:dyDescent="0.3">
      <c r="A4" s="37" t="s">
        <v>97</v>
      </c>
      <c r="B4">
        <v>0.3</v>
      </c>
      <c r="C4" t="s">
        <v>37</v>
      </c>
    </row>
    <row r="5" spans="1:4" x14ac:dyDescent="0.3">
      <c r="A5" s="37" t="s">
        <v>98</v>
      </c>
      <c r="B5">
        <v>1.49</v>
      </c>
      <c r="C5" t="s">
        <v>37</v>
      </c>
      <c r="D5" t="s">
        <v>170</v>
      </c>
    </row>
    <row r="6" spans="1:4" x14ac:dyDescent="0.3">
      <c r="A6" s="37" t="s">
        <v>99</v>
      </c>
      <c r="B6">
        <v>3.03</v>
      </c>
      <c r="C6" t="s">
        <v>37</v>
      </c>
      <c r="D6" t="s">
        <v>171</v>
      </c>
    </row>
    <row r="8" spans="1:4" x14ac:dyDescent="0.3">
      <c r="A8" s="36" t="s">
        <v>95</v>
      </c>
    </row>
    <row r="9" spans="1:4" x14ac:dyDescent="0.3">
      <c r="A9" s="37" t="s">
        <v>96</v>
      </c>
      <c r="B9">
        <v>1.7389999999999999E-2</v>
      </c>
      <c r="C9" t="s">
        <v>37</v>
      </c>
    </row>
    <row r="10" spans="1:4" x14ac:dyDescent="0.3">
      <c r="A10" s="37" t="s">
        <v>97</v>
      </c>
      <c r="B10">
        <v>0.16353999999999999</v>
      </c>
      <c r="C10" t="s">
        <v>37</v>
      </c>
    </row>
    <row r="11" spans="1:4" x14ac:dyDescent="0.3">
      <c r="A11" s="37" t="s">
        <v>98</v>
      </c>
      <c r="B11">
        <v>0.80610999999999999</v>
      </c>
      <c r="C11" t="s">
        <v>37</v>
      </c>
    </row>
    <row r="12" spans="1:4" x14ac:dyDescent="0.3">
      <c r="A12" s="37" t="s">
        <v>99</v>
      </c>
      <c r="B12">
        <v>1.6320600000000001</v>
      </c>
      <c r="C12" t="s">
        <v>37</v>
      </c>
    </row>
    <row r="14" spans="1:4" x14ac:dyDescent="0.3">
      <c r="A14" s="36" t="s">
        <v>100</v>
      </c>
    </row>
    <row r="15" spans="1:4" x14ac:dyDescent="0.3">
      <c r="A15" s="37" t="s">
        <v>96</v>
      </c>
      <c r="B15">
        <v>6.1000000000000004E-3</v>
      </c>
      <c r="C15" t="s">
        <v>37</v>
      </c>
    </row>
    <row r="16" spans="1:4" x14ac:dyDescent="0.3">
      <c r="A16" s="37" t="s">
        <v>97</v>
      </c>
      <c r="B16">
        <v>5.0650000000000001E-2</v>
      </c>
      <c r="C16" t="s">
        <v>37</v>
      </c>
    </row>
    <row r="17" spans="1:7" x14ac:dyDescent="0.3">
      <c r="A17" s="37" t="s">
        <v>98</v>
      </c>
      <c r="B17">
        <v>0.24623</v>
      </c>
      <c r="C17" t="s">
        <v>37</v>
      </c>
    </row>
    <row r="18" spans="1:7" x14ac:dyDescent="0.3">
      <c r="A18" s="37" t="s">
        <v>99</v>
      </c>
      <c r="B18">
        <v>0.49886000000000003</v>
      </c>
      <c r="C18" t="s">
        <v>37</v>
      </c>
    </row>
    <row r="20" spans="1:7" x14ac:dyDescent="0.3">
      <c r="A20" s="36" t="s">
        <v>101</v>
      </c>
    </row>
    <row r="21" spans="1:7" x14ac:dyDescent="0.3">
      <c r="A21" s="37" t="s">
        <v>96</v>
      </c>
      <c r="B21" t="s">
        <v>169</v>
      </c>
      <c r="C21" t="s">
        <v>37</v>
      </c>
    </row>
    <row r="22" spans="1:7" x14ac:dyDescent="0.3">
      <c r="A22" s="37" t="s">
        <v>97</v>
      </c>
      <c r="B22" t="s">
        <v>169</v>
      </c>
      <c r="C22" t="s">
        <v>37</v>
      </c>
    </row>
    <row r="23" spans="1:7" x14ac:dyDescent="0.3">
      <c r="A23" s="37" t="s">
        <v>98</v>
      </c>
      <c r="B23" t="s">
        <v>169</v>
      </c>
      <c r="C23" t="s">
        <v>37</v>
      </c>
    </row>
    <row r="24" spans="1:7" x14ac:dyDescent="0.3">
      <c r="A24" s="37" t="s">
        <v>99</v>
      </c>
      <c r="B24" t="s">
        <v>169</v>
      </c>
      <c r="C24" t="s">
        <v>37</v>
      </c>
    </row>
    <row r="27" spans="1:7" x14ac:dyDescent="0.3">
      <c r="A27" s="38"/>
      <c r="B27" s="17"/>
      <c r="C27" s="17"/>
      <c r="D27" s="17"/>
      <c r="E27" s="17"/>
      <c r="F27" s="17"/>
      <c r="G27" s="17"/>
    </row>
    <row r="28" spans="1:7" ht="28.8" x14ac:dyDescent="0.3">
      <c r="A28" s="37" t="s">
        <v>106</v>
      </c>
    </row>
    <row r="29" spans="1:7" ht="15" thickBot="1" x14ac:dyDescent="0.35">
      <c r="D29" t="s">
        <v>112</v>
      </c>
    </row>
    <row r="30" spans="1:7" x14ac:dyDescent="0.3">
      <c r="A30" s="36" t="s">
        <v>110</v>
      </c>
      <c r="B30" t="s">
        <v>172</v>
      </c>
      <c r="C30" t="s">
        <v>173</v>
      </c>
      <c r="D30" t="s">
        <v>174</v>
      </c>
      <c r="E30" t="s">
        <v>175</v>
      </c>
      <c r="F30" s="19" t="s">
        <v>115</v>
      </c>
    </row>
    <row r="31" spans="1:7" x14ac:dyDescent="0.3">
      <c r="A31" s="37" t="s">
        <v>108</v>
      </c>
      <c r="B31">
        <v>1.2999999999999999E-5</v>
      </c>
      <c r="C31">
        <v>1.311E-2</v>
      </c>
      <c r="D31">
        <v>2.349E-2</v>
      </c>
      <c r="E31">
        <v>2.9953E-2</v>
      </c>
      <c r="F31" s="20">
        <f>(E31-B31)*1000</f>
        <v>29.94</v>
      </c>
    </row>
    <row r="32" spans="1:7" x14ac:dyDescent="0.3">
      <c r="A32" s="37" t="s">
        <v>107</v>
      </c>
      <c r="B32">
        <v>2.5263</v>
      </c>
      <c r="C32">
        <v>2.5390000000000001</v>
      </c>
      <c r="D32">
        <v>2.5491000000000001</v>
      </c>
      <c r="E32">
        <v>2.5554999999999999</v>
      </c>
      <c r="F32" s="20">
        <f>(E32-B32)*1000</f>
        <v>29.199999999999893</v>
      </c>
    </row>
    <row r="33" spans="1:6" ht="15" thickBot="1" x14ac:dyDescent="0.35">
      <c r="A33" s="37" t="s">
        <v>109</v>
      </c>
      <c r="B33">
        <v>3.3163999999999998</v>
      </c>
      <c r="C33">
        <v>3.3290000000000002</v>
      </c>
      <c r="D33">
        <v>3.339</v>
      </c>
      <c r="E33">
        <v>3.3452999999999999</v>
      </c>
      <c r="F33" s="21">
        <f>(E33-B33)*1000</f>
        <v>28.900000000000148</v>
      </c>
    </row>
    <row r="34" spans="1:6" ht="43.2" x14ac:dyDescent="0.3">
      <c r="A34" s="37" t="s">
        <v>176</v>
      </c>
    </row>
    <row r="35" spans="1:6" ht="15" thickBot="1" x14ac:dyDescent="0.35"/>
    <row r="36" spans="1:6" x14ac:dyDescent="0.3">
      <c r="A36" s="36" t="s">
        <v>111</v>
      </c>
      <c r="B36" t="s">
        <v>172</v>
      </c>
      <c r="C36" t="s">
        <v>173</v>
      </c>
      <c r="D36" t="s">
        <v>174</v>
      </c>
      <c r="E36" t="s">
        <v>175</v>
      </c>
      <c r="F36" s="19" t="s">
        <v>115</v>
      </c>
    </row>
    <row r="37" spans="1:6" x14ac:dyDescent="0.3">
      <c r="A37" s="37" t="s">
        <v>108</v>
      </c>
      <c r="B37">
        <v>-1.7E-5</v>
      </c>
      <c r="C37">
        <v>2.9399999999999999E-4</v>
      </c>
      <c r="D37">
        <v>4.2999999999999999E-4</v>
      </c>
      <c r="E37">
        <v>7.6000000000000004E-5</v>
      </c>
      <c r="F37" s="20">
        <f>(E37-B37)*1000</f>
        <v>9.3000000000000013E-2</v>
      </c>
    </row>
    <row r="38" spans="1:6" x14ac:dyDescent="0.3">
      <c r="A38" s="37" t="s">
        <v>107</v>
      </c>
      <c r="B38">
        <v>2.5264000000000002</v>
      </c>
      <c r="C38">
        <v>2.5268000000000002</v>
      </c>
      <c r="D38">
        <v>2.5270000000000001</v>
      </c>
      <c r="E38">
        <v>2.5266000000000002</v>
      </c>
      <c r="F38" s="20">
        <f>(E38-B38)*1000</f>
        <v>0.19999999999997797</v>
      </c>
    </row>
    <row r="39" spans="1:6" ht="15" thickBot="1" x14ac:dyDescent="0.35">
      <c r="A39" s="37" t="s">
        <v>109</v>
      </c>
      <c r="B39">
        <v>3.3165</v>
      </c>
      <c r="C39">
        <v>3.3169</v>
      </c>
      <c r="D39">
        <v>3.3170000000000002</v>
      </c>
      <c r="E39">
        <v>3.3168000000000002</v>
      </c>
      <c r="F39" s="21">
        <f>(E39-B39)*1000</f>
        <v>0.300000000000189</v>
      </c>
    </row>
    <row r="40" spans="1:6" x14ac:dyDescent="0.3">
      <c r="A40" s="37" t="s">
        <v>177</v>
      </c>
    </row>
    <row r="41" spans="1:6" ht="15" thickBot="1" x14ac:dyDescent="0.35"/>
    <row r="42" spans="1:6" x14ac:dyDescent="0.3">
      <c r="A42" s="36" t="s">
        <v>113</v>
      </c>
      <c r="B42" t="s">
        <v>172</v>
      </c>
      <c r="C42" t="s">
        <v>173</v>
      </c>
      <c r="D42" t="s">
        <v>174</v>
      </c>
      <c r="E42" t="s">
        <v>175</v>
      </c>
      <c r="F42" s="19" t="s">
        <v>115</v>
      </c>
    </row>
    <row r="43" spans="1:6" x14ac:dyDescent="0.3">
      <c r="A43" s="37" t="s">
        <v>108</v>
      </c>
      <c r="B43">
        <v>9.9999999999999995E-7</v>
      </c>
      <c r="C43">
        <v>3.0299999999999999E-4</v>
      </c>
      <c r="D43">
        <v>4.3600000000000003E-4</v>
      </c>
      <c r="E43">
        <v>8.7999999999999998E-5</v>
      </c>
      <c r="F43" s="20">
        <f>(E43-B43)*1000</f>
        <v>8.6999999999999994E-2</v>
      </c>
    </row>
    <row r="44" spans="1:6" x14ac:dyDescent="0.3">
      <c r="A44" s="37" t="s">
        <v>107</v>
      </c>
      <c r="B44">
        <v>2.5268000000000002</v>
      </c>
      <c r="C44">
        <v>2.5270999999999999</v>
      </c>
      <c r="D44">
        <v>2.5274000000000001</v>
      </c>
      <c r="E44">
        <v>2.5270999999999999</v>
      </c>
      <c r="F44" s="20">
        <f>(E44-B44)*1000</f>
        <v>0.29999999999974492</v>
      </c>
    </row>
    <row r="45" spans="1:6" ht="15" thickBot="1" x14ac:dyDescent="0.35">
      <c r="A45" s="37" t="s">
        <v>109</v>
      </c>
      <c r="B45">
        <v>3.3170999999999999</v>
      </c>
      <c r="C45">
        <v>3.3174000000000001</v>
      </c>
      <c r="D45">
        <v>3.3176000000000001</v>
      </c>
      <c r="E45" s="18">
        <v>3.3172999999999999</v>
      </c>
      <c r="F45" s="21">
        <f>(E45-B45)*1000</f>
        <v>0.19999999999997797</v>
      </c>
    </row>
    <row r="46" spans="1:6" ht="15" thickBot="1" x14ac:dyDescent="0.35"/>
    <row r="47" spans="1:6" x14ac:dyDescent="0.3">
      <c r="A47" s="36" t="s">
        <v>114</v>
      </c>
      <c r="B47" t="s">
        <v>172</v>
      </c>
      <c r="C47" t="s">
        <v>173</v>
      </c>
      <c r="D47" t="s">
        <v>174</v>
      </c>
      <c r="E47" t="s">
        <v>175</v>
      </c>
      <c r="F47" s="19" t="s">
        <v>115</v>
      </c>
    </row>
    <row r="48" spans="1:6" x14ac:dyDescent="0.3">
      <c r="A48" s="37" t="s">
        <v>108</v>
      </c>
      <c r="B48">
        <v>1.9999999999999999E-6</v>
      </c>
      <c r="C48">
        <v>2.9700000000000001E-4</v>
      </c>
      <c r="D48">
        <v>4.3600000000000003E-4</v>
      </c>
      <c r="E48">
        <v>8.2999999999999998E-5</v>
      </c>
      <c r="F48" s="20">
        <f>(E48-B48)*1000</f>
        <v>8.1000000000000003E-2</v>
      </c>
    </row>
    <row r="49" spans="1:6" x14ac:dyDescent="0.3">
      <c r="A49" s="37" t="s">
        <v>107</v>
      </c>
      <c r="B49">
        <v>2.5270000000000001</v>
      </c>
      <c r="C49">
        <v>2.5272999999999999</v>
      </c>
      <c r="D49">
        <v>2.5274000000000001</v>
      </c>
      <c r="E49">
        <v>2.5270999999999999</v>
      </c>
      <c r="F49" s="20">
        <f>(E49-B49)*1000</f>
        <v>9.9999999999766942E-2</v>
      </c>
    </row>
    <row r="50" spans="1:6" ht="15" thickBot="1" x14ac:dyDescent="0.35">
      <c r="A50" s="37" t="s">
        <v>109</v>
      </c>
      <c r="B50">
        <v>3.3170999999999999</v>
      </c>
      <c r="C50">
        <v>3.3174000000000001</v>
      </c>
      <c r="D50">
        <v>3.3176000000000001</v>
      </c>
      <c r="E50" s="18">
        <v>3.3172999999999999</v>
      </c>
      <c r="F50" s="21">
        <f>(E50-B50)*1000</f>
        <v>0.19999999999997797</v>
      </c>
    </row>
    <row r="51" spans="1:6" ht="15" thickBot="1" x14ac:dyDescent="0.35"/>
    <row r="52" spans="1:6" x14ac:dyDescent="0.3">
      <c r="A52" s="36" t="s">
        <v>116</v>
      </c>
      <c r="B52" t="s">
        <v>172</v>
      </c>
      <c r="C52" t="s">
        <v>173</v>
      </c>
      <c r="D52" t="s">
        <v>174</v>
      </c>
      <c r="E52" t="s">
        <v>175</v>
      </c>
      <c r="F52" s="19" t="s">
        <v>115</v>
      </c>
    </row>
    <row r="53" spans="1:6" x14ac:dyDescent="0.3">
      <c r="A53" s="37" t="s">
        <v>108</v>
      </c>
      <c r="B53">
        <v>2.9799999999999998E-4</v>
      </c>
      <c r="C53">
        <v>-9.7500000000000003E-2</v>
      </c>
      <c r="D53">
        <v>-8.6690000000000003E-2</v>
      </c>
      <c r="E53">
        <v>-2.7210000000000002E-2</v>
      </c>
      <c r="F53" s="20">
        <f>(E53-B53)*1000</f>
        <v>-27.508000000000003</v>
      </c>
    </row>
    <row r="54" spans="1:6" x14ac:dyDescent="0.3">
      <c r="A54" s="37" t="s">
        <v>107</v>
      </c>
      <c r="B54">
        <v>2.5270000000000001</v>
      </c>
      <c r="C54">
        <v>2.5272999999999999</v>
      </c>
      <c r="D54">
        <v>2.5274000000000001</v>
      </c>
      <c r="E54">
        <v>2.5270999999999999</v>
      </c>
      <c r="F54" s="20">
        <f>(E54-B54)*1000</f>
        <v>9.9999999999766942E-2</v>
      </c>
    </row>
    <row r="55" spans="1:6" ht="15" thickBot="1" x14ac:dyDescent="0.35">
      <c r="A55" s="37" t="s">
        <v>109</v>
      </c>
      <c r="B55">
        <v>3.3170999999999999</v>
      </c>
      <c r="C55">
        <v>3.3174000000000001</v>
      </c>
      <c r="D55">
        <v>3.3176000000000001</v>
      </c>
      <c r="E55" s="18">
        <v>3.3172999999999999</v>
      </c>
      <c r="F55" s="21">
        <f>(E55-B55)*1000</f>
        <v>0.19999999999997797</v>
      </c>
    </row>
    <row r="57" spans="1:6" x14ac:dyDescent="0.3">
      <c r="D57" t="s">
        <v>178</v>
      </c>
      <c r="E57" t="s">
        <v>179</v>
      </c>
    </row>
    <row r="58" spans="1:6" x14ac:dyDescent="0.3">
      <c r="A58" s="36" t="s">
        <v>121</v>
      </c>
      <c r="B58" s="2" t="s">
        <v>119</v>
      </c>
      <c r="C58" s="2" t="s">
        <v>120</v>
      </c>
      <c r="D58" s="2" t="s">
        <v>118</v>
      </c>
      <c r="E58" s="2" t="s">
        <v>117</v>
      </c>
      <c r="F58" s="2"/>
    </row>
    <row r="59" spans="1:6" x14ac:dyDescent="0.3">
      <c r="A59" s="37" t="s">
        <v>122</v>
      </c>
      <c r="B59" s="4">
        <v>1.5</v>
      </c>
      <c r="C59" s="4">
        <v>1.5</v>
      </c>
      <c r="D59">
        <v>1.1000000000000001E-3</v>
      </c>
      <c r="E59">
        <v>-2.4199999999999999E-2</v>
      </c>
    </row>
    <row r="60" spans="1:6" x14ac:dyDescent="0.3">
      <c r="B60" s="4">
        <v>1.5</v>
      </c>
      <c r="C60" s="4">
        <v>1.55</v>
      </c>
      <c r="D60">
        <v>5.0999999999999997E-2</v>
      </c>
      <c r="E60">
        <v>2.81E-2</v>
      </c>
    </row>
    <row r="61" spans="1:6" x14ac:dyDescent="0.3">
      <c r="B61" s="4">
        <v>1.5</v>
      </c>
      <c r="C61" s="4">
        <v>1.6</v>
      </c>
      <c r="D61">
        <v>0.1008</v>
      </c>
      <c r="E61">
        <v>7.8899999999999998E-2</v>
      </c>
    </row>
    <row r="62" spans="1:6" x14ac:dyDescent="0.3">
      <c r="B62" s="4">
        <v>1.5</v>
      </c>
      <c r="C62" s="4">
        <v>1.65</v>
      </c>
      <c r="D62">
        <v>0.15040000000000001</v>
      </c>
      <c r="E62">
        <v>0.12939999999999999</v>
      </c>
    </row>
    <row r="63" spans="1:6" x14ac:dyDescent="0.3">
      <c r="B63" s="4">
        <v>1.5</v>
      </c>
      <c r="C63" s="4">
        <v>1.75</v>
      </c>
      <c r="D63">
        <v>0.25</v>
      </c>
      <c r="E63">
        <v>0.2303</v>
      </c>
    </row>
    <row r="64" spans="1:6" x14ac:dyDescent="0.3">
      <c r="B64" s="4">
        <v>1.5</v>
      </c>
      <c r="C64" s="4">
        <v>2</v>
      </c>
      <c r="D64">
        <v>0.50060000000000004</v>
      </c>
      <c r="E64">
        <v>0.48420000000000002</v>
      </c>
    </row>
    <row r="65" spans="1:5" x14ac:dyDescent="0.3">
      <c r="B65" s="4">
        <v>1.5</v>
      </c>
      <c r="C65" s="4">
        <v>2.25</v>
      </c>
      <c r="D65">
        <v>0.749</v>
      </c>
      <c r="E65">
        <v>0.73760000000000003</v>
      </c>
    </row>
    <row r="66" spans="1:5" x14ac:dyDescent="0.3">
      <c r="B66" s="4">
        <v>1.5</v>
      </c>
      <c r="C66" s="4">
        <v>2.5</v>
      </c>
      <c r="D66">
        <v>0.998</v>
      </c>
      <c r="E66">
        <v>0.99050000000000005</v>
      </c>
    </row>
    <row r="67" spans="1:5" x14ac:dyDescent="0.3">
      <c r="B67" s="4">
        <v>1.5</v>
      </c>
      <c r="C67" s="4">
        <v>3</v>
      </c>
      <c r="D67">
        <v>1.496</v>
      </c>
      <c r="E67">
        <v>1.4972000000000001</v>
      </c>
    </row>
    <row r="68" spans="1:5" x14ac:dyDescent="0.3">
      <c r="B68" s="4">
        <v>1.5</v>
      </c>
      <c r="C68" s="4">
        <v>3.5</v>
      </c>
      <c r="D68">
        <v>1.9950000000000001</v>
      </c>
      <c r="E68">
        <v>2.0041000000000002</v>
      </c>
    </row>
    <row r="69" spans="1:5" x14ac:dyDescent="0.3">
      <c r="B69" s="4">
        <v>1.5</v>
      </c>
      <c r="C69" s="4">
        <v>4</v>
      </c>
      <c r="D69">
        <v>2.4940000000000002</v>
      </c>
      <c r="E69">
        <v>2.5106999999999999</v>
      </c>
    </row>
    <row r="70" spans="1:5" x14ac:dyDescent="0.3">
      <c r="B70" s="4">
        <v>1.5</v>
      </c>
      <c r="C70" s="4">
        <v>4.5</v>
      </c>
      <c r="D70">
        <v>2.992</v>
      </c>
      <c r="E70">
        <v>3.0182000000000002</v>
      </c>
    </row>
    <row r="71" spans="1:5" x14ac:dyDescent="0.3">
      <c r="B71" s="4">
        <v>1.5</v>
      </c>
      <c r="C71" s="4">
        <v>6</v>
      </c>
      <c r="D71">
        <v>4.49</v>
      </c>
      <c r="E71">
        <v>4.5389999999999997</v>
      </c>
    </row>
    <row r="73" spans="1:5" x14ac:dyDescent="0.3">
      <c r="A73" s="36" t="s">
        <v>121</v>
      </c>
      <c r="B73" s="2" t="s">
        <v>119</v>
      </c>
      <c r="C73" s="2" t="s">
        <v>120</v>
      </c>
      <c r="D73" s="2" t="s">
        <v>118</v>
      </c>
      <c r="E73" s="2" t="s">
        <v>117</v>
      </c>
    </row>
    <row r="74" spans="1:5" x14ac:dyDescent="0.3">
      <c r="A74" s="37" t="s">
        <v>123</v>
      </c>
      <c r="B74" s="4">
        <v>1.5</v>
      </c>
      <c r="C74" s="4">
        <v>1.5</v>
      </c>
      <c r="D74">
        <v>1.1000000000000001E-3</v>
      </c>
      <c r="E74">
        <v>-3.6299999999999999E-2</v>
      </c>
    </row>
    <row r="75" spans="1:5" x14ac:dyDescent="0.3">
      <c r="B75" s="4">
        <v>1.5</v>
      </c>
      <c r="C75" s="4">
        <v>1.51</v>
      </c>
      <c r="D75">
        <v>1.0500000000000001E-2</v>
      </c>
      <c r="E75">
        <v>5.6599999999999998E-2</v>
      </c>
    </row>
    <row r="76" spans="1:5" x14ac:dyDescent="0.3">
      <c r="B76" s="4">
        <v>1.5</v>
      </c>
      <c r="C76" s="4">
        <v>1.52</v>
      </c>
      <c r="D76">
        <v>2.06E-2</v>
      </c>
      <c r="E76">
        <v>0.15809999999999999</v>
      </c>
    </row>
    <row r="77" spans="1:5" x14ac:dyDescent="0.3">
      <c r="B77" s="4">
        <v>1.5</v>
      </c>
      <c r="C77" s="4">
        <v>1.53</v>
      </c>
      <c r="D77">
        <v>3.0700000000000002E-2</v>
      </c>
      <c r="E77">
        <v>0.26140000000000002</v>
      </c>
    </row>
    <row r="78" spans="1:5" x14ac:dyDescent="0.3">
      <c r="B78" s="4">
        <v>1.5</v>
      </c>
      <c r="C78" s="4">
        <v>1.54</v>
      </c>
      <c r="D78">
        <v>4.0800000000000003E-2</v>
      </c>
      <c r="E78">
        <v>0.36280000000000001</v>
      </c>
    </row>
    <row r="79" spans="1:5" x14ac:dyDescent="0.3">
      <c r="B79" s="4">
        <v>1.5</v>
      </c>
      <c r="C79" s="4">
        <v>1.55</v>
      </c>
      <c r="D79">
        <v>5.0900000000000001E-2</v>
      </c>
      <c r="E79">
        <v>0.46560000000000001</v>
      </c>
    </row>
    <row r="80" spans="1:5" x14ac:dyDescent="0.3">
      <c r="B80" s="4">
        <v>1.5</v>
      </c>
      <c r="C80" s="4">
        <v>1.6</v>
      </c>
      <c r="D80">
        <v>0.1008</v>
      </c>
      <c r="E80">
        <v>0.96970000000000001</v>
      </c>
    </row>
    <row r="81" spans="1:5" x14ac:dyDescent="0.3">
      <c r="B81" s="4">
        <v>1.5</v>
      </c>
      <c r="C81" s="4">
        <v>1.65</v>
      </c>
      <c r="D81">
        <v>0.15049999999999999</v>
      </c>
      <c r="E81">
        <v>1.4723999999999999</v>
      </c>
    </row>
    <row r="82" spans="1:5" x14ac:dyDescent="0.3">
      <c r="B82" s="4">
        <v>1.5</v>
      </c>
      <c r="C82" s="4">
        <v>1.7</v>
      </c>
      <c r="D82">
        <v>0.2006</v>
      </c>
      <c r="E82">
        <v>1.9802</v>
      </c>
    </row>
    <row r="83" spans="1:5" x14ac:dyDescent="0.3">
      <c r="B83" s="4">
        <v>1.5</v>
      </c>
      <c r="C83" s="4">
        <v>1.75</v>
      </c>
      <c r="D83">
        <v>0.25009999999999999</v>
      </c>
      <c r="E83">
        <v>2.4792999999999998</v>
      </c>
    </row>
    <row r="84" spans="1:5" x14ac:dyDescent="0.3">
      <c r="B84" s="4">
        <v>1.5</v>
      </c>
      <c r="C84" s="4">
        <v>1.8</v>
      </c>
      <c r="D84">
        <v>0.29980000000000001</v>
      </c>
      <c r="E84">
        <v>2.9834999999999998</v>
      </c>
    </row>
    <row r="85" spans="1:5" x14ac:dyDescent="0.3">
      <c r="B85" s="4">
        <v>1.5</v>
      </c>
      <c r="C85" s="4">
        <v>1.9</v>
      </c>
      <c r="D85">
        <v>0.4002</v>
      </c>
      <c r="E85">
        <v>3.9981</v>
      </c>
    </row>
    <row r="86" spans="1:5" x14ac:dyDescent="0.3">
      <c r="B86" s="4">
        <v>1.5</v>
      </c>
      <c r="C86" s="4">
        <v>1.95</v>
      </c>
      <c r="D86">
        <v>0.4501</v>
      </c>
      <c r="E86">
        <v>4.4980000000000002</v>
      </c>
    </row>
    <row r="88" spans="1:5" x14ac:dyDescent="0.3">
      <c r="A88" s="36" t="s">
        <v>121</v>
      </c>
      <c r="B88" s="2" t="s">
        <v>119</v>
      </c>
      <c r="C88" s="2" t="s">
        <v>120</v>
      </c>
      <c r="D88" s="2" t="s">
        <v>118</v>
      </c>
      <c r="E88" s="2" t="s">
        <v>117</v>
      </c>
    </row>
    <row r="89" spans="1:5" x14ac:dyDescent="0.3">
      <c r="A89" s="37" t="s">
        <v>124</v>
      </c>
      <c r="B89" s="4">
        <v>1.5</v>
      </c>
      <c r="C89" s="4">
        <v>1.5</v>
      </c>
      <c r="D89">
        <v>6.9999999999999999E-4</v>
      </c>
      <c r="E89">
        <v>-0.15989999999999999</v>
      </c>
    </row>
    <row r="90" spans="1:5" x14ac:dyDescent="0.3">
      <c r="B90" s="4">
        <v>1.5</v>
      </c>
      <c r="C90" s="4">
        <v>1.51</v>
      </c>
      <c r="D90">
        <v>1.01E-2</v>
      </c>
      <c r="E90">
        <v>0.26960000000000001</v>
      </c>
    </row>
    <row r="91" spans="1:5" x14ac:dyDescent="0.3">
      <c r="B91" s="4">
        <v>1.5</v>
      </c>
      <c r="C91" s="4">
        <v>1.52</v>
      </c>
      <c r="D91">
        <v>2.01E-2</v>
      </c>
      <c r="E91">
        <v>0.76949999999999996</v>
      </c>
    </row>
    <row r="92" spans="1:5" x14ac:dyDescent="0.3">
      <c r="B92" s="4">
        <v>1.5</v>
      </c>
      <c r="C92" s="4">
        <v>1.53</v>
      </c>
      <c r="D92">
        <v>3.0599999999999999E-2</v>
      </c>
      <c r="E92">
        <v>1.2836000000000001</v>
      </c>
    </row>
    <row r="93" spans="1:5" x14ac:dyDescent="0.3">
      <c r="B93" s="4">
        <v>1.5</v>
      </c>
      <c r="C93" s="4">
        <v>1.54</v>
      </c>
      <c r="D93">
        <v>4.07E-2</v>
      </c>
      <c r="E93">
        <v>1.7894000000000001</v>
      </c>
    </row>
    <row r="94" spans="1:5" x14ac:dyDescent="0.3">
      <c r="B94" s="4">
        <v>1.5</v>
      </c>
      <c r="C94" s="4">
        <v>1.55</v>
      </c>
      <c r="D94">
        <v>5.0700000000000002E-2</v>
      </c>
      <c r="E94">
        <v>2.2924000000000002</v>
      </c>
    </row>
    <row r="95" spans="1:5" x14ac:dyDescent="0.3">
      <c r="B95" s="4">
        <v>1.5</v>
      </c>
      <c r="C95" s="4">
        <v>1.56</v>
      </c>
      <c r="D95">
        <v>6.08E-2</v>
      </c>
      <c r="E95">
        <v>2.7955999999999999</v>
      </c>
    </row>
    <row r="96" spans="1:5" x14ac:dyDescent="0.3">
      <c r="B96" s="4">
        <v>1.5</v>
      </c>
      <c r="C96" s="4">
        <v>1.57</v>
      </c>
      <c r="D96">
        <v>7.0900000000000005E-2</v>
      </c>
      <c r="E96">
        <v>3.2993000000000001</v>
      </c>
    </row>
    <row r="97" spans="1:6" x14ac:dyDescent="0.3">
      <c r="B97" s="4">
        <v>1.5</v>
      </c>
      <c r="C97" s="4">
        <v>1.58</v>
      </c>
      <c r="D97">
        <v>8.0500000000000002E-2</v>
      </c>
      <c r="E97">
        <v>3.7745000000000002</v>
      </c>
    </row>
    <row r="98" spans="1:6" x14ac:dyDescent="0.3">
      <c r="B98" s="4">
        <v>1.5</v>
      </c>
      <c r="C98" s="4">
        <v>1.59</v>
      </c>
      <c r="D98">
        <v>9.0499999999999997E-2</v>
      </c>
      <c r="E98">
        <v>4.2699999999999996</v>
      </c>
    </row>
    <row r="99" spans="1:6" x14ac:dyDescent="0.3">
      <c r="B99" s="4">
        <v>1.5</v>
      </c>
      <c r="C99" s="4">
        <v>1.6</v>
      </c>
      <c r="D99">
        <v>0.10050000000000001</v>
      </c>
      <c r="E99">
        <v>4.7729999999999997</v>
      </c>
    </row>
    <row r="100" spans="1:6" x14ac:dyDescent="0.3">
      <c r="B100" s="4"/>
      <c r="C100" s="4"/>
    </row>
    <row r="101" spans="1:6" x14ac:dyDescent="0.3">
      <c r="A101" s="36" t="s">
        <v>121</v>
      </c>
      <c r="B101" s="2" t="s">
        <v>119</v>
      </c>
      <c r="C101" s="2" t="s">
        <v>120</v>
      </c>
      <c r="D101" s="2" t="s">
        <v>118</v>
      </c>
      <c r="E101" s="2" t="s">
        <v>117</v>
      </c>
    </row>
    <row r="102" spans="1:6" x14ac:dyDescent="0.3">
      <c r="A102" s="37" t="s">
        <v>125</v>
      </c>
      <c r="B102" s="4">
        <v>1.5</v>
      </c>
      <c r="C102" s="4">
        <v>1.5</v>
      </c>
      <c r="D102">
        <v>1.2999999999999999E-3</v>
      </c>
      <c r="E102">
        <v>-0.39789999999999998</v>
      </c>
      <c r="F102" t="s">
        <v>183</v>
      </c>
    </row>
    <row r="103" spans="1:6" x14ac:dyDescent="0.3">
      <c r="B103" s="4">
        <v>1.5</v>
      </c>
      <c r="C103" s="4">
        <v>1.51</v>
      </c>
      <c r="D103">
        <v>1.0699999999999999E-2</v>
      </c>
      <c r="E103">
        <v>0.55640000000000001</v>
      </c>
      <c r="F103" t="s">
        <v>184</v>
      </c>
    </row>
    <row r="104" spans="1:6" x14ac:dyDescent="0.3">
      <c r="B104" s="4">
        <v>1.5</v>
      </c>
      <c r="C104" s="4">
        <v>1.52</v>
      </c>
      <c r="D104">
        <v>2.07E-2</v>
      </c>
      <c r="E104">
        <v>1.5952999999999999</v>
      </c>
    </row>
    <row r="105" spans="1:6" x14ac:dyDescent="0.3">
      <c r="B105" s="4">
        <v>1.5</v>
      </c>
      <c r="C105" s="4">
        <v>1.53</v>
      </c>
      <c r="D105">
        <v>3.09E-2</v>
      </c>
      <c r="E105">
        <v>2.6301000000000001</v>
      </c>
    </row>
    <row r="106" spans="1:6" x14ac:dyDescent="0.3">
      <c r="B106" s="4">
        <v>1.5</v>
      </c>
      <c r="C106" s="4">
        <v>1.54</v>
      </c>
      <c r="D106">
        <v>4.1000000000000002E-2</v>
      </c>
      <c r="E106">
        <v>3.6528999999999998</v>
      </c>
    </row>
    <row r="107" spans="1:6" x14ac:dyDescent="0.3">
      <c r="B107" s="4">
        <v>1.5</v>
      </c>
      <c r="C107" s="4">
        <v>1.55</v>
      </c>
      <c r="D107">
        <v>5.11E-2</v>
      </c>
      <c r="E107">
        <v>4.6689999999999996</v>
      </c>
    </row>
    <row r="108" spans="1:6" x14ac:dyDescent="0.3">
      <c r="B108" s="4"/>
      <c r="C108" s="4"/>
    </row>
    <row r="109" spans="1:6" x14ac:dyDescent="0.3">
      <c r="B109" s="4"/>
      <c r="C109" s="4"/>
    </row>
    <row r="110" spans="1:6" x14ac:dyDescent="0.3">
      <c r="B110" s="4"/>
      <c r="C110" s="4"/>
    </row>
    <row r="111" spans="1:6" x14ac:dyDescent="0.3">
      <c r="A111" s="36" t="s">
        <v>126</v>
      </c>
      <c r="B111" s="22" t="s">
        <v>130</v>
      </c>
      <c r="C111" s="22" t="s">
        <v>131</v>
      </c>
      <c r="D111" s="2" t="s">
        <v>132</v>
      </c>
      <c r="E111" s="2" t="s">
        <v>133</v>
      </c>
    </row>
    <row r="112" spans="1:6" x14ac:dyDescent="0.3">
      <c r="A112" s="37" t="s">
        <v>127</v>
      </c>
      <c r="B112">
        <v>1.1000000000000001E-3</v>
      </c>
      <c r="C112">
        <v>-2.4199999999999999E-2</v>
      </c>
      <c r="D112">
        <v>4.49</v>
      </c>
      <c r="E112">
        <v>4.5389999999999997</v>
      </c>
    </row>
    <row r="113" spans="1:5" x14ac:dyDescent="0.3">
      <c r="A113" s="37" t="s">
        <v>123</v>
      </c>
      <c r="B113">
        <v>1.1000000000000001E-3</v>
      </c>
      <c r="C113">
        <v>-3.6299999999999999E-2</v>
      </c>
      <c r="D113">
        <v>0.4501</v>
      </c>
      <c r="E113">
        <v>4.4980000000000002</v>
      </c>
    </row>
    <row r="114" spans="1:5" x14ac:dyDescent="0.3">
      <c r="A114" s="37" t="s">
        <v>124</v>
      </c>
      <c r="B114">
        <v>6.9999999999999999E-4</v>
      </c>
      <c r="C114">
        <v>-0.15989999999999999</v>
      </c>
      <c r="D114">
        <v>0.10050000000000001</v>
      </c>
      <c r="E114">
        <v>4.7729999999999997</v>
      </c>
    </row>
    <row r="115" spans="1:5" x14ac:dyDescent="0.3">
      <c r="A115" s="37" t="s">
        <v>125</v>
      </c>
      <c r="B115">
        <v>1.2999999999999999E-3</v>
      </c>
      <c r="C115">
        <v>-0.39789999999999998</v>
      </c>
      <c r="D115">
        <v>5.11E-2</v>
      </c>
      <c r="E115">
        <v>4.6689999999999996</v>
      </c>
    </row>
    <row r="118" spans="1:5" ht="15" thickBot="1" x14ac:dyDescent="0.35"/>
    <row r="119" spans="1:5" x14ac:dyDescent="0.3">
      <c r="A119" s="37" t="s">
        <v>127</v>
      </c>
      <c r="B119" s="23" t="s">
        <v>128</v>
      </c>
      <c r="C119" s="24" t="s">
        <v>129</v>
      </c>
      <c r="D119" s="23" t="s">
        <v>134</v>
      </c>
      <c r="E119" s="24" t="s">
        <v>135</v>
      </c>
    </row>
    <row r="120" spans="1:5" x14ac:dyDescent="0.3">
      <c r="A120" s="37" t="s">
        <v>123</v>
      </c>
      <c r="B120" s="25">
        <f>(E112-C112)/(D112-B112)</f>
        <v>1.0165519392278732</v>
      </c>
      <c r="C120" s="26">
        <f>E112-B120*D112</f>
        <v>-2.5318207133151027E-2</v>
      </c>
      <c r="D120" s="29">
        <v>1.0164</v>
      </c>
      <c r="E120" s="30">
        <v>-2.3900000000000001E-2</v>
      </c>
    </row>
    <row r="121" spans="1:5" x14ac:dyDescent="0.3">
      <c r="A121" s="37" t="s">
        <v>124</v>
      </c>
      <c r="B121" s="25">
        <f>(E113-C113)/(D113-B113)</f>
        <v>10.098663697104676</v>
      </c>
      <c r="C121" s="26">
        <f>E113-B121*D113</f>
        <v>-4.7408530066814336E-2</v>
      </c>
      <c r="D121" s="29">
        <v>10.108000000000001</v>
      </c>
      <c r="E121" s="30">
        <v>-4.8899999999999999E-2</v>
      </c>
    </row>
    <row r="122" spans="1:5" x14ac:dyDescent="0.3">
      <c r="A122" s="37" t="s">
        <v>125</v>
      </c>
      <c r="B122" s="25">
        <f>(E114-C114)/(D114-B114)</f>
        <v>49.427855711422843</v>
      </c>
      <c r="C122" s="26">
        <f>E114-B122*D114</f>
        <v>-0.19449949899799623</v>
      </c>
      <c r="D122" s="29">
        <v>49.631999999999998</v>
      </c>
      <c r="E122" s="30">
        <v>-0.22209999999999999</v>
      </c>
    </row>
    <row r="123" spans="1:5" ht="15" thickBot="1" x14ac:dyDescent="0.35">
      <c r="B123" s="27">
        <f>(E115-C115)/(D115-B115)</f>
        <v>101.74497991967871</v>
      </c>
      <c r="C123" s="28">
        <f>E115-B123*D115</f>
        <v>-0.53016847389558297</v>
      </c>
      <c r="D123" s="31">
        <v>101.85</v>
      </c>
      <c r="E123" s="32">
        <v>-5.2540000000000003E-2</v>
      </c>
    </row>
    <row r="125" spans="1:5" x14ac:dyDescent="0.3">
      <c r="B125" t="s">
        <v>136</v>
      </c>
    </row>
    <row r="126" spans="1:5" x14ac:dyDescent="0.3">
      <c r="B126" t="s">
        <v>137</v>
      </c>
    </row>
    <row r="127" spans="1:5" x14ac:dyDescent="0.3">
      <c r="B127" t="s">
        <v>138</v>
      </c>
    </row>
  </sheetData>
  <pageMargins left="0.7" right="0.7" top="0.75" bottom="0.75" header="0.3" footer="0.3"/>
  <pageSetup paperSize="3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4CD3F-A7E3-43E4-A82F-302D6CA4F9B0}">
  <dimension ref="A1:K28"/>
  <sheetViews>
    <sheetView tabSelected="1" zoomScale="70" zoomScaleNormal="85" workbookViewId="0">
      <selection activeCell="F28" sqref="F28"/>
    </sheetView>
  </sheetViews>
  <sheetFormatPr defaultRowHeight="14.4" x14ac:dyDescent="0.3"/>
  <cols>
    <col min="1" max="1" width="10.5546875" customWidth="1"/>
    <col min="2" max="2" width="12.21875" bestFit="1" customWidth="1"/>
    <col min="3" max="3" width="11.88671875" bestFit="1" customWidth="1"/>
    <col min="4" max="4" width="20.109375" bestFit="1" customWidth="1"/>
    <col min="5" max="5" width="12.6640625" bestFit="1" customWidth="1"/>
    <col min="6" max="6" width="16" bestFit="1" customWidth="1"/>
    <col min="7" max="7" width="15.5546875" bestFit="1" customWidth="1"/>
    <col min="8" max="8" width="14.5546875" bestFit="1" customWidth="1"/>
    <col min="9" max="9" width="19.44140625" bestFit="1" customWidth="1"/>
    <col min="10" max="10" width="18" bestFit="1" customWidth="1"/>
  </cols>
  <sheetData>
    <row r="1" spans="1:11" ht="21" x14ac:dyDescent="0.4">
      <c r="A1" s="34" t="s">
        <v>181</v>
      </c>
    </row>
    <row r="2" spans="1:11" x14ac:dyDescent="0.3">
      <c r="A2" s="2" t="s">
        <v>73</v>
      </c>
    </row>
    <row r="3" spans="1:11" x14ac:dyDescent="0.3">
      <c r="A3" s="2"/>
    </row>
    <row r="4" spans="1:11" x14ac:dyDescent="0.3">
      <c r="A4" t="s">
        <v>74</v>
      </c>
    </row>
    <row r="5" spans="1:11" x14ac:dyDescent="0.3">
      <c r="B5" s="39" t="s">
        <v>80</v>
      </c>
      <c r="C5" s="39"/>
      <c r="D5" s="5"/>
      <c r="E5" s="5"/>
      <c r="F5" s="39" t="s">
        <v>79</v>
      </c>
      <c r="G5" s="39"/>
    </row>
    <row r="6" spans="1:11" x14ac:dyDescent="0.3">
      <c r="A6" s="2" t="s">
        <v>75</v>
      </c>
      <c r="B6" s="2" t="s">
        <v>76</v>
      </c>
      <c r="C6" s="2" t="s">
        <v>77</v>
      </c>
      <c r="D6" s="2" t="s">
        <v>81</v>
      </c>
      <c r="E6" s="2" t="s">
        <v>85</v>
      </c>
      <c r="F6" s="2" t="s">
        <v>82</v>
      </c>
      <c r="G6" s="2" t="s">
        <v>78</v>
      </c>
      <c r="H6" s="2" t="s">
        <v>84</v>
      </c>
      <c r="I6" s="2" t="s">
        <v>86</v>
      </c>
      <c r="J6" s="2" t="s">
        <v>87</v>
      </c>
    </row>
    <row r="7" spans="1:11" x14ac:dyDescent="0.3">
      <c r="A7" s="16">
        <v>1.4988999999999999</v>
      </c>
      <c r="B7" s="4">
        <v>2</v>
      </c>
      <c r="C7">
        <v>10</v>
      </c>
      <c r="D7">
        <v>1.99</v>
      </c>
      <c r="E7">
        <v>1.02</v>
      </c>
      <c r="F7">
        <v>0.52893000000000001</v>
      </c>
      <c r="G7">
        <v>10</v>
      </c>
      <c r="H7">
        <v>1.08</v>
      </c>
      <c r="I7">
        <f>H7/E7</f>
        <v>1.0588235294117647</v>
      </c>
      <c r="J7">
        <f>20*LOG10(I7)</f>
        <v>0.49647167450064289</v>
      </c>
    </row>
    <row r="8" spans="1:11" x14ac:dyDescent="0.3">
      <c r="A8" s="16">
        <v>1.4991000000000001</v>
      </c>
      <c r="B8" s="4">
        <v>2</v>
      </c>
      <c r="C8">
        <v>20</v>
      </c>
      <c r="D8">
        <v>2.0099999999999998</v>
      </c>
      <c r="E8">
        <v>1.02</v>
      </c>
      <c r="F8">
        <v>0.53349999999999997</v>
      </c>
      <c r="G8">
        <v>20</v>
      </c>
      <c r="H8">
        <v>1.08</v>
      </c>
      <c r="I8">
        <f t="shared" ref="I8:I27" si="0">H8/E8</f>
        <v>1.0588235294117647</v>
      </c>
      <c r="J8">
        <f t="shared" ref="J8:J27" si="1">20*LOG10(I8)</f>
        <v>0.49647167450064289</v>
      </c>
    </row>
    <row r="9" spans="1:11" x14ac:dyDescent="0.3">
      <c r="A9" s="16">
        <v>1.4991000000000001</v>
      </c>
      <c r="B9" s="4">
        <v>2</v>
      </c>
      <c r="C9">
        <v>50</v>
      </c>
      <c r="D9">
        <v>2</v>
      </c>
      <c r="E9">
        <v>1.02</v>
      </c>
      <c r="F9">
        <v>0.53349999999999997</v>
      </c>
      <c r="G9">
        <v>20</v>
      </c>
      <c r="H9">
        <v>1.08</v>
      </c>
      <c r="I9">
        <f t="shared" si="0"/>
        <v>1.0588235294117647</v>
      </c>
      <c r="J9">
        <f t="shared" si="1"/>
        <v>0.49647167450064289</v>
      </c>
    </row>
    <row r="10" spans="1:11" x14ac:dyDescent="0.3">
      <c r="A10" s="16">
        <v>1.4991000000000001</v>
      </c>
      <c r="B10" s="4">
        <v>2</v>
      </c>
      <c r="C10">
        <v>100</v>
      </c>
      <c r="D10">
        <v>2</v>
      </c>
      <c r="E10">
        <v>1.02</v>
      </c>
      <c r="F10">
        <v>0.52929000000000004</v>
      </c>
      <c r="G10">
        <v>100</v>
      </c>
      <c r="H10">
        <v>1.1000000000000001</v>
      </c>
      <c r="I10">
        <f t="shared" si="0"/>
        <v>1.0784313725490198</v>
      </c>
      <c r="J10">
        <f t="shared" si="1"/>
        <v>0.65585026792615086</v>
      </c>
    </row>
    <row r="11" spans="1:11" x14ac:dyDescent="0.3">
      <c r="A11" s="16">
        <v>1.4991000000000001</v>
      </c>
      <c r="B11" s="4">
        <v>2</v>
      </c>
      <c r="C11">
        <v>200</v>
      </c>
      <c r="D11">
        <v>2.0099999999999998</v>
      </c>
      <c r="E11">
        <v>1.02</v>
      </c>
      <c r="F11">
        <v>0.53395000000000004</v>
      </c>
      <c r="G11">
        <v>199.98</v>
      </c>
      <c r="H11">
        <v>1.1000000000000001</v>
      </c>
      <c r="I11">
        <f t="shared" si="0"/>
        <v>1.0784313725490198</v>
      </c>
      <c r="J11">
        <f t="shared" si="1"/>
        <v>0.65585026792615086</v>
      </c>
    </row>
    <row r="12" spans="1:11" x14ac:dyDescent="0.3">
      <c r="A12" s="16">
        <v>1.4991000000000001</v>
      </c>
      <c r="B12" s="4">
        <v>2</v>
      </c>
      <c r="C12">
        <v>500</v>
      </c>
      <c r="D12">
        <v>2</v>
      </c>
      <c r="E12">
        <v>1.06</v>
      </c>
      <c r="F12">
        <v>0.52949999999999997</v>
      </c>
      <c r="G12">
        <v>499.99</v>
      </c>
      <c r="H12">
        <v>1.08</v>
      </c>
      <c r="I12">
        <f t="shared" si="0"/>
        <v>1.0188679245283019</v>
      </c>
      <c r="J12">
        <f t="shared" si="1"/>
        <v>0.16235780444358919</v>
      </c>
    </row>
    <row r="13" spans="1:11" x14ac:dyDescent="0.3">
      <c r="A13" s="16">
        <v>1.4991000000000001</v>
      </c>
      <c r="B13" s="4">
        <v>2</v>
      </c>
      <c r="C13">
        <v>1000</v>
      </c>
      <c r="D13">
        <v>2.0099999999999998</v>
      </c>
      <c r="E13">
        <v>1.06</v>
      </c>
      <c r="F13">
        <v>0.53254999999999997</v>
      </c>
      <c r="G13">
        <v>1000</v>
      </c>
      <c r="H13">
        <v>1.08</v>
      </c>
      <c r="I13">
        <f t="shared" si="0"/>
        <v>1.0188679245283019</v>
      </c>
      <c r="J13">
        <f t="shared" si="1"/>
        <v>0.16235780444358919</v>
      </c>
    </row>
    <row r="14" spans="1:11" x14ac:dyDescent="0.3">
      <c r="A14" s="16">
        <v>1.4991000000000001</v>
      </c>
      <c r="B14" s="4">
        <v>2</v>
      </c>
      <c r="C14">
        <v>2000</v>
      </c>
      <c r="D14">
        <v>2.0099999999999998</v>
      </c>
      <c r="E14">
        <v>1.06</v>
      </c>
      <c r="F14">
        <v>0.5323</v>
      </c>
      <c r="G14">
        <v>2000</v>
      </c>
      <c r="H14">
        <v>1.06</v>
      </c>
      <c r="I14">
        <f t="shared" si="0"/>
        <v>1</v>
      </c>
      <c r="J14">
        <f t="shared" si="1"/>
        <v>0</v>
      </c>
    </row>
    <row r="15" spans="1:11" x14ac:dyDescent="0.3">
      <c r="A15" s="16">
        <v>1.4991000000000001</v>
      </c>
      <c r="B15" s="4">
        <v>2</v>
      </c>
      <c r="C15">
        <v>5000</v>
      </c>
      <c r="D15">
        <v>2.0099999999999998</v>
      </c>
      <c r="E15">
        <v>1.06</v>
      </c>
      <c r="F15">
        <v>0.5323</v>
      </c>
      <c r="G15">
        <v>5000</v>
      </c>
      <c r="H15">
        <v>1.06</v>
      </c>
      <c r="I15">
        <f t="shared" si="0"/>
        <v>1</v>
      </c>
      <c r="J15">
        <f t="shared" si="1"/>
        <v>0</v>
      </c>
    </row>
    <row r="16" spans="1:11" x14ac:dyDescent="0.3">
      <c r="A16" s="16">
        <v>1.4991000000000001</v>
      </c>
      <c r="B16" s="4">
        <v>2</v>
      </c>
      <c r="C16">
        <v>10000</v>
      </c>
      <c r="D16">
        <v>2.0099999999999998</v>
      </c>
      <c r="E16">
        <v>1.06</v>
      </c>
      <c r="F16">
        <v>0.53202000000000005</v>
      </c>
      <c r="G16">
        <v>10000</v>
      </c>
      <c r="H16">
        <v>1.02</v>
      </c>
      <c r="I16">
        <f t="shared" si="0"/>
        <v>0.96226415094339623</v>
      </c>
      <c r="J16">
        <f t="shared" si="1"/>
        <v>-0.33411387005705351</v>
      </c>
      <c r="K16" t="s">
        <v>83</v>
      </c>
    </row>
    <row r="17" spans="1:11" x14ac:dyDescent="0.3">
      <c r="A17" s="16">
        <v>1.4991000000000001</v>
      </c>
      <c r="B17" s="4">
        <v>2</v>
      </c>
      <c r="C17">
        <v>12000</v>
      </c>
      <c r="D17">
        <v>2.0099999999999998</v>
      </c>
      <c r="E17">
        <v>1.06</v>
      </c>
      <c r="F17">
        <v>0.52680000000000005</v>
      </c>
      <c r="G17">
        <v>12000</v>
      </c>
      <c r="H17">
        <v>1</v>
      </c>
      <c r="I17">
        <f t="shared" si="0"/>
        <v>0.94339622641509424</v>
      </c>
      <c r="J17">
        <f t="shared" si="1"/>
        <v>-0.50611730529540577</v>
      </c>
    </row>
    <row r="18" spans="1:11" x14ac:dyDescent="0.3">
      <c r="A18" s="16">
        <v>1.4991000000000001</v>
      </c>
      <c r="B18" s="4">
        <v>2</v>
      </c>
      <c r="C18">
        <v>15000</v>
      </c>
      <c r="D18">
        <v>2</v>
      </c>
      <c r="E18">
        <v>1.06</v>
      </c>
      <c r="F18">
        <v>0.51770000000000005</v>
      </c>
      <c r="G18">
        <v>15000</v>
      </c>
      <c r="H18">
        <v>0.96</v>
      </c>
      <c r="I18">
        <f t="shared" si="0"/>
        <v>0.90566037735849048</v>
      </c>
      <c r="J18">
        <f t="shared" si="1"/>
        <v>-0.86069264450403737</v>
      </c>
      <c r="K18" t="s">
        <v>185</v>
      </c>
    </row>
    <row r="19" spans="1:11" x14ac:dyDescent="0.3">
      <c r="A19" s="16">
        <v>1.4991000000000001</v>
      </c>
      <c r="B19" s="4">
        <v>2</v>
      </c>
      <c r="C19">
        <v>20000</v>
      </c>
      <c r="D19">
        <v>2.0099999999999998</v>
      </c>
      <c r="E19">
        <v>1.06</v>
      </c>
      <c r="F19">
        <v>0.53134999999999999</v>
      </c>
      <c r="G19">
        <v>20000</v>
      </c>
      <c r="H19">
        <v>0.88</v>
      </c>
      <c r="I19">
        <f t="shared" si="0"/>
        <v>0.83018867924528295</v>
      </c>
      <c r="J19">
        <f t="shared" si="1"/>
        <v>-1.6164638622920329</v>
      </c>
    </row>
    <row r="20" spans="1:11" x14ac:dyDescent="0.3">
      <c r="A20" s="16">
        <v>1.4991000000000001</v>
      </c>
      <c r="B20" s="4">
        <v>2</v>
      </c>
      <c r="C20">
        <v>22000</v>
      </c>
      <c r="D20">
        <v>2.0099999999999998</v>
      </c>
      <c r="E20">
        <v>1.06</v>
      </c>
      <c r="F20">
        <v>0.53805999999999998</v>
      </c>
      <c r="G20">
        <v>22000</v>
      </c>
      <c r="H20">
        <v>0.84</v>
      </c>
      <c r="I20">
        <f t="shared" si="0"/>
        <v>0.79245283018867918</v>
      </c>
      <c r="J20">
        <f t="shared" si="1"/>
        <v>-2.0205315840577724</v>
      </c>
    </row>
    <row r="21" spans="1:11" x14ac:dyDescent="0.3">
      <c r="A21" s="16">
        <v>1.4991000000000001</v>
      </c>
      <c r="B21" s="4">
        <v>2</v>
      </c>
      <c r="C21">
        <v>25000</v>
      </c>
      <c r="D21">
        <v>1.99</v>
      </c>
      <c r="E21">
        <v>1.06</v>
      </c>
      <c r="F21">
        <v>0.52149999999999996</v>
      </c>
      <c r="G21">
        <v>25000</v>
      </c>
      <c r="H21">
        <v>0.84</v>
      </c>
      <c r="I21">
        <f t="shared" si="0"/>
        <v>0.79245283018867918</v>
      </c>
      <c r="J21">
        <f t="shared" si="1"/>
        <v>-2.0205315840577724</v>
      </c>
    </row>
    <row r="22" spans="1:11" x14ac:dyDescent="0.3">
      <c r="A22" s="16">
        <v>1.4991000000000001</v>
      </c>
      <c r="B22" s="4">
        <v>2</v>
      </c>
      <c r="C22">
        <v>30000</v>
      </c>
      <c r="D22">
        <v>1.98</v>
      </c>
      <c r="E22">
        <v>1.06</v>
      </c>
      <c r="F22">
        <v>0.51344999999999996</v>
      </c>
      <c r="G22">
        <v>30000</v>
      </c>
      <c r="H22">
        <v>0.68</v>
      </c>
      <c r="I22">
        <f t="shared" si="0"/>
        <v>0.64150943396226412</v>
      </c>
      <c r="J22">
        <f t="shared" si="1"/>
        <v>-3.8559390511706786</v>
      </c>
    </row>
    <row r="23" spans="1:11" x14ac:dyDescent="0.3">
      <c r="A23" s="16">
        <v>1.4991000000000001</v>
      </c>
      <c r="B23" s="4">
        <v>2</v>
      </c>
      <c r="C23">
        <v>50000</v>
      </c>
      <c r="D23">
        <v>1.99</v>
      </c>
      <c r="E23">
        <v>1.08</v>
      </c>
      <c r="F23">
        <v>0.51619999999999999</v>
      </c>
      <c r="G23">
        <v>50000</v>
      </c>
      <c r="H23">
        <v>0.32</v>
      </c>
      <c r="I23">
        <f t="shared" si="0"/>
        <v>0.29629629629629628</v>
      </c>
      <c r="J23">
        <f t="shared" si="1"/>
        <v>-10.565475543340874</v>
      </c>
    </row>
    <row r="24" spans="1:11" x14ac:dyDescent="0.3">
      <c r="A24" s="16">
        <v>1.4991000000000001</v>
      </c>
      <c r="B24" s="4">
        <v>2</v>
      </c>
      <c r="C24">
        <v>75000</v>
      </c>
      <c r="D24">
        <v>1.98</v>
      </c>
      <c r="E24">
        <v>1.08</v>
      </c>
      <c r="F24">
        <v>0.53139999999999998</v>
      </c>
      <c r="G24">
        <v>75000</v>
      </c>
      <c r="H24">
        <v>6.88E-2</v>
      </c>
      <c r="I24">
        <f t="shared" si="0"/>
        <v>6.3703703703703693E-2</v>
      </c>
      <c r="J24">
        <f t="shared" si="1"/>
        <v>-23.916706345028768</v>
      </c>
    </row>
    <row r="25" spans="1:11" x14ac:dyDescent="0.3">
      <c r="A25" s="16">
        <v>1.4991000000000001</v>
      </c>
      <c r="B25" s="4">
        <v>2</v>
      </c>
      <c r="C25">
        <v>100000</v>
      </c>
      <c r="D25">
        <v>1.98</v>
      </c>
      <c r="E25">
        <v>1.08</v>
      </c>
      <c r="F25">
        <v>0.53081999999999996</v>
      </c>
      <c r="G25">
        <v>100000</v>
      </c>
      <c r="H25">
        <v>1.6799999999999999E-2</v>
      </c>
      <c r="I25">
        <f t="shared" si="0"/>
        <v>1.5555555555555553E-2</v>
      </c>
      <c r="J25">
        <f t="shared" si="1"/>
        <v>-36.162289475221733</v>
      </c>
    </row>
    <row r="26" spans="1:11" x14ac:dyDescent="0.3">
      <c r="A26" s="16">
        <v>1.4991000000000001</v>
      </c>
      <c r="B26" s="4">
        <v>2</v>
      </c>
      <c r="C26">
        <v>150000</v>
      </c>
      <c r="D26">
        <v>1.98</v>
      </c>
      <c r="E26">
        <v>1.08</v>
      </c>
      <c r="H26">
        <v>2.5999999999999999E-3</v>
      </c>
      <c r="I26">
        <f t="shared" si="0"/>
        <v>2.4074074074074072E-3</v>
      </c>
      <c r="J26">
        <f t="shared" si="1"/>
        <v>-52.369008150322635</v>
      </c>
    </row>
    <row r="27" spans="1:11" x14ac:dyDescent="0.3">
      <c r="A27" s="16">
        <v>1.4991000000000001</v>
      </c>
      <c r="B27" s="4">
        <v>2</v>
      </c>
      <c r="C27">
        <v>200000</v>
      </c>
      <c r="D27">
        <v>1.98</v>
      </c>
      <c r="E27">
        <v>1.08</v>
      </c>
      <c r="H27">
        <v>1.1999999999999999E-3</v>
      </c>
      <c r="I27">
        <f t="shared" si="0"/>
        <v>1.1111111111111109E-3</v>
      </c>
      <c r="J27">
        <f t="shared" si="1"/>
        <v>-59.084850188786497</v>
      </c>
      <c r="K27" t="s">
        <v>186</v>
      </c>
    </row>
    <row r="28" spans="1:11" x14ac:dyDescent="0.3">
      <c r="K28" t="s">
        <v>187</v>
      </c>
    </row>
  </sheetData>
  <mergeCells count="2">
    <mergeCell ref="F5:G5"/>
    <mergeCell ref="B5:C5"/>
  </mergeCells>
  <pageMargins left="0.7" right="0.7" top="0.75" bottom="0.75" header="0.3" footer="0.3"/>
  <pageSetup paperSize="3"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F0F2C-0E6A-417E-96A1-D0B1DB4D2DA0}">
  <dimension ref="A1:B23"/>
  <sheetViews>
    <sheetView zoomScale="86" workbookViewId="0">
      <selection activeCell="I20" sqref="I20"/>
    </sheetView>
  </sheetViews>
  <sheetFormatPr defaultRowHeight="14.4" x14ac:dyDescent="0.3"/>
  <cols>
    <col min="1" max="1" width="8.109375" bestFit="1" customWidth="1"/>
    <col min="2" max="2" width="8.21875" bestFit="1" customWidth="1"/>
  </cols>
  <sheetData>
    <row r="1" spans="1:2" ht="21" x14ac:dyDescent="0.4">
      <c r="A1" s="34" t="s">
        <v>180</v>
      </c>
    </row>
    <row r="2" spans="1:2" x14ac:dyDescent="0.3">
      <c r="A2" t="s">
        <v>105</v>
      </c>
      <c r="B2" t="s">
        <v>104</v>
      </c>
    </row>
    <row r="3" spans="1:2" x14ac:dyDescent="0.3">
      <c r="A3">
        <v>10</v>
      </c>
      <c r="B3">
        <v>0</v>
      </c>
    </row>
    <row r="4" spans="1:2" x14ac:dyDescent="0.3">
      <c r="A4">
        <v>20</v>
      </c>
      <c r="B4">
        <v>0</v>
      </c>
    </row>
    <row r="5" spans="1:2" x14ac:dyDescent="0.3">
      <c r="A5">
        <v>50</v>
      </c>
      <c r="B5">
        <v>0</v>
      </c>
    </row>
    <row r="6" spans="1:2" x14ac:dyDescent="0.3">
      <c r="A6">
        <v>100</v>
      </c>
      <c r="B6">
        <v>0</v>
      </c>
    </row>
    <row r="7" spans="1:2" x14ac:dyDescent="0.3">
      <c r="A7">
        <v>200</v>
      </c>
      <c r="B7">
        <v>0</v>
      </c>
    </row>
    <row r="8" spans="1:2" x14ac:dyDescent="0.3">
      <c r="A8">
        <v>500</v>
      </c>
      <c r="B8">
        <v>-1E-3</v>
      </c>
    </row>
    <row r="9" spans="1:2" x14ac:dyDescent="0.3">
      <c r="A9">
        <v>1000</v>
      </c>
      <c r="B9">
        <v>-4.0000000000000001E-3</v>
      </c>
    </row>
    <row r="10" spans="1:2" x14ac:dyDescent="0.3">
      <c r="A10">
        <v>2000</v>
      </c>
      <c r="B10">
        <v>-1.6E-2</v>
      </c>
    </row>
    <row r="11" spans="1:2" x14ac:dyDescent="0.3">
      <c r="A11">
        <v>5000</v>
      </c>
      <c r="B11">
        <v>-0.10100000000000001</v>
      </c>
    </row>
    <row r="12" spans="1:2" x14ac:dyDescent="0.3">
      <c r="A12">
        <v>10000</v>
      </c>
      <c r="B12">
        <v>-0.39900000000000002</v>
      </c>
    </row>
    <row r="13" spans="1:2" x14ac:dyDescent="0.3">
      <c r="A13">
        <v>12000</v>
      </c>
      <c r="B13">
        <v>-0.57599999999999996</v>
      </c>
    </row>
    <row r="14" spans="1:2" x14ac:dyDescent="0.3">
      <c r="A14">
        <v>15000</v>
      </c>
      <c r="B14">
        <v>-0.88300000000000001</v>
      </c>
    </row>
    <row r="15" spans="1:2" x14ac:dyDescent="0.3">
      <c r="A15">
        <v>20000</v>
      </c>
      <c r="B15">
        <v>-1.556</v>
      </c>
    </row>
    <row r="16" spans="1:2" x14ac:dyDescent="0.3">
      <c r="A16">
        <v>22000</v>
      </c>
      <c r="B16">
        <v>-1.8779999999999999</v>
      </c>
    </row>
    <row r="17" spans="1:2" x14ac:dyDescent="0.3">
      <c r="A17">
        <v>25000</v>
      </c>
      <c r="B17">
        <v>-2.4129999999999998</v>
      </c>
    </row>
    <row r="18" spans="1:2" x14ac:dyDescent="0.3">
      <c r="A18">
        <v>30000</v>
      </c>
      <c r="B18">
        <v>-3.4670000000000001</v>
      </c>
    </row>
    <row r="19" spans="1:2" x14ac:dyDescent="0.3">
      <c r="A19">
        <v>50000</v>
      </c>
      <c r="B19">
        <v>-10.199999999999999</v>
      </c>
    </row>
    <row r="20" spans="1:2" x14ac:dyDescent="0.3">
      <c r="A20">
        <v>75000</v>
      </c>
      <c r="B20">
        <v>-22.902999999999999</v>
      </c>
    </row>
    <row r="21" spans="1:2" x14ac:dyDescent="0.3">
      <c r="A21">
        <v>100000</v>
      </c>
      <c r="B21">
        <v>-36.156999999999996</v>
      </c>
    </row>
    <row r="22" spans="1:2" x14ac:dyDescent="0.3">
      <c r="A22">
        <v>150000</v>
      </c>
      <c r="B22">
        <v>-54.75</v>
      </c>
    </row>
    <row r="23" spans="1:2" x14ac:dyDescent="0.3">
      <c r="A23">
        <v>200000</v>
      </c>
      <c r="B23">
        <v>-68.852000000000004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Power rails</vt:lpstr>
      <vt:lpstr>LS SE Gains</vt:lpstr>
      <vt:lpstr>LS SE Input Pulldown</vt:lpstr>
      <vt:lpstr>AA filter input bias offset</vt:lpstr>
      <vt:lpstr>AA filter comp experiments</vt:lpstr>
      <vt:lpstr>AA filter mag response</vt:lpstr>
      <vt:lpstr>AA filter mag resp LTspice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Yun</dc:creator>
  <cp:lastModifiedBy>Jasper Yun</cp:lastModifiedBy>
  <cp:lastPrinted>2023-03-27T19:51:27Z</cp:lastPrinted>
  <dcterms:created xsi:type="dcterms:W3CDTF">2022-11-22T14:42:22Z</dcterms:created>
  <dcterms:modified xsi:type="dcterms:W3CDTF">2023-04-13T12:37:29Z</dcterms:modified>
</cp:coreProperties>
</file>