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0 Documentation\1 Design Calculations\"/>
    </mc:Choice>
  </mc:AlternateContent>
  <xr:revisionPtr revIDLastSave="0" documentId="13_ncr:1_{E476390F-6CED-4F67-9A6E-5E394553EE6F}" xr6:coauthVersionLast="47" xr6:coauthVersionMax="47" xr10:uidLastSave="{00000000-0000-0000-0000-000000000000}"/>
  <bookViews>
    <workbookView xWindow="-108" yWindow="-108" windowWidth="23256" windowHeight="14016" tabRatio="833" firstSheet="1" activeTab="8" xr2:uid="{332224D6-7097-403A-AE45-EBC3D80EB06D}"/>
  </bookViews>
  <sheets>
    <sheet name="Power Budget" sheetId="6" r:id="rId1"/>
    <sheet name="Digital Input Protection" sheetId="1" r:id="rId2"/>
    <sheet name="ADC Resolution" sheetId="2" r:id="rId3"/>
    <sheet name="ADC Tolerance" sheetId="5" r:id="rId4"/>
    <sheet name="TPS65131 Calcs" sheetId="8" r:id="rId5"/>
    <sheet name="Pwr Mgmt Tolerances" sheetId="9" r:id="rId6"/>
    <sheet name="5V Precision Ref Biasing" sheetId="7" r:id="rId7"/>
    <sheet name="ADC SPI Bandwidth" sheetId="3" r:id="rId8"/>
    <sheet name="Sheet2" sheetId="10" r:id="rId9"/>
    <sheet name="High-Speed AIN Filtering" sheetId="4" r:id="rId10"/>
  </sheets>
  <definedNames>
    <definedName name="_RAIL_12V">12</definedName>
    <definedName name="_RAIL_1V8_A">1.8</definedName>
    <definedName name="_RAIL_3V3">3.3</definedName>
    <definedName name="_RAIL_5V">5</definedName>
    <definedName name="_RAIL_5V_A">5</definedName>
    <definedName name="_RAIL_NEG_12V">-12</definedName>
    <definedName name="EFF_12V_BOOST">0.8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K9" i="6"/>
  <c r="K8" i="6"/>
  <c r="K7" i="6"/>
  <c r="K6" i="6"/>
  <c r="E29" i="9"/>
  <c r="D29" i="9"/>
  <c r="C29" i="9"/>
  <c r="E31" i="9"/>
  <c r="D31" i="9"/>
  <c r="C31" i="9"/>
  <c r="E20" i="9"/>
  <c r="D20" i="9"/>
  <c r="C20" i="9"/>
  <c r="E18" i="9"/>
  <c r="D18" i="9"/>
  <c r="C18" i="9"/>
  <c r="E24" i="9"/>
  <c r="D24" i="9"/>
  <c r="C24" i="9"/>
  <c r="E14" i="9"/>
  <c r="C14" i="9"/>
  <c r="D14" i="9"/>
  <c r="E12" i="9"/>
  <c r="C12" i="9"/>
  <c r="E11" i="9"/>
  <c r="C11" i="9"/>
  <c r="E8" i="9"/>
  <c r="C8" i="9"/>
  <c r="D8" i="9"/>
  <c r="E6" i="9"/>
  <c r="E5" i="9"/>
  <c r="C6" i="9"/>
  <c r="C5" i="9"/>
  <c r="B31" i="2"/>
  <c r="B32" i="2" s="1"/>
  <c r="H8" i="5"/>
  <c r="B9" i="8"/>
  <c r="G39" i="8"/>
  <c r="B39" i="8"/>
  <c r="G35" i="8"/>
  <c r="B35" i="8"/>
  <c r="G33" i="8"/>
  <c r="B33" i="8"/>
  <c r="B25" i="8"/>
  <c r="B26" i="8" s="1"/>
  <c r="B28" i="8" s="1"/>
  <c r="G25" i="8"/>
  <c r="G26" i="8" s="1"/>
  <c r="G28" i="8" s="1"/>
  <c r="G12" i="8"/>
  <c r="G9" i="8"/>
  <c r="B12" i="8"/>
  <c r="E17" i="7"/>
  <c r="C17" i="7"/>
  <c r="D17" i="7"/>
  <c r="E16" i="7"/>
  <c r="C16" i="7"/>
  <c r="E6" i="7"/>
  <c r="C12" i="7" s="1"/>
  <c r="D6" i="7"/>
  <c r="D14" i="7" s="1"/>
  <c r="C6" i="7"/>
  <c r="E11" i="7"/>
  <c r="D11" i="7"/>
  <c r="C11" i="7"/>
  <c r="E4" i="7"/>
  <c r="D4" i="7"/>
  <c r="C4" i="7"/>
  <c r="E21" i="5"/>
  <c r="H20" i="5" s="1"/>
  <c r="E17" i="5"/>
  <c r="E19" i="5" s="1"/>
  <c r="E13" i="5"/>
  <c r="H12" i="5" s="1"/>
  <c r="G20" i="6"/>
  <c r="F20" i="6"/>
  <c r="E20" i="6"/>
  <c r="E19" i="6"/>
  <c r="G19" i="6"/>
  <c r="F19" i="6" s="1"/>
  <c r="G59" i="6"/>
  <c r="G63" i="6" s="1"/>
  <c r="N9" i="6" s="1"/>
  <c r="F59" i="6"/>
  <c r="F63" i="6" s="1"/>
  <c r="M9" i="6" s="1"/>
  <c r="E59" i="6"/>
  <c r="E63" i="6" s="1"/>
  <c r="L9" i="6" s="1"/>
  <c r="E18" i="6"/>
  <c r="G18" i="6"/>
  <c r="F18" i="6"/>
  <c r="G66" i="6"/>
  <c r="G68" i="6" s="1"/>
  <c r="F66" i="6"/>
  <c r="F68" i="6" s="1"/>
  <c r="M10" i="6" s="1"/>
  <c r="E66" i="6"/>
  <c r="E68" i="6" s="1"/>
  <c r="L10" i="6" s="1"/>
  <c r="F46" i="6"/>
  <c r="G46" i="6" s="1"/>
  <c r="G56" i="6" s="1"/>
  <c r="N8" i="6" s="1"/>
  <c r="E46" i="6"/>
  <c r="E56" i="6" s="1"/>
  <c r="L8" i="6" s="1"/>
  <c r="G35" i="6"/>
  <c r="F35" i="6"/>
  <c r="E35" i="6"/>
  <c r="G34" i="6"/>
  <c r="F34" i="6"/>
  <c r="E34" i="6"/>
  <c r="K5" i="6"/>
  <c r="F20" i="5"/>
  <c r="D20" i="5"/>
  <c r="F16" i="5"/>
  <c r="D16" i="5"/>
  <c r="F12" i="5"/>
  <c r="D12" i="5"/>
  <c r="E11" i="5"/>
  <c r="F8" i="5"/>
  <c r="D8" i="5"/>
  <c r="F9" i="5"/>
  <c r="D9" i="5"/>
  <c r="C5" i="4"/>
  <c r="C6" i="4"/>
  <c r="C7" i="4"/>
  <c r="C8" i="4"/>
  <c r="C9" i="4"/>
  <c r="C10" i="4"/>
  <c r="C11" i="4"/>
  <c r="C12" i="4"/>
  <c r="C4" i="4"/>
  <c r="C5" i="5"/>
  <c r="G7" i="2"/>
  <c r="G14" i="2" s="1"/>
  <c r="G5" i="2"/>
  <c r="G12" i="2" s="1"/>
  <c r="G13" i="2"/>
  <c r="G11" i="2"/>
  <c r="B33" i="3"/>
  <c r="B25" i="3"/>
  <c r="B12" i="2"/>
  <c r="B29" i="1"/>
  <c r="B31" i="1" s="1"/>
  <c r="B28" i="1"/>
  <c r="B19" i="1"/>
  <c r="B26" i="1"/>
  <c r="B25" i="1"/>
  <c r="B24" i="1"/>
  <c r="B18" i="1"/>
  <c r="B25" i="2"/>
  <c r="B26" i="2" s="1"/>
  <c r="B10" i="3"/>
  <c r="B12" i="3" s="1"/>
  <c r="B17" i="2"/>
  <c r="B19" i="2" s="1"/>
  <c r="B11" i="2"/>
  <c r="B10" i="2"/>
  <c r="G16" i="2" l="1"/>
  <c r="D21" i="5"/>
  <c r="F23" i="5" s="1"/>
  <c r="F17" i="5"/>
  <c r="E15" i="5"/>
  <c r="D13" i="5"/>
  <c r="F13" i="5"/>
  <c r="E23" i="5"/>
  <c r="D17" i="5"/>
  <c r="D19" i="5" s="1"/>
  <c r="F21" i="5"/>
  <c r="D23" i="5" s="1"/>
  <c r="D11" i="5"/>
  <c r="H16" i="5"/>
  <c r="E12" i="7"/>
  <c r="D12" i="7"/>
  <c r="D15" i="5"/>
  <c r="F15" i="5"/>
  <c r="F27" i="6"/>
  <c r="F30" i="6" s="1"/>
  <c r="F56" i="6"/>
  <c r="M8" i="6" s="1"/>
  <c r="N10" i="6"/>
  <c r="G27" i="6"/>
  <c r="G30" i="6" s="1"/>
  <c r="E27" i="6"/>
  <c r="E30" i="6" s="1"/>
  <c r="G43" i="6"/>
  <c r="G11" i="6" s="1"/>
  <c r="E43" i="6"/>
  <c r="E11" i="6" s="1"/>
  <c r="F43" i="6"/>
  <c r="F11" i="6" s="1"/>
  <c r="F11" i="5"/>
  <c r="B18" i="2"/>
  <c r="B30" i="1"/>
  <c r="B13" i="3"/>
  <c r="F19" i="5" l="1"/>
  <c r="L6" i="6"/>
  <c r="E12" i="6"/>
  <c r="E15" i="6" s="1"/>
  <c r="L5" i="6" s="1"/>
  <c r="N6" i="6"/>
  <c r="G12" i="6"/>
  <c r="M6" i="6"/>
  <c r="F12" i="6"/>
  <c r="M7" i="6"/>
  <c r="L7" i="6"/>
  <c r="N7" i="6"/>
  <c r="F15" i="6" l="1"/>
  <c r="M5" i="6" s="1"/>
  <c r="G15" i="6"/>
  <c r="N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C20" authorId="0" shapeId="0" xr:uid="{AFFF6D64-4135-4CE9-814E-002573C7BD7E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100k pull-down will sink current when relay driver input is HIGH (i.e. relay is powered)</t>
        </r>
      </text>
    </comment>
  </commentList>
</comments>
</file>

<file path=xl/sharedStrings.xml><?xml version="1.0" encoding="utf-8"?>
<sst xmlns="http://schemas.openxmlformats.org/spreadsheetml/2006/main" count="575" uniqueCount="285">
  <si>
    <t>Digital Input Protection</t>
  </si>
  <si>
    <t>Parameter</t>
  </si>
  <si>
    <t>Value</t>
  </si>
  <si>
    <t>Units</t>
  </si>
  <si>
    <t>Comments</t>
  </si>
  <si>
    <t>V</t>
  </si>
  <si>
    <t>mA</t>
  </si>
  <si>
    <t>External protection diode max current</t>
  </si>
  <si>
    <t>External protection diode forward voltage</t>
  </si>
  <si>
    <t>Ohm</t>
  </si>
  <si>
    <t>ADC Resolution</t>
  </si>
  <si>
    <t>Minimum sensor output voltage</t>
  </si>
  <si>
    <t>mV</t>
  </si>
  <si>
    <t>Signal conditioning gain</t>
  </si>
  <si>
    <t>V/V</t>
  </si>
  <si>
    <t>Maximum sensor output voltage</t>
  </si>
  <si>
    <t>Minimum ADC sampling voltage</t>
  </si>
  <si>
    <t>Maximum ADC sampling voltage</t>
  </si>
  <si>
    <t>ADC reference voltage</t>
  </si>
  <si>
    <t>ADC resolution</t>
  </si>
  <si>
    <t>bits</t>
  </si>
  <si>
    <t>mV/LSB</t>
  </si>
  <si>
    <t>Voltage-output pressure transducer is 0.05mV/PSI</t>
  </si>
  <si>
    <t>Sensor resolution</t>
  </si>
  <si>
    <t>mV/PSI</t>
  </si>
  <si>
    <t>Differential output</t>
  </si>
  <si>
    <t>ADC resolution required</t>
  </si>
  <si>
    <t>ADC effective number of bits</t>
  </si>
  <si>
    <t>ADC SINAD</t>
  </si>
  <si>
    <t>dB</t>
  </si>
  <si>
    <t>ADC SPI Bandwidth</t>
  </si>
  <si>
    <t>SPI clock frequency</t>
  </si>
  <si>
    <t>MHz</t>
  </si>
  <si>
    <t>SPI clock period</t>
  </si>
  <si>
    <t>s</t>
  </si>
  <si>
    <t>Time needed to read one sample</t>
  </si>
  <si>
    <t>Max samples read per second</t>
  </si>
  <si>
    <t>Maximum design input voltage</t>
  </si>
  <si>
    <t>Minimum design input voltage</t>
  </si>
  <si>
    <t>Microcontroller pin max voltage</t>
  </si>
  <si>
    <t>FT pins can take up to 3.3+4 = 7.4</t>
  </si>
  <si>
    <t>Maximum design microcontroller pin source current</t>
  </si>
  <si>
    <t>Maximum design microcontroller pin sink current</t>
  </si>
  <si>
    <t>Source: required R1 + R2</t>
  </si>
  <si>
    <t>Sink: required R1 + R2</t>
  </si>
  <si>
    <t>Nominal rated input/output voltage high</t>
  </si>
  <si>
    <t>Nominal rated input/output voltage low</t>
  </si>
  <si>
    <t>Assuming pin outputs 3.3V, short to GND</t>
  </si>
  <si>
    <t>Resultant max input voltage</t>
  </si>
  <si>
    <t>Resultant min input voltage</t>
  </si>
  <si>
    <t>Chosen R1</t>
  </si>
  <si>
    <t>Chosen R2</t>
  </si>
  <si>
    <t>BAT54S rated for 200mA abs max</t>
  </si>
  <si>
    <t>Microcontroller pin source/sink max current</t>
  </si>
  <si>
    <t>Resultant max source/sink current</t>
  </si>
  <si>
    <t>Microcontroller pin min voltage</t>
  </si>
  <si>
    <t>All pins</t>
  </si>
  <si>
    <t>Note: not accounting for variation of diode forward voltage as function of diode current</t>
  </si>
  <si>
    <t>R1 max power dissipation</t>
  </si>
  <si>
    <t>W</t>
  </si>
  <si>
    <t>Current at which Pdiss of R1 is 0.5W</t>
  </si>
  <si>
    <t>Input voltage at which Pdiss of R1 is 0.5W</t>
  </si>
  <si>
    <t>High-Speed Analog Input Filtering</t>
  </si>
  <si>
    <t>-</t>
  </si>
  <si>
    <t>to resolve single PSI</t>
  </si>
  <si>
    <t>PSIs resolvable</t>
  </si>
  <si>
    <t>PSI</t>
  </si>
  <si>
    <t>Data throughput</t>
  </si>
  <si>
    <t>High-speed sample rate</t>
  </si>
  <si>
    <t>Number of high-speed channels</t>
  </si>
  <si>
    <t>Low-speed sample rate</t>
  </si>
  <si>
    <t>Number of low-speed channels</t>
  </si>
  <si>
    <t>sps</t>
  </si>
  <si>
    <t>data bits per sample</t>
  </si>
  <si>
    <t>overhead per sample</t>
  </si>
  <si>
    <t>data throughput</t>
  </si>
  <si>
    <t>Mbit/s</t>
  </si>
  <si>
    <t>LabJack data throughput (max)</t>
  </si>
  <si>
    <t>Data bits per sample</t>
  </si>
  <si>
    <t>samples per second</t>
  </si>
  <si>
    <t>Thrust Load Cell Requirements</t>
  </si>
  <si>
    <t>mV/N</t>
  </si>
  <si>
    <t>slope</t>
  </si>
  <si>
    <t>kN</t>
  </si>
  <si>
    <t xml:space="preserve">max load </t>
  </si>
  <si>
    <t>mV/kgf</t>
  </si>
  <si>
    <t>kilogram-force</t>
  </si>
  <si>
    <t>to resolve single N</t>
  </si>
  <si>
    <t>to resolve single kg</t>
  </si>
  <si>
    <t>N</t>
  </si>
  <si>
    <t>Calculate ENOB</t>
  </si>
  <si>
    <t>Max gain to work with 5V ADC</t>
  </si>
  <si>
    <t>N resolvable</t>
  </si>
  <si>
    <t>- MCP33151-10-E/MS</t>
  </si>
  <si>
    <t>14-bit SAR 1Msps SPI single-ended</t>
  </si>
  <si>
    <t>ADC Tolerance Calculations</t>
  </si>
  <si>
    <t>Min</t>
  </si>
  <si>
    <t>Nom</t>
  </si>
  <si>
    <t>Max</t>
  </si>
  <si>
    <t>Tolerance</t>
  </si>
  <si>
    <t>Vref</t>
  </si>
  <si>
    <t>ENOB</t>
  </si>
  <si>
    <t>V/LSB</t>
  </si>
  <si>
    <t>Non-inverting amplifier Rf</t>
  </si>
  <si>
    <t>Non-inverting amplifier Rg</t>
  </si>
  <si>
    <t>Analog mux on-state resistance</t>
  </si>
  <si>
    <t>Gain = 1 + Rf/Rg</t>
  </si>
  <si>
    <t>G = 1 V/V</t>
  </si>
  <si>
    <t>G = 10 V/V</t>
  </si>
  <si>
    <t>G = 50 V/V</t>
  </si>
  <si>
    <t>G = 100 V/V</t>
  </si>
  <si>
    <t>Component</t>
  </si>
  <si>
    <t>Min (mA)</t>
  </si>
  <si>
    <t>Nom (mA)</t>
  </si>
  <si>
    <t>Max (mA)</t>
  </si>
  <si>
    <t>Loads</t>
  </si>
  <si>
    <t>Derived Voltage Rails</t>
  </si>
  <si>
    <t>Other</t>
  </si>
  <si>
    <t>+12V</t>
  </si>
  <si>
    <t>-12V</t>
  </si>
  <si>
    <t>+5V</t>
  </si>
  <si>
    <t>Totals</t>
  </si>
  <si>
    <t>+3V3</t>
  </si>
  <si>
    <t>+5V_A</t>
  </si>
  <si>
    <t>Summary</t>
  </si>
  <si>
    <t>Rail</t>
  </si>
  <si>
    <t>+1V8_A</t>
  </si>
  <si>
    <t>INA821 In-amp</t>
  </si>
  <si>
    <t>RC4580 Op-amp x 7</t>
  </si>
  <si>
    <t>DG408 8:1 mux x 4</t>
  </si>
  <si>
    <t>MCP33151-10 ADC x 3 (DVio)</t>
  </si>
  <si>
    <t>MCP33151-10 ADC x 3 (VREF)</t>
  </si>
  <si>
    <t>MCP33151-10 ADC x 3 (AVDD)</t>
  </si>
  <si>
    <t>MCP23008 IO Expansion x 3</t>
  </si>
  <si>
    <t>Relay driver HIGH pull-down in driver</t>
  </si>
  <si>
    <t>-12V inverting converter quiescent draw</t>
  </si>
  <si>
    <t>+3V3 (LDO on Teensy)</t>
  </si>
  <si>
    <t>+1V8_A (LDO from +3V3)</t>
  </si>
  <si>
    <t>+5V power good LED (debug)</t>
  </si>
  <si>
    <t>+3V3 power good LED (debug)</t>
  </si>
  <si>
    <t>+12V power good LED (debug)</t>
  </si>
  <si>
    <t>-12V power good LED (debug)</t>
  </si>
  <si>
    <t>+5V_A power good LED (debug)</t>
  </si>
  <si>
    <t>Power Budget</t>
  </si>
  <si>
    <t>+12V LDO quiescent draw</t>
  </si>
  <si>
    <t>+1V8_A LDO quiescent draw</t>
  </si>
  <si>
    <t>Must stay below 500mA to respect USB 2.0 spec!</t>
  </si>
  <si>
    <t>+5V_A (precision shunt reference)</t>
  </si>
  <si>
    <t>Teensy 4.1 consumption</t>
  </si>
  <si>
    <t>5V_A Precision Reference Biasing</t>
  </si>
  <si>
    <t xml:space="preserve">Max </t>
  </si>
  <si>
    <t>Supply voltage (input to shunt)</t>
  </si>
  <si>
    <t>ADC VREF current (load)</t>
  </si>
  <si>
    <t>Shunt reference bias current</t>
  </si>
  <si>
    <t>Shunt reference output voltage</t>
  </si>
  <si>
    <t>Vin - Vshunt_out</t>
  </si>
  <si>
    <t>Total current through Rbias</t>
  </si>
  <si>
    <t>kOhm</t>
  </si>
  <si>
    <t>100mV of ripple is a lot</t>
  </si>
  <si>
    <t>Rbias calculated from Eqn 3</t>
  </si>
  <si>
    <t>Chosen resistor value</t>
  </si>
  <si>
    <t>Resultant bias current</t>
  </si>
  <si>
    <t>verifies my nominal calculation above</t>
  </si>
  <si>
    <t>Rbias</t>
  </si>
  <si>
    <t>Meets requirements!</t>
  </si>
  <si>
    <t>TPS65131 Dual-Rail Boost Calculations</t>
  </si>
  <si>
    <t>R2 max value</t>
  </si>
  <si>
    <t>Vpos</t>
  </si>
  <si>
    <t>Positive boost output voltage value</t>
  </si>
  <si>
    <t>Positive boost output reference voltage</t>
  </si>
  <si>
    <t>R2 chosen value</t>
  </si>
  <si>
    <t>Ideal R1</t>
  </si>
  <si>
    <t>Actual Vpos</t>
  </si>
  <si>
    <t>Positive Boost Converter</t>
  </si>
  <si>
    <t>Inverting Boost Converter</t>
  </si>
  <si>
    <t>Vneg</t>
  </si>
  <si>
    <t>R4 max value</t>
  </si>
  <si>
    <t>R4 chosen value</t>
  </si>
  <si>
    <t>Ideal R3</t>
  </si>
  <si>
    <t>Chosen R3</t>
  </si>
  <si>
    <t>Inductor Selection (Vpos)</t>
  </si>
  <si>
    <t>Peak inductor current I_L-P</t>
  </si>
  <si>
    <t>Vin</t>
  </si>
  <si>
    <t>Vpos rail current requirement</t>
  </si>
  <si>
    <t>A</t>
  </si>
  <si>
    <t>power budget shows 70mA, I added safety margin</t>
  </si>
  <si>
    <t>Inductor Selection (Vneg)</t>
  </si>
  <si>
    <t>Vneg rail current requirement</t>
  </si>
  <si>
    <t>power budget shows 5mA, I added safety margin</t>
  </si>
  <si>
    <t>Inductor current ripple</t>
  </si>
  <si>
    <t>Converter switching frequency</t>
  </si>
  <si>
    <t>L1 value</t>
  </si>
  <si>
    <t>uH</t>
  </si>
  <si>
    <t>L2 value</t>
  </si>
  <si>
    <t>datasheet recommends between 3.3uH to 6.8uH</t>
  </si>
  <si>
    <t>Output Capacitors</t>
  </si>
  <si>
    <t>uF</t>
  </si>
  <si>
    <t>Minimum output capacitance (C4)</t>
  </si>
  <si>
    <t>Minimum output capacitance (C5)</t>
  </si>
  <si>
    <t>Max allowed ripple (Delta Vneg)</t>
  </si>
  <si>
    <t>Max allowed ripple (Delta Vpos)</t>
  </si>
  <si>
    <t>Ripple due to ESR</t>
  </si>
  <si>
    <t>ESR of C4</t>
  </si>
  <si>
    <t>ESR of C5</t>
  </si>
  <si>
    <t>Feedforward Capacitor</t>
  </si>
  <si>
    <t>C9 value</t>
  </si>
  <si>
    <t>F</t>
  </si>
  <si>
    <t>Chosen C9 value</t>
  </si>
  <si>
    <t>pF</t>
  </si>
  <si>
    <t>C10 value</t>
  </si>
  <si>
    <t>Chosen C10 value</t>
  </si>
  <si>
    <t>Compensation Resistor</t>
  </si>
  <si>
    <t>Calculations are estimation for the MCP33151-10</t>
  </si>
  <si>
    <t>Sent in groups of 8 bits</t>
  </si>
  <si>
    <t>Dead time between 8-bit bursts</t>
  </si>
  <si>
    <t>ADC data bits</t>
  </si>
  <si>
    <t>Dead time from CS low to start</t>
  </si>
  <si>
    <t>Dead time from end to CS high</t>
  </si>
  <si>
    <t>number of equivalent clock cycles</t>
  </si>
  <si>
    <t>So theoretically we can hit 1Msps if Teensy is fast enough</t>
  </si>
  <si>
    <t>Resolution</t>
  </si>
  <si>
    <t>VREF / 2^ENOB</t>
  </si>
  <si>
    <t>Analog mux: Vishay DG409</t>
  </si>
  <si>
    <t>max gain to keep output voltage within ADC Vref</t>
  </si>
  <si>
    <t>ADC effective number of bits (ENOB)</t>
  </si>
  <si>
    <t>- MCP33131-10-E/MS</t>
  </si>
  <si>
    <t>16-bit SRAR 1Msps SPI single-ended</t>
  </si>
  <si>
    <t>MCP33151 14-bit</t>
  </si>
  <si>
    <t>MCP33131 16-bit</t>
  </si>
  <si>
    <t>Options</t>
  </si>
  <si>
    <t>R1</t>
  </si>
  <si>
    <t>R2</t>
  </si>
  <si>
    <t>Power Rail Tolerance Calculations</t>
  </si>
  <si>
    <t>Tolerance (%)</t>
  </si>
  <si>
    <t>+15V boost</t>
  </si>
  <si>
    <t>-15V inverting boost</t>
  </si>
  <si>
    <t>R3</t>
  </si>
  <si>
    <t>R4</t>
  </si>
  <si>
    <t>+12V LDO</t>
  </si>
  <si>
    <t>Dropout</t>
  </si>
  <si>
    <t>Output voltage</t>
  </si>
  <si>
    <t>-12V LDO</t>
  </si>
  <si>
    <t>Minimum input voltage required</t>
  </si>
  <si>
    <t>satisfied</t>
  </si>
  <si>
    <t>Output voltage accuracy</t>
  </si>
  <si>
    <t>provided in datasheet</t>
  </si>
  <si>
    <t>+1V8_A LDO</t>
  </si>
  <si>
    <t>Min. 60uA. Cannot exceed 15mA.</t>
  </si>
  <si>
    <t>Mid-Project Report Progress</t>
  </si>
  <si>
    <t>Abstract</t>
  </si>
  <si>
    <t>List of Abbreviations</t>
  </si>
  <si>
    <t>Introduction</t>
  </si>
  <si>
    <t>Background</t>
  </si>
  <si>
    <t>Requirements</t>
  </si>
  <si>
    <t>Design</t>
  </si>
  <si>
    <t>Results</t>
  </si>
  <si>
    <t>Plan for next semseter</t>
  </si>
  <si>
    <t>Impact on Society and Environment</t>
  </si>
  <si>
    <t>Conclusion</t>
  </si>
  <si>
    <t>A1-Perfboard</t>
  </si>
  <si>
    <t>A2-Eval board</t>
  </si>
  <si>
    <t>A3-Design calculations</t>
  </si>
  <si>
    <t>References</t>
  </si>
  <si>
    <t>Section</t>
  </si>
  <si>
    <t>Done?</t>
  </si>
  <si>
    <t>Yes</t>
  </si>
  <si>
    <t>No</t>
  </si>
  <si>
    <t>removed :)</t>
  </si>
  <si>
    <t>DG409 dual 4:1 mux x 5</t>
  </si>
  <si>
    <t>+/- 15V boost quiescent current</t>
  </si>
  <si>
    <t>Review Checklist</t>
  </si>
  <si>
    <t>Tense -- past vs present</t>
  </si>
  <si>
    <t>Rubric</t>
  </si>
  <si>
    <t>Capitalization on figures and tables captions</t>
  </si>
  <si>
    <t>Abbreviations first instance</t>
  </si>
  <si>
    <t>Requirements -- bolded shalls</t>
  </si>
  <si>
    <t>Figures -- text readable</t>
  </si>
  <si>
    <t>SI unitx used everywhere</t>
  </si>
  <si>
    <t>No more todos left</t>
  </si>
  <si>
    <t>No watermark</t>
  </si>
  <si>
    <t>All abbreviations are in the list</t>
  </si>
  <si>
    <t>All tables are referenced in the text</t>
  </si>
  <si>
    <t>All figures are referenced in the text</t>
  </si>
  <si>
    <t>Sections make sense, no further division needed</t>
  </si>
  <si>
    <t>All sections in rubric are present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</si>
</sst>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E+0"/>
    <numFmt numFmtId="167" formatCode="##0.000E+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0" fontId="1" fillId="0" borderId="12" xfId="0" applyFont="1" applyBorder="1"/>
    <xf numFmtId="0" fontId="0" fillId="0" borderId="12" xfId="0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0" xfId="0" applyFont="1" applyBorder="1"/>
    <xf numFmtId="9" fontId="1" fillId="0" borderId="21" xfId="0" applyNumberFormat="1" applyFont="1" applyBorder="1"/>
    <xf numFmtId="2" fontId="1" fillId="0" borderId="21" xfId="0" applyNumberFormat="1" applyFont="1" applyBorder="1" applyAlignment="1">
      <alignment horizontal="center"/>
    </xf>
    <xf numFmtId="0" fontId="1" fillId="0" borderId="22" xfId="0" applyFont="1" applyBorder="1"/>
    <xf numFmtId="0" fontId="0" fillId="0" borderId="20" xfId="0" applyBorder="1"/>
    <xf numFmtId="0" fontId="0" fillId="0" borderId="22" xfId="0" applyBorder="1"/>
    <xf numFmtId="0" fontId="4" fillId="7" borderId="0" xfId="1" applyNumberFormat="1"/>
    <xf numFmtId="0" fontId="4" fillId="7" borderId="0" xfId="1"/>
    <xf numFmtId="164" fontId="0" fillId="0" borderId="20" xfId="0" applyNumberFormat="1" applyBorder="1"/>
    <xf numFmtId="166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0" fontId="7" fillId="0" borderId="0" xfId="0" applyFont="1"/>
    <xf numFmtId="0" fontId="1" fillId="0" borderId="0" xfId="0" quotePrefix="1" applyFont="1"/>
    <xf numFmtId="9" fontId="0" fillId="0" borderId="0" xfId="0" applyNumberFormat="1"/>
    <xf numFmtId="0" fontId="0" fillId="0" borderId="21" xfId="0" applyBorder="1"/>
    <xf numFmtId="10" fontId="0" fillId="0" borderId="0" xfId="0" applyNumberFormat="1"/>
    <xf numFmtId="0" fontId="8" fillId="0" borderId="0" xfId="0" applyFont="1"/>
    <xf numFmtId="2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vertical="center" textRotation="90"/>
    </xf>
    <xf numFmtId="0" fontId="1" fillId="6" borderId="6" xfId="0" quotePrefix="1" applyFont="1" applyFill="1" applyBorder="1" applyAlignment="1">
      <alignment horizontal="center" vertical="center" textRotation="90"/>
    </xf>
    <xf numFmtId="0" fontId="1" fillId="6" borderId="9" xfId="0" quotePrefix="1" applyFont="1" applyFill="1" applyBorder="1" applyAlignment="1">
      <alignment horizontal="center" vertical="center" textRotation="90"/>
    </xf>
    <xf numFmtId="0" fontId="1" fillId="6" borderId="11" xfId="0" quotePrefix="1" applyFont="1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Thrust Load Cell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82798607031147"/>
                  <c:y val="0.208205841446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Resolution'!$G$20:$G$26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'ADC Resolution'!$H$20:$H$26</c:f>
              <c:numCache>
                <c:formatCode>General</c:formatCode>
                <c:ptCount val="7"/>
                <c:pt idx="0">
                  <c:v>2.8809999999999999E-3</c:v>
                </c:pt>
                <c:pt idx="1">
                  <c:v>5.6779999999999999E-3</c:v>
                </c:pt>
                <c:pt idx="2">
                  <c:v>8.2150000000000001E-3</c:v>
                </c:pt>
                <c:pt idx="3">
                  <c:v>9.8619999999999992E-3</c:v>
                </c:pt>
                <c:pt idx="4">
                  <c:v>1.3906999999999999E-2</c:v>
                </c:pt>
                <c:pt idx="5">
                  <c:v>1.584E-2</c:v>
                </c:pt>
                <c:pt idx="6">
                  <c:v>1.8863999999999999E-2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5-4514-823A-7F21637B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8607"/>
        <c:axId val="1383450271"/>
      </c:scatterChart>
      <c:valAx>
        <c:axId val="13834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0271"/>
        <c:crosses val="autoZero"/>
        <c:crossBetween val="midCat"/>
      </c:valAx>
      <c:valAx>
        <c:axId val="13834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1</xdr:row>
      <xdr:rowOff>45720</xdr:rowOff>
    </xdr:from>
    <xdr:to>
      <xdr:col>14</xdr:col>
      <xdr:colOff>401955</xdr:colOff>
      <xdr:row>20</xdr:row>
      <xdr:rowOff>20808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6CFEF-59BE-BDA6-4F88-E6A3CD2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312420"/>
          <a:ext cx="6385560" cy="34383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2376351</xdr:colOff>
      <xdr:row>20</xdr:row>
      <xdr:rowOff>156755</xdr:rowOff>
    </xdr:from>
    <xdr:to>
      <xdr:col>14</xdr:col>
      <xdr:colOff>530716</xdr:colOff>
      <xdr:row>52</xdr:row>
      <xdr:rowOff>74380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29CD3-B939-C395-A399-F57820C9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2408" y="3944984"/>
          <a:ext cx="6721422" cy="58766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591639</xdr:colOff>
      <xdr:row>24</xdr:row>
      <xdr:rowOff>76199</xdr:rowOff>
    </xdr:from>
    <xdr:to>
      <xdr:col>19</xdr:col>
      <xdr:colOff>350248</xdr:colOff>
      <xdr:row>34</xdr:row>
      <xdr:rowOff>20483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D43427-9DD0-9E01-788F-635DA1C7482F}"/>
            </a:ext>
          </a:extLst>
        </xdr:cNvPr>
        <xdr:cNvSpPr txBox="1"/>
      </xdr:nvSpPr>
      <xdr:spPr>
        <a:xfrm>
          <a:off x="13588655" y="4603134"/>
          <a:ext cx="2831190" cy="18083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According to AN</a:t>
          </a:r>
          <a:r>
            <a:rPr lang="en-CA" sz="1100" baseline="0"/>
            <a:t>4899 from STMicro, cannot rely on internal protection diodes which may/may not exist.</a:t>
          </a:r>
        </a:p>
        <a:p>
          <a:endParaRPr lang="en-CA" sz="1100" baseline="0"/>
        </a:p>
        <a:p>
          <a:r>
            <a:rPr lang="en-CA" sz="1100" baseline="0"/>
            <a:t>Will proceed with design as if they do not exist.</a:t>
          </a:r>
        </a:p>
        <a:p>
          <a:endParaRPr lang="en-CA" sz="1100" baseline="0"/>
        </a:p>
        <a:p>
          <a:r>
            <a:rPr lang="en-CA" sz="1100" b="1" baseline="0"/>
            <a:t>Teensy 4.0/4.1 pins are all 3.3v only without overvoltage protection.</a:t>
          </a:r>
          <a:endParaRPr lang="en-CA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280578</xdr:colOff>
      <xdr:row>28</xdr:row>
      <xdr:rowOff>123416</xdr:rowOff>
    </xdr:from>
    <xdr:to>
      <xdr:col>9</xdr:col>
      <xdr:colOff>574493</xdr:colOff>
      <xdr:row>43</xdr:row>
      <xdr:rowOff>140561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C586-E985-BDEC-8DA1-30AB544E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17497</xdr:colOff>
      <xdr:row>24</xdr:row>
      <xdr:rowOff>40002</xdr:rowOff>
    </xdr:from>
    <xdr:to>
      <xdr:col>2</xdr:col>
      <xdr:colOff>491767</xdr:colOff>
      <xdr:row>38</xdr:row>
      <xdr:rowOff>32515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913A7-53DA-9C77-4D43-9D06125F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97" y="4414446"/>
          <a:ext cx="3456418" cy="2494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485128</xdr:colOff>
      <xdr:row>4</xdr:row>
      <xdr:rowOff>79901</xdr:rowOff>
    </xdr:from>
    <xdr:to>
      <xdr:col>14</xdr:col>
      <xdr:colOff>246766</xdr:colOff>
      <xdr:row>20</xdr:row>
      <xdr:rowOff>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63598-DCCD-307D-A7A2-B00751B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6917" y="908743"/>
          <a:ext cx="5790796" cy="29208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37428</xdr:colOff>
      <xdr:row>28</xdr:row>
      <xdr:rowOff>72951</xdr:rowOff>
    </xdr:from>
    <xdr:to>
      <xdr:col>3</xdr:col>
      <xdr:colOff>2868706</xdr:colOff>
      <xdr:row>35</xdr:row>
      <xdr:rowOff>82252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720A8-975B-3436-B5F1-F79F68EAB6C7}"/>
            </a:ext>
          </a:extLst>
        </xdr:cNvPr>
        <xdr:cNvSpPr txBox="1"/>
      </xdr:nvSpPr>
      <xdr:spPr>
        <a:xfrm>
          <a:off x="3802604" y="3972598"/>
          <a:ext cx="2831278" cy="128677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Go</a:t>
          </a:r>
          <a:r>
            <a:rPr lang="en-CA" sz="1100" baseline="0"/>
            <a:t> with 4.7uH for now, check performance once sample is received. May tune inductor value after receiving the boards.</a:t>
          </a:r>
          <a:endParaRPr lang="en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119531</xdr:colOff>
      <xdr:row>0</xdr:row>
      <xdr:rowOff>144780</xdr:rowOff>
    </xdr:from>
    <xdr:to>
      <xdr:col>13</xdr:col>
      <xdr:colOff>246555</xdr:colOff>
      <xdr:row>28</xdr:row>
      <xdr:rowOff>58248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4A1747-3500-3EE2-7E64-D4FE2717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151" y="144780"/>
          <a:ext cx="3784624" cy="51331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E85C-D239-4D24-ADF0-BC89AC6A16C4}">
  <sheetPr>
    <pageSetUpPr fitToPage="1"/>
  </sheetPr>
  <dimension ref="A1:N75"/>
  <sheetViews>
    <sheetView zoomScale="97" workbookViewId="0">
      <selection activeCell="K5" sqref="K5"/>
    </sheetView>
  </sheetViews>
  <sheetFormatPr defaultRowHeight="14.4" x14ac:dyDescent="0.3"/>
  <cols>
    <col min="3" max="3" width="42.33203125" customWidth="1"/>
    <col min="5" max="5" width="9" style="16" bestFit="1" customWidth="1"/>
    <col min="6" max="6" width="9.77734375" style="16" bestFit="1" customWidth="1"/>
    <col min="7" max="7" width="9.44140625" style="16" customWidth="1"/>
    <col min="11" max="11" width="12" customWidth="1"/>
    <col min="12" max="12" width="10.6640625" customWidth="1"/>
    <col min="13" max="13" width="11" customWidth="1"/>
    <col min="14" max="14" width="11.21875" customWidth="1"/>
  </cols>
  <sheetData>
    <row r="1" spans="1:14" ht="21" x14ac:dyDescent="0.4">
      <c r="A1" s="2" t="s">
        <v>143</v>
      </c>
    </row>
    <row r="3" spans="1:14" ht="15" thickBot="1" x14ac:dyDescent="0.35">
      <c r="C3" s="1" t="s">
        <v>111</v>
      </c>
      <c r="D3" s="64"/>
      <c r="E3" s="64" t="s">
        <v>112</v>
      </c>
      <c r="F3" s="64" t="s">
        <v>113</v>
      </c>
      <c r="G3" s="64" t="s">
        <v>114</v>
      </c>
      <c r="K3" s="1" t="s">
        <v>124</v>
      </c>
    </row>
    <row r="4" spans="1:14" x14ac:dyDescent="0.3">
      <c r="B4" s="66" t="s">
        <v>120</v>
      </c>
      <c r="C4" s="20" t="s">
        <v>115</v>
      </c>
      <c r="D4" s="20"/>
      <c r="E4" s="24"/>
      <c r="F4" s="24"/>
      <c r="G4" s="25"/>
      <c r="K4" s="21" t="s">
        <v>125</v>
      </c>
      <c r="L4" s="27" t="s">
        <v>112</v>
      </c>
      <c r="M4" s="27" t="s">
        <v>113</v>
      </c>
      <c r="N4" s="27" t="s">
        <v>114</v>
      </c>
    </row>
    <row r="5" spans="1:14" x14ac:dyDescent="0.3">
      <c r="B5" s="67"/>
      <c r="C5" s="9" t="s">
        <v>138</v>
      </c>
      <c r="E5" s="16">
        <v>2</v>
      </c>
      <c r="F5" s="16">
        <v>2</v>
      </c>
      <c r="G5" s="26">
        <v>3</v>
      </c>
      <c r="K5" t="str">
        <f>B4</f>
        <v>+5V</v>
      </c>
      <c r="L5" s="31">
        <f>E15</f>
        <v>321.00286</v>
      </c>
      <c r="M5" s="31">
        <f>F15</f>
        <v>327.77199999999999</v>
      </c>
      <c r="N5" s="31">
        <f>G15</f>
        <v>446.5795</v>
      </c>
    </row>
    <row r="6" spans="1:14" x14ac:dyDescent="0.3">
      <c r="B6" s="67"/>
      <c r="C6" t="s">
        <v>148</v>
      </c>
      <c r="E6" s="16">
        <v>100</v>
      </c>
      <c r="F6" s="16">
        <v>100</v>
      </c>
      <c r="G6" s="26">
        <v>100</v>
      </c>
      <c r="K6" t="str">
        <f>B17</f>
        <v>+3V3</v>
      </c>
      <c r="L6" s="31">
        <f>E30</f>
        <v>2.8528599999999997</v>
      </c>
      <c r="M6" s="31">
        <f t="shared" ref="M6:N6" si="0">F30</f>
        <v>9.0220000000000002</v>
      </c>
      <c r="N6" s="31">
        <f t="shared" si="0"/>
        <v>11.067</v>
      </c>
    </row>
    <row r="7" spans="1:14" x14ac:dyDescent="0.3">
      <c r="B7" s="67"/>
      <c r="G7" s="26"/>
      <c r="K7" t="str">
        <f>B32</f>
        <v>+12V</v>
      </c>
      <c r="L7" s="31">
        <f>E43</f>
        <v>51.64</v>
      </c>
      <c r="M7" s="31">
        <f t="shared" ref="M7:N7" si="1">F43</f>
        <v>51.800000000000004</v>
      </c>
      <c r="N7" s="31">
        <f t="shared" si="1"/>
        <v>82.17</v>
      </c>
    </row>
    <row r="8" spans="1:14" x14ac:dyDescent="0.3">
      <c r="B8" s="67"/>
      <c r="G8" s="26"/>
      <c r="K8" t="str">
        <f>B45</f>
        <v>-12V</v>
      </c>
      <c r="L8" s="31">
        <f>E56</f>
        <v>10.504</v>
      </c>
      <c r="M8" s="31">
        <f t="shared" ref="M8:N8" si="2">F56</f>
        <v>10.8</v>
      </c>
      <c r="N8" s="31">
        <f t="shared" si="2"/>
        <v>12.3</v>
      </c>
    </row>
    <row r="9" spans="1:14" x14ac:dyDescent="0.3">
      <c r="B9" s="67"/>
      <c r="G9" s="26"/>
      <c r="K9" t="str">
        <f>B58</f>
        <v>+5V_A</v>
      </c>
      <c r="L9" s="31">
        <f>E63</f>
        <v>1.10012</v>
      </c>
      <c r="M9" s="31">
        <f>F63</f>
        <v>1.8599999999999999</v>
      </c>
      <c r="N9" s="31">
        <f>G63</f>
        <v>2.37</v>
      </c>
    </row>
    <row r="10" spans="1:14" x14ac:dyDescent="0.3">
      <c r="B10" s="67"/>
      <c r="C10" s="21" t="s">
        <v>116</v>
      </c>
      <c r="D10" s="21"/>
      <c r="E10" s="27"/>
      <c r="F10" s="27"/>
      <c r="G10" s="28"/>
      <c r="K10" t="str">
        <f>B65</f>
        <v>+1V8_A</v>
      </c>
      <c r="L10" s="31">
        <f>E68</f>
        <v>4.5000000000000005E-3</v>
      </c>
      <c r="M10" s="31">
        <f>F68</f>
        <v>1.98</v>
      </c>
      <c r="N10" s="31">
        <f>G68</f>
        <v>2.7</v>
      </c>
    </row>
    <row r="11" spans="1:14" x14ac:dyDescent="0.3">
      <c r="B11" s="67"/>
      <c r="C11" s="9" t="s">
        <v>269</v>
      </c>
      <c r="E11" s="16">
        <f>(E43+E53)*15/_RAIL_5V/EFF_12V_BOOST</f>
        <v>216.15</v>
      </c>
      <c r="F11" s="16">
        <f>(F43+F53)*15/_RAIL_5V/EFF_12V_BOOST</f>
        <v>216.75000000000003</v>
      </c>
      <c r="G11" s="26">
        <f>(G43+G53)*15/_RAIL_5V/EFF_12V_BOOST</f>
        <v>332.51249999999999</v>
      </c>
    </row>
    <row r="12" spans="1:14" x14ac:dyDescent="0.3">
      <c r="B12" s="67"/>
      <c r="C12" s="9" t="s">
        <v>136</v>
      </c>
      <c r="E12" s="16">
        <f>E30</f>
        <v>2.8528599999999997</v>
      </c>
      <c r="F12" s="16">
        <f>F30</f>
        <v>9.0220000000000002</v>
      </c>
      <c r="G12" s="26">
        <f>G30</f>
        <v>11.067</v>
      </c>
    </row>
    <row r="13" spans="1:14" x14ac:dyDescent="0.3">
      <c r="B13" s="67"/>
      <c r="C13" s="9"/>
      <c r="G13" s="26"/>
    </row>
    <row r="14" spans="1:14" x14ac:dyDescent="0.3">
      <c r="B14" s="67"/>
      <c r="C14" s="9"/>
      <c r="G14" s="26"/>
    </row>
    <row r="15" spans="1:14" ht="15" thickBot="1" x14ac:dyDescent="0.35">
      <c r="B15" s="68"/>
      <c r="C15" s="22" t="s">
        <v>121</v>
      </c>
      <c r="D15" s="23"/>
      <c r="E15" s="29">
        <f>SUM(E5:E13)</f>
        <v>321.00286</v>
      </c>
      <c r="F15" s="29">
        <f>SUM(F5:F13)</f>
        <v>327.77199999999999</v>
      </c>
      <c r="G15" s="30">
        <f>SUM(G5:G13)</f>
        <v>446.5795</v>
      </c>
      <c r="H15" s="1" t="s">
        <v>146</v>
      </c>
    </row>
    <row r="16" spans="1:14" ht="15" thickBot="1" x14ac:dyDescent="0.35">
      <c r="B16" s="65"/>
    </row>
    <row r="17" spans="2:7" x14ac:dyDescent="0.3">
      <c r="B17" s="66" t="s">
        <v>122</v>
      </c>
      <c r="C17" s="20" t="s">
        <v>115</v>
      </c>
      <c r="D17" s="20"/>
      <c r="E17" s="24"/>
      <c r="F17" s="24"/>
      <c r="G17" s="25"/>
    </row>
    <row r="18" spans="2:7" x14ac:dyDescent="0.3">
      <c r="B18" s="67"/>
      <c r="C18" t="s">
        <v>130</v>
      </c>
      <c r="E18" s="16">
        <f>3*0.00012</f>
        <v>3.6000000000000002E-4</v>
      </c>
      <c r="F18" s="16">
        <f>3*0.4</f>
        <v>1.2000000000000002</v>
      </c>
      <c r="G18" s="26">
        <f>3*0.5</f>
        <v>1.5</v>
      </c>
    </row>
    <row r="19" spans="2:7" x14ac:dyDescent="0.3">
      <c r="B19" s="67"/>
      <c r="C19" t="s">
        <v>133</v>
      </c>
      <c r="E19" s="16">
        <f>3*0.002</f>
        <v>6.0000000000000001E-3</v>
      </c>
      <c r="F19" s="16">
        <f>G19</f>
        <v>3</v>
      </c>
      <c r="G19" s="26">
        <f>3*1</f>
        <v>3</v>
      </c>
    </row>
    <row r="20" spans="2:7" x14ac:dyDescent="0.3">
      <c r="B20" s="67"/>
      <c r="C20" t="s">
        <v>134</v>
      </c>
      <c r="E20" s="16">
        <f>24*3.3/100000*1000</f>
        <v>0.79199999999999982</v>
      </c>
      <c r="F20" s="16">
        <f>24*3.3/100000*1000</f>
        <v>0.79199999999999982</v>
      </c>
      <c r="G20" s="26">
        <f>24*3.3/100000*1000</f>
        <v>0.79199999999999982</v>
      </c>
    </row>
    <row r="21" spans="2:7" x14ac:dyDescent="0.3">
      <c r="B21" s="67"/>
      <c r="C21" s="9" t="s">
        <v>139</v>
      </c>
      <c r="E21" s="16">
        <v>2</v>
      </c>
      <c r="F21" s="16">
        <v>2</v>
      </c>
      <c r="G21" s="26">
        <v>3</v>
      </c>
    </row>
    <row r="22" spans="2:7" x14ac:dyDescent="0.3">
      <c r="B22" s="67"/>
      <c r="C22" s="9" t="s">
        <v>145</v>
      </c>
      <c r="E22" s="16">
        <v>0.05</v>
      </c>
      <c r="F22" s="16">
        <v>0.05</v>
      </c>
      <c r="G22" s="26">
        <v>7.4999999999999997E-2</v>
      </c>
    </row>
    <row r="23" spans="2:7" x14ac:dyDescent="0.3">
      <c r="B23" s="67"/>
      <c r="G23" s="26"/>
    </row>
    <row r="24" spans="2:7" x14ac:dyDescent="0.3">
      <c r="B24" s="67"/>
      <c r="G24" s="26"/>
    </row>
    <row r="25" spans="2:7" x14ac:dyDescent="0.3">
      <c r="B25" s="67"/>
      <c r="G25" s="26"/>
    </row>
    <row r="26" spans="2:7" x14ac:dyDescent="0.3">
      <c r="B26" s="67"/>
      <c r="C26" s="21" t="s">
        <v>116</v>
      </c>
      <c r="D26" s="21"/>
      <c r="E26" s="27"/>
      <c r="F26" s="27"/>
      <c r="G26" s="28"/>
    </row>
    <row r="27" spans="2:7" x14ac:dyDescent="0.3">
      <c r="B27" s="67"/>
      <c r="C27" s="9" t="s">
        <v>137</v>
      </c>
      <c r="E27" s="16">
        <f>E68</f>
        <v>4.5000000000000005E-3</v>
      </c>
      <c r="F27" s="16">
        <f>F68</f>
        <v>1.98</v>
      </c>
      <c r="G27" s="26">
        <f>G68</f>
        <v>2.7</v>
      </c>
    </row>
    <row r="28" spans="2:7" x14ac:dyDescent="0.3">
      <c r="B28" s="67"/>
      <c r="G28" s="26"/>
    </row>
    <row r="29" spans="2:7" x14ac:dyDescent="0.3">
      <c r="B29" s="67"/>
      <c r="G29" s="26"/>
    </row>
    <row r="30" spans="2:7" ht="15" thickBot="1" x14ac:dyDescent="0.35">
      <c r="B30" s="68"/>
      <c r="C30" s="22" t="s">
        <v>121</v>
      </c>
      <c r="D30" s="23"/>
      <c r="E30" s="29">
        <f>SUM(E18:E29)</f>
        <v>2.8528599999999997</v>
      </c>
      <c r="F30" s="29">
        <f>SUM(F18:F29)</f>
        <v>9.0220000000000002</v>
      </c>
      <c r="G30" s="30">
        <f>SUM(G18:G29)</f>
        <v>11.067</v>
      </c>
    </row>
    <row r="31" spans="2:7" ht="15" thickBot="1" x14ac:dyDescent="0.35">
      <c r="B31" s="65"/>
    </row>
    <row r="32" spans="2:7" x14ac:dyDescent="0.3">
      <c r="B32" s="66" t="s">
        <v>118</v>
      </c>
      <c r="C32" s="20" t="s">
        <v>115</v>
      </c>
      <c r="D32" s="20"/>
      <c r="E32" s="24"/>
      <c r="F32" s="24"/>
      <c r="G32" s="25"/>
    </row>
    <row r="33" spans="2:7" x14ac:dyDescent="0.3">
      <c r="B33" s="67"/>
      <c r="C33" t="s">
        <v>127</v>
      </c>
      <c r="E33" s="16">
        <v>0.6</v>
      </c>
      <c r="F33" s="16">
        <v>0.6</v>
      </c>
      <c r="G33" s="26">
        <v>0.87</v>
      </c>
    </row>
    <row r="34" spans="2:7" x14ac:dyDescent="0.3">
      <c r="B34" s="67"/>
      <c r="C34" t="s">
        <v>128</v>
      </c>
      <c r="E34" s="16">
        <f>6*7</f>
        <v>42</v>
      </c>
      <c r="F34" s="16">
        <f>6*7</f>
        <v>42</v>
      </c>
      <c r="G34" s="26">
        <f>9*7</f>
        <v>63</v>
      </c>
    </row>
    <row r="35" spans="2:7" x14ac:dyDescent="0.3">
      <c r="B35" s="67"/>
      <c r="C35" t="s">
        <v>129</v>
      </c>
      <c r="E35" s="16">
        <f>0.01*4</f>
        <v>0.04</v>
      </c>
      <c r="F35" s="16">
        <f>0.05*4</f>
        <v>0.2</v>
      </c>
      <c r="G35" s="26">
        <f>0.075*4</f>
        <v>0.3</v>
      </c>
    </row>
    <row r="36" spans="2:7" x14ac:dyDescent="0.3">
      <c r="B36" s="67"/>
      <c r="C36" t="s">
        <v>268</v>
      </c>
      <c r="E36" s="16">
        <v>5</v>
      </c>
      <c r="F36" s="16">
        <v>5</v>
      </c>
      <c r="G36" s="26">
        <v>10</v>
      </c>
    </row>
    <row r="37" spans="2:7" x14ac:dyDescent="0.3">
      <c r="B37" s="67"/>
      <c r="C37" s="9" t="s">
        <v>140</v>
      </c>
      <c r="E37" s="16">
        <v>2</v>
      </c>
      <c r="F37" s="16">
        <v>2</v>
      </c>
      <c r="G37" s="26">
        <v>3</v>
      </c>
    </row>
    <row r="38" spans="2:7" x14ac:dyDescent="0.3">
      <c r="B38" s="67"/>
      <c r="C38" s="9" t="s">
        <v>144</v>
      </c>
      <c r="E38" s="16">
        <v>2</v>
      </c>
      <c r="F38" s="16">
        <v>2</v>
      </c>
      <c r="G38" s="26">
        <v>5</v>
      </c>
    </row>
    <row r="39" spans="2:7" x14ac:dyDescent="0.3">
      <c r="B39" s="67"/>
      <c r="G39" s="26"/>
    </row>
    <row r="40" spans="2:7" x14ac:dyDescent="0.3">
      <c r="B40" s="67"/>
      <c r="C40" s="21" t="s">
        <v>116</v>
      </c>
      <c r="D40" s="21"/>
      <c r="E40" s="27"/>
      <c r="F40" s="27"/>
      <c r="G40" s="28"/>
    </row>
    <row r="41" spans="2:7" x14ac:dyDescent="0.3">
      <c r="B41" s="67"/>
      <c r="C41" s="9" t="s">
        <v>147</v>
      </c>
      <c r="G41" s="26"/>
    </row>
    <row r="42" spans="2:7" x14ac:dyDescent="0.3">
      <c r="B42" s="67"/>
      <c r="G42" s="26"/>
    </row>
    <row r="43" spans="2:7" ht="15" thickBot="1" x14ac:dyDescent="0.35">
      <c r="B43" s="68"/>
      <c r="C43" s="22" t="s">
        <v>121</v>
      </c>
      <c r="D43" s="23"/>
      <c r="E43" s="29">
        <f>SUM(E33:E42)</f>
        <v>51.64</v>
      </c>
      <c r="F43" s="29">
        <f>SUM(F33:F42)</f>
        <v>51.800000000000004</v>
      </c>
      <c r="G43" s="30">
        <f>SUM(G33:G42)</f>
        <v>82.17</v>
      </c>
    </row>
    <row r="44" spans="2:7" ht="15" thickBot="1" x14ac:dyDescent="0.35">
      <c r="B44" s="65"/>
    </row>
    <row r="45" spans="2:7" x14ac:dyDescent="0.3">
      <c r="B45" s="66" t="s">
        <v>119</v>
      </c>
      <c r="C45" s="20" t="s">
        <v>115</v>
      </c>
      <c r="D45" s="20"/>
      <c r="E45" s="24"/>
      <c r="F45" s="24"/>
      <c r="G45" s="25"/>
    </row>
    <row r="46" spans="2:7" x14ac:dyDescent="0.3">
      <c r="B46" s="67"/>
      <c r="C46" t="s">
        <v>129</v>
      </c>
      <c r="E46" s="16">
        <f>4*0.001</f>
        <v>4.0000000000000001E-3</v>
      </c>
      <c r="F46" s="16">
        <f>4*0.075</f>
        <v>0.3</v>
      </c>
      <c r="G46" s="26">
        <f>F46</f>
        <v>0.3</v>
      </c>
    </row>
    <row r="47" spans="2:7" x14ac:dyDescent="0.3">
      <c r="B47" s="67"/>
      <c r="C47" t="s">
        <v>268</v>
      </c>
      <c r="E47" s="16">
        <v>2.5</v>
      </c>
      <c r="F47" s="16">
        <v>2.5</v>
      </c>
      <c r="G47" s="26">
        <v>2.5</v>
      </c>
    </row>
    <row r="48" spans="2:7" x14ac:dyDescent="0.3">
      <c r="B48" s="67"/>
      <c r="C48" s="9" t="s">
        <v>141</v>
      </c>
      <c r="E48" s="16">
        <v>2</v>
      </c>
      <c r="F48" s="16">
        <v>2</v>
      </c>
      <c r="G48" s="26">
        <v>3</v>
      </c>
    </row>
    <row r="49" spans="2:7" x14ac:dyDescent="0.3">
      <c r="B49" s="67"/>
      <c r="C49" s="9"/>
      <c r="G49" s="26"/>
    </row>
    <row r="50" spans="2:7" x14ac:dyDescent="0.3">
      <c r="B50" s="67"/>
      <c r="G50" s="26"/>
    </row>
    <row r="51" spans="2:7" x14ac:dyDescent="0.3">
      <c r="B51" s="67"/>
      <c r="G51" s="26"/>
    </row>
    <row r="52" spans="2:7" x14ac:dyDescent="0.3">
      <c r="B52" s="67"/>
      <c r="C52" s="21" t="s">
        <v>117</v>
      </c>
      <c r="D52" s="21"/>
      <c r="E52" s="27"/>
      <c r="F52" s="27"/>
      <c r="G52" s="28"/>
    </row>
    <row r="53" spans="2:7" x14ac:dyDescent="0.3">
      <c r="B53" s="67"/>
      <c r="C53" s="9" t="s">
        <v>135</v>
      </c>
      <c r="E53" s="16">
        <v>6</v>
      </c>
      <c r="F53" s="16">
        <v>6</v>
      </c>
      <c r="G53" s="26">
        <v>6.5</v>
      </c>
    </row>
    <row r="54" spans="2:7" x14ac:dyDescent="0.3">
      <c r="B54" s="67"/>
      <c r="G54" s="26"/>
    </row>
    <row r="55" spans="2:7" x14ac:dyDescent="0.3">
      <c r="B55" s="67"/>
      <c r="G55" s="26"/>
    </row>
    <row r="56" spans="2:7" ht="15" thickBot="1" x14ac:dyDescent="0.35">
      <c r="B56" s="68"/>
      <c r="C56" s="22" t="s">
        <v>121</v>
      </c>
      <c r="D56" s="23"/>
      <c r="E56" s="29">
        <f>SUM(E46:E55)</f>
        <v>10.504</v>
      </c>
      <c r="F56" s="29">
        <f>SUM(F46:F55)</f>
        <v>10.8</v>
      </c>
      <c r="G56" s="30">
        <f>SUM(G46:G55)</f>
        <v>12.3</v>
      </c>
    </row>
    <row r="57" spans="2:7" ht="15" thickBot="1" x14ac:dyDescent="0.35">
      <c r="B57" s="65"/>
    </row>
    <row r="58" spans="2:7" x14ac:dyDescent="0.3">
      <c r="B58" s="66" t="s">
        <v>123</v>
      </c>
      <c r="C58" s="20" t="s">
        <v>115</v>
      </c>
      <c r="D58" s="20"/>
      <c r="E58" s="24"/>
      <c r="F58" s="24"/>
      <c r="G58" s="25"/>
    </row>
    <row r="59" spans="2:7" x14ac:dyDescent="0.3">
      <c r="B59" s="67"/>
      <c r="C59" t="s">
        <v>131</v>
      </c>
      <c r="E59" s="16">
        <f>3*0.00004</f>
        <v>1.2000000000000002E-4</v>
      </c>
      <c r="F59" s="16">
        <f>3*0.22</f>
        <v>0.66</v>
      </c>
      <c r="G59" s="26">
        <f>3*0.29</f>
        <v>0.86999999999999988</v>
      </c>
    </row>
    <row r="60" spans="2:7" x14ac:dyDescent="0.3">
      <c r="B60" s="67"/>
      <c r="C60" s="9" t="s">
        <v>142</v>
      </c>
      <c r="E60" s="40">
        <v>1.1000000000000001</v>
      </c>
      <c r="F60" s="40">
        <v>1.2</v>
      </c>
      <c r="G60" s="63">
        <v>1.5</v>
      </c>
    </row>
    <row r="61" spans="2:7" x14ac:dyDescent="0.3">
      <c r="B61" s="67"/>
      <c r="G61" s="26"/>
    </row>
    <row r="62" spans="2:7" x14ac:dyDescent="0.3">
      <c r="B62" s="67"/>
      <c r="G62" s="26"/>
    </row>
    <row r="63" spans="2:7" ht="15" thickBot="1" x14ac:dyDescent="0.35">
      <c r="B63" s="68"/>
      <c r="C63" s="22" t="s">
        <v>121</v>
      </c>
      <c r="D63" s="23"/>
      <c r="E63" s="29">
        <f>SUM(E59:E62)</f>
        <v>1.10012</v>
      </c>
      <c r="F63" s="29">
        <f>SUM(F59:F62)</f>
        <v>1.8599999999999999</v>
      </c>
      <c r="G63" s="30">
        <f>SUM(G59:G62)</f>
        <v>2.37</v>
      </c>
    </row>
    <row r="64" spans="2:7" ht="15" thickBot="1" x14ac:dyDescent="0.35"/>
    <row r="65" spans="2:7" x14ac:dyDescent="0.3">
      <c r="B65" s="66" t="s">
        <v>126</v>
      </c>
      <c r="C65" s="20" t="s">
        <v>115</v>
      </c>
      <c r="D65" s="20"/>
      <c r="E65" s="24"/>
      <c r="F65" s="24"/>
      <c r="G65" s="25"/>
    </row>
    <row r="66" spans="2:7" x14ac:dyDescent="0.3">
      <c r="B66" s="67"/>
      <c r="C66" t="s">
        <v>132</v>
      </c>
      <c r="E66" s="16">
        <f>3*0.0015</f>
        <v>4.5000000000000005E-3</v>
      </c>
      <c r="F66" s="16">
        <f>3*0.66</f>
        <v>1.98</v>
      </c>
      <c r="G66" s="26">
        <f>3*0.9</f>
        <v>2.7</v>
      </c>
    </row>
    <row r="67" spans="2:7" x14ac:dyDescent="0.3">
      <c r="B67" s="67"/>
      <c r="C67" s="9"/>
      <c r="E67"/>
      <c r="F67"/>
      <c r="G67" s="32"/>
    </row>
    <row r="68" spans="2:7" ht="15" thickBot="1" x14ac:dyDescent="0.35">
      <c r="B68" s="68"/>
      <c r="C68" s="22" t="s">
        <v>121</v>
      </c>
      <c r="D68" s="23"/>
      <c r="E68" s="29">
        <f>SUM(E66:E67)</f>
        <v>4.5000000000000005E-3</v>
      </c>
      <c r="F68" s="29">
        <f>SUM(F66:F67)</f>
        <v>1.98</v>
      </c>
      <c r="G68" s="30">
        <f>SUM(G66:G67)</f>
        <v>2.7</v>
      </c>
    </row>
    <row r="69" spans="2:7" x14ac:dyDescent="0.3">
      <c r="B69" s="65"/>
    </row>
    <row r="70" spans="2:7" x14ac:dyDescent="0.3">
      <c r="B70" s="65"/>
    </row>
    <row r="72" spans="2:7" x14ac:dyDescent="0.3">
      <c r="B72" s="65"/>
    </row>
    <row r="73" spans="2:7" x14ac:dyDescent="0.3">
      <c r="B73" s="65"/>
    </row>
    <row r="74" spans="2:7" x14ac:dyDescent="0.3">
      <c r="B74" s="65"/>
    </row>
    <row r="75" spans="2:7" x14ac:dyDescent="0.3">
      <c r="B75" s="65"/>
    </row>
  </sheetData>
  <mergeCells count="6">
    <mergeCell ref="B4:B15"/>
    <mergeCell ref="B17:B30"/>
    <mergeCell ref="B32:B43"/>
    <mergeCell ref="B45:B56"/>
    <mergeCell ref="B65:B68"/>
    <mergeCell ref="B58:B63"/>
  </mergeCells>
  <conditionalFormatting sqref="E15:G15">
    <cfRule type="cellIs" dxfId="6" priority="1" operator="greaterThan">
      <formula>499.99</formula>
    </cfRule>
  </conditionalFormatting>
  <pageMargins left="0.7" right="0.7" top="0.75" bottom="0.75" header="0.3" footer="0.3"/>
  <pageSetup scale="5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4E-6859-4D78-886E-3CFB87C1F7CA}">
  <dimension ref="A1:C12"/>
  <sheetViews>
    <sheetView workbookViewId="0">
      <selection activeCell="D20" sqref="D20"/>
    </sheetView>
  </sheetViews>
  <sheetFormatPr defaultRowHeight="14.4" x14ac:dyDescent="0.3"/>
  <cols>
    <col min="1" max="1" width="11.33203125" customWidth="1"/>
    <col min="3" max="3" width="12" customWidth="1"/>
    <col min="4" max="4" width="29.77734375" customWidth="1"/>
    <col min="5" max="5" width="17.77734375" bestFit="1" customWidth="1"/>
    <col min="6" max="6" width="25" bestFit="1" customWidth="1"/>
    <col min="9" max="9" width="9.5546875" bestFit="1" customWidth="1"/>
  </cols>
  <sheetData>
    <row r="1" spans="1:3" ht="23.4" x14ac:dyDescent="0.45">
      <c r="A1" s="7" t="s">
        <v>62</v>
      </c>
    </row>
    <row r="3" spans="1:3" x14ac:dyDescent="0.3">
      <c r="B3" s="8" t="s">
        <v>29</v>
      </c>
      <c r="C3" s="8" t="s">
        <v>5</v>
      </c>
    </row>
    <row r="4" spans="1:3" x14ac:dyDescent="0.3">
      <c r="B4">
        <v>0</v>
      </c>
      <c r="C4" s="4">
        <f>10^(B4/20)</f>
        <v>1</v>
      </c>
    </row>
    <row r="5" spans="1:3" x14ac:dyDescent="0.3">
      <c r="B5">
        <v>-3</v>
      </c>
      <c r="C5" s="4">
        <f t="shared" ref="C5:C12" si="0">10^(B5/20)</f>
        <v>0.70794578438413791</v>
      </c>
    </row>
    <row r="6" spans="1:3" x14ac:dyDescent="0.3">
      <c r="B6">
        <v>-6</v>
      </c>
      <c r="C6" s="4">
        <f t="shared" si="0"/>
        <v>0.50118723362727224</v>
      </c>
    </row>
    <row r="7" spans="1:3" x14ac:dyDescent="0.3">
      <c r="B7">
        <v>-10</v>
      </c>
      <c r="C7" s="4">
        <f t="shared" si="0"/>
        <v>0.31622776601683794</v>
      </c>
    </row>
    <row r="8" spans="1:3" x14ac:dyDescent="0.3">
      <c r="B8">
        <v>-20</v>
      </c>
      <c r="C8" s="4">
        <f t="shared" si="0"/>
        <v>0.1</v>
      </c>
    </row>
    <row r="9" spans="1:3" x14ac:dyDescent="0.3">
      <c r="B9">
        <v>-30</v>
      </c>
      <c r="C9" s="4">
        <f t="shared" si="0"/>
        <v>3.1622776601683784E-2</v>
      </c>
    </row>
    <row r="10" spans="1:3" x14ac:dyDescent="0.3">
      <c r="B10">
        <v>-40</v>
      </c>
      <c r="C10" s="4">
        <f t="shared" si="0"/>
        <v>0.01</v>
      </c>
    </row>
    <row r="11" spans="1:3" x14ac:dyDescent="0.3">
      <c r="B11">
        <v>-50</v>
      </c>
      <c r="C11" s="4">
        <f t="shared" si="0"/>
        <v>3.1622776601683764E-3</v>
      </c>
    </row>
    <row r="12" spans="1:3" x14ac:dyDescent="0.3">
      <c r="B12">
        <v>-60</v>
      </c>
      <c r="C12" s="4">
        <f t="shared" si="0"/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BF0-49DE-42D3-A4A3-588E2A6B86E1}">
  <sheetPr>
    <pageSetUpPr fitToPage="1"/>
  </sheetPr>
  <dimension ref="A1:D34"/>
  <sheetViews>
    <sheetView zoomScale="78" zoomScaleNormal="55" workbookViewId="0">
      <selection activeCell="D16" sqref="D16"/>
    </sheetView>
  </sheetViews>
  <sheetFormatPr defaultRowHeight="14.4" x14ac:dyDescent="0.3"/>
  <cols>
    <col min="1" max="1" width="46" customWidth="1"/>
    <col min="4" max="4" width="36" customWidth="1"/>
  </cols>
  <sheetData>
    <row r="1" spans="1:4" ht="21" x14ac:dyDescent="0.4">
      <c r="A1" s="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37</v>
      </c>
      <c r="B4">
        <v>27</v>
      </c>
      <c r="C4" t="s">
        <v>5</v>
      </c>
    </row>
    <row r="5" spans="1:4" x14ac:dyDescent="0.3">
      <c r="A5" t="s">
        <v>38</v>
      </c>
      <c r="B5">
        <v>-27</v>
      </c>
      <c r="C5" t="s">
        <v>5</v>
      </c>
    </row>
    <row r="6" spans="1:4" x14ac:dyDescent="0.3">
      <c r="A6" t="s">
        <v>41</v>
      </c>
      <c r="B6">
        <v>15</v>
      </c>
      <c r="C6" t="s">
        <v>6</v>
      </c>
    </row>
    <row r="7" spans="1:4" x14ac:dyDescent="0.3">
      <c r="A7" t="s">
        <v>42</v>
      </c>
      <c r="B7">
        <v>15</v>
      </c>
      <c r="C7" t="s">
        <v>6</v>
      </c>
    </row>
    <row r="9" spans="1:4" x14ac:dyDescent="0.3">
      <c r="A9" t="s">
        <v>53</v>
      </c>
      <c r="B9">
        <v>25</v>
      </c>
      <c r="C9" t="s">
        <v>6</v>
      </c>
    </row>
    <row r="10" spans="1:4" x14ac:dyDescent="0.3">
      <c r="A10" t="s">
        <v>39</v>
      </c>
      <c r="B10">
        <v>4</v>
      </c>
      <c r="C10" t="s">
        <v>5</v>
      </c>
      <c r="D10" t="s">
        <v>40</v>
      </c>
    </row>
    <row r="11" spans="1:4" x14ac:dyDescent="0.3">
      <c r="A11" t="s">
        <v>55</v>
      </c>
      <c r="B11">
        <v>-0.3</v>
      </c>
      <c r="C11" t="s">
        <v>5</v>
      </c>
      <c r="D11" t="s">
        <v>56</v>
      </c>
    </row>
    <row r="12" spans="1:4" x14ac:dyDescent="0.3">
      <c r="A12" t="s">
        <v>7</v>
      </c>
      <c r="B12">
        <v>125</v>
      </c>
      <c r="C12" t="s">
        <v>6</v>
      </c>
      <c r="D12" t="s">
        <v>52</v>
      </c>
    </row>
    <row r="13" spans="1:4" x14ac:dyDescent="0.3">
      <c r="A13" t="s">
        <v>8</v>
      </c>
      <c r="B13">
        <v>0.25</v>
      </c>
      <c r="C13" t="s">
        <v>5</v>
      </c>
    </row>
    <row r="15" spans="1:4" x14ac:dyDescent="0.3">
      <c r="A15" t="s">
        <v>45</v>
      </c>
      <c r="B15">
        <v>3.3</v>
      </c>
      <c r="C15" t="s">
        <v>5</v>
      </c>
    </row>
    <row r="16" spans="1:4" x14ac:dyDescent="0.3">
      <c r="A16" t="s">
        <v>46</v>
      </c>
      <c r="B16">
        <v>0</v>
      </c>
      <c r="C16" t="s">
        <v>5</v>
      </c>
    </row>
    <row r="18" spans="1:4" x14ac:dyDescent="0.3">
      <c r="A18" t="s">
        <v>43</v>
      </c>
      <c r="B18">
        <f>(B15-B16)/(B6*0.001)</f>
        <v>220</v>
      </c>
      <c r="C18" t="s">
        <v>9</v>
      </c>
      <c r="D18" t="s">
        <v>47</v>
      </c>
    </row>
    <row r="19" spans="1:4" x14ac:dyDescent="0.3">
      <c r="A19" t="s">
        <v>44</v>
      </c>
      <c r="B19">
        <f>(B15-B16)/(B7*0.001)</f>
        <v>220</v>
      </c>
      <c r="C19" t="s">
        <v>9</v>
      </c>
    </row>
    <row r="21" spans="1:4" ht="15" thickBot="1" x14ac:dyDescent="0.35"/>
    <row r="22" spans="1:4" x14ac:dyDescent="0.3">
      <c r="A22" t="s">
        <v>50</v>
      </c>
      <c r="B22" s="56">
        <v>470</v>
      </c>
      <c r="C22" s="53" t="s">
        <v>9</v>
      </c>
    </row>
    <row r="23" spans="1:4" ht="15" thickBot="1" x14ac:dyDescent="0.35">
      <c r="A23" t="s">
        <v>51</v>
      </c>
      <c r="B23" s="54">
        <v>10</v>
      </c>
      <c r="C23" s="55" t="s">
        <v>9</v>
      </c>
    </row>
    <row r="24" spans="1:4" x14ac:dyDescent="0.3">
      <c r="A24" t="s">
        <v>48</v>
      </c>
      <c r="B24">
        <f>(B15+B13)+B12/1000*B22</f>
        <v>62.3</v>
      </c>
      <c r="C24" t="s">
        <v>5</v>
      </c>
    </row>
    <row r="25" spans="1:4" x14ac:dyDescent="0.3">
      <c r="A25" t="s">
        <v>49</v>
      </c>
      <c r="B25">
        <f>(B16-B13)-B12/1000*B22</f>
        <v>-59</v>
      </c>
      <c r="C25" t="s">
        <v>5</v>
      </c>
    </row>
    <row r="26" spans="1:4" x14ac:dyDescent="0.3">
      <c r="A26" t="s">
        <v>54</v>
      </c>
      <c r="B26">
        <f>B15/(B22+B23)*1000</f>
        <v>6.875</v>
      </c>
      <c r="C26" t="s">
        <v>6</v>
      </c>
    </row>
    <row r="28" spans="1:4" x14ac:dyDescent="0.3">
      <c r="A28" t="s">
        <v>58</v>
      </c>
      <c r="B28">
        <f>B22*B12*B12/1000000</f>
        <v>7.34375</v>
      </c>
      <c r="C28" t="s">
        <v>59</v>
      </c>
    </row>
    <row r="29" spans="1:4" ht="15" thickBot="1" x14ac:dyDescent="0.35">
      <c r="A29" t="s">
        <v>60</v>
      </c>
      <c r="B29" s="4">
        <f>SQRT(0.5/B22)*1000</f>
        <v>32.616403652672112</v>
      </c>
      <c r="C29" t="s">
        <v>6</v>
      </c>
    </row>
    <row r="30" spans="1:4" x14ac:dyDescent="0.3">
      <c r="A30" t="s">
        <v>61</v>
      </c>
      <c r="B30" s="52">
        <f>B15+B13+B29/1000*B22</f>
        <v>18.879709716755894</v>
      </c>
      <c r="C30" s="53" t="s">
        <v>5</v>
      </c>
    </row>
    <row r="31" spans="1:4" ht="15" thickBot="1" x14ac:dyDescent="0.35">
      <c r="A31" t="s">
        <v>61</v>
      </c>
      <c r="B31" s="54">
        <f>B16-B13-B29/1000*B22</f>
        <v>-15.579709716755893</v>
      </c>
      <c r="C31" s="55" t="s">
        <v>5</v>
      </c>
    </row>
    <row r="34" spans="1:1" x14ac:dyDescent="0.3">
      <c r="A34" t="s">
        <v>57</v>
      </c>
    </row>
  </sheetData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1942-014F-4601-9E14-5BC8E39F3C94}">
  <sheetPr>
    <pageSetUpPr fitToPage="1"/>
  </sheetPr>
  <dimension ref="A1:I38"/>
  <sheetViews>
    <sheetView zoomScale="70" zoomScaleNormal="85" workbookViewId="0">
      <selection activeCell="F27" sqref="F27"/>
    </sheetView>
  </sheetViews>
  <sheetFormatPr defaultRowHeight="14.4" x14ac:dyDescent="0.3"/>
  <cols>
    <col min="1" max="1" width="34.109375" customWidth="1"/>
    <col min="2" max="2" width="9.5546875" bestFit="1" customWidth="1"/>
    <col min="4" max="4" width="43.77734375" customWidth="1"/>
    <col min="6" max="6" width="35.77734375" customWidth="1"/>
  </cols>
  <sheetData>
    <row r="1" spans="1:9" ht="21" x14ac:dyDescent="0.4">
      <c r="A1" s="2" t="s">
        <v>10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F3" s="1" t="s">
        <v>80</v>
      </c>
    </row>
    <row r="4" spans="1:9" x14ac:dyDescent="0.3">
      <c r="A4" t="s">
        <v>11</v>
      </c>
      <c r="B4">
        <v>0</v>
      </c>
      <c r="C4" t="s">
        <v>12</v>
      </c>
      <c r="D4" t="s">
        <v>25</v>
      </c>
      <c r="F4" t="s">
        <v>11</v>
      </c>
      <c r="G4">
        <v>0</v>
      </c>
      <c r="H4" t="s">
        <v>12</v>
      </c>
      <c r="I4" t="s">
        <v>25</v>
      </c>
    </row>
    <row r="5" spans="1:9" x14ac:dyDescent="0.3">
      <c r="A5" t="s">
        <v>15</v>
      </c>
      <c r="B5">
        <v>100</v>
      </c>
      <c r="C5" t="s">
        <v>12</v>
      </c>
      <c r="D5" t="s">
        <v>25</v>
      </c>
      <c r="F5" t="s">
        <v>15</v>
      </c>
      <c r="G5" s="3">
        <f>G6*H28</f>
        <v>23.130752319999999</v>
      </c>
      <c r="H5" t="s">
        <v>12</v>
      </c>
      <c r="I5" t="s">
        <v>25</v>
      </c>
    </row>
    <row r="6" spans="1:9" x14ac:dyDescent="0.3">
      <c r="A6" t="s">
        <v>23</v>
      </c>
      <c r="B6">
        <v>0.05</v>
      </c>
      <c r="C6" t="s">
        <v>24</v>
      </c>
      <c r="D6" t="s">
        <v>22</v>
      </c>
      <c r="F6" t="s">
        <v>23</v>
      </c>
      <c r="G6" s="3">
        <v>2.5999999999999999E-3</v>
      </c>
      <c r="H6" t="s">
        <v>81</v>
      </c>
    </row>
    <row r="7" spans="1:9" x14ac:dyDescent="0.3">
      <c r="F7" t="s">
        <v>23</v>
      </c>
      <c r="G7" s="3">
        <f>G6*9.80665</f>
        <v>2.5497289999999999E-2</v>
      </c>
      <c r="H7" t="s">
        <v>85</v>
      </c>
      <c r="I7" t="s">
        <v>86</v>
      </c>
    </row>
    <row r="8" spans="1:9" x14ac:dyDescent="0.3">
      <c r="A8" t="s">
        <v>13</v>
      </c>
      <c r="B8">
        <v>50</v>
      </c>
      <c r="C8" t="s">
        <v>14</v>
      </c>
      <c r="D8" t="s">
        <v>223</v>
      </c>
    </row>
    <row r="9" spans="1:9" x14ac:dyDescent="0.3">
      <c r="F9" t="s">
        <v>13</v>
      </c>
      <c r="G9">
        <v>100</v>
      </c>
      <c r="H9" t="s">
        <v>14</v>
      </c>
    </row>
    <row r="10" spans="1:9" x14ac:dyDescent="0.3">
      <c r="A10" t="s">
        <v>16</v>
      </c>
      <c r="B10">
        <f>B8*B4</f>
        <v>0</v>
      </c>
      <c r="C10" t="s">
        <v>12</v>
      </c>
    </row>
    <row r="11" spans="1:9" x14ac:dyDescent="0.3">
      <c r="A11" t="s">
        <v>17</v>
      </c>
      <c r="B11">
        <f>B8*B5</f>
        <v>5000</v>
      </c>
      <c r="C11" t="s">
        <v>12</v>
      </c>
      <c r="F11" t="s">
        <v>16</v>
      </c>
      <c r="G11">
        <f>G9*G4</f>
        <v>0</v>
      </c>
      <c r="H11" t="s">
        <v>12</v>
      </c>
    </row>
    <row r="12" spans="1:9" x14ac:dyDescent="0.3">
      <c r="A12" t="s">
        <v>26</v>
      </c>
      <c r="B12">
        <f>B6*B8</f>
        <v>2.5</v>
      </c>
      <c r="C12" t="s">
        <v>21</v>
      </c>
      <c r="D12" t="s">
        <v>64</v>
      </c>
      <c r="F12" t="s">
        <v>17</v>
      </c>
      <c r="G12" s="4">
        <f>G9*G5</f>
        <v>2313.0752320000001</v>
      </c>
      <c r="H12" t="s">
        <v>12</v>
      </c>
    </row>
    <row r="13" spans="1:9" x14ac:dyDescent="0.3">
      <c r="F13" t="s">
        <v>26</v>
      </c>
      <c r="G13">
        <f>G6*G9</f>
        <v>0.26</v>
      </c>
      <c r="H13" t="s">
        <v>21</v>
      </c>
      <c r="I13" t="s">
        <v>87</v>
      </c>
    </row>
    <row r="14" spans="1:9" x14ac:dyDescent="0.3">
      <c r="F14" t="s">
        <v>26</v>
      </c>
      <c r="G14" s="4">
        <f>G7*G9</f>
        <v>2.5497289999999997</v>
      </c>
      <c r="H14" t="s">
        <v>21</v>
      </c>
      <c r="I14" t="s">
        <v>88</v>
      </c>
    </row>
    <row r="15" spans="1:9" x14ac:dyDescent="0.3">
      <c r="A15" t="s">
        <v>18</v>
      </c>
      <c r="B15">
        <v>5</v>
      </c>
      <c r="C15" t="s">
        <v>5</v>
      </c>
    </row>
    <row r="16" spans="1:9" x14ac:dyDescent="0.3">
      <c r="A16" t="s">
        <v>27</v>
      </c>
      <c r="B16">
        <v>12.8</v>
      </c>
      <c r="C16" t="s">
        <v>20</v>
      </c>
      <c r="F16" t="s">
        <v>91</v>
      </c>
      <c r="G16" s="6">
        <f>5/G5*1000</f>
        <v>216.16244602977099</v>
      </c>
      <c r="H16" t="s">
        <v>14</v>
      </c>
    </row>
    <row r="17" spans="1:9" x14ac:dyDescent="0.3">
      <c r="A17" t="s">
        <v>19</v>
      </c>
      <c r="B17" s="3">
        <f>B15/2^B16*1000</f>
        <v>0.70110983581362041</v>
      </c>
      <c r="C17" t="s">
        <v>21</v>
      </c>
    </row>
    <row r="18" spans="1:9" x14ac:dyDescent="0.3">
      <c r="A18" t="s">
        <v>65</v>
      </c>
      <c r="B18" s="3">
        <f>B17/B12</f>
        <v>0.28044393432544817</v>
      </c>
      <c r="C18" t="s">
        <v>66</v>
      </c>
    </row>
    <row r="19" spans="1:9" x14ac:dyDescent="0.3">
      <c r="A19" t="s">
        <v>92</v>
      </c>
      <c r="B19" s="3">
        <f>B17/G13</f>
        <v>2.6965762915908478</v>
      </c>
      <c r="C19" t="s">
        <v>89</v>
      </c>
      <c r="G19" t="s">
        <v>83</v>
      </c>
      <c r="H19" t="s">
        <v>5</v>
      </c>
    </row>
    <row r="20" spans="1:9" x14ac:dyDescent="0.3">
      <c r="G20">
        <v>1</v>
      </c>
      <c r="H20">
        <v>2.8809999999999999E-3</v>
      </c>
    </row>
    <row r="21" spans="1:9" x14ac:dyDescent="0.3">
      <c r="G21">
        <v>2</v>
      </c>
      <c r="H21">
        <v>5.6779999999999999E-3</v>
      </c>
    </row>
    <row r="22" spans="1:9" x14ac:dyDescent="0.3">
      <c r="A22" s="1" t="s">
        <v>90</v>
      </c>
      <c r="G22">
        <v>3</v>
      </c>
      <c r="H22">
        <v>8.2150000000000001E-3</v>
      </c>
    </row>
    <row r="23" spans="1:9" x14ac:dyDescent="0.3">
      <c r="A23" t="s">
        <v>18</v>
      </c>
      <c r="B23">
        <v>5</v>
      </c>
      <c r="C23" t="s">
        <v>5</v>
      </c>
      <c r="G23">
        <v>4</v>
      </c>
      <c r="H23">
        <v>9.8619999999999992E-3</v>
      </c>
    </row>
    <row r="24" spans="1:9" x14ac:dyDescent="0.3">
      <c r="A24" t="s">
        <v>28</v>
      </c>
      <c r="B24">
        <v>80.400000000000006</v>
      </c>
      <c r="C24" t="s">
        <v>29</v>
      </c>
      <c r="D24" t="s">
        <v>227</v>
      </c>
      <c r="G24">
        <v>5</v>
      </c>
      <c r="H24">
        <v>1.3906999999999999E-2</v>
      </c>
    </row>
    <row r="25" spans="1:9" x14ac:dyDescent="0.3">
      <c r="A25" t="s">
        <v>224</v>
      </c>
      <c r="B25" s="4">
        <f>(B24-1.76)/6.02</f>
        <v>13.063122923588042</v>
      </c>
      <c r="C25" t="s">
        <v>20</v>
      </c>
      <c r="G25">
        <v>6</v>
      </c>
      <c r="H25">
        <v>1.584E-2</v>
      </c>
    </row>
    <row r="26" spans="1:9" x14ac:dyDescent="0.3">
      <c r="A26" t="s">
        <v>19</v>
      </c>
      <c r="B26" s="3">
        <f>B23/2^B25*1000</f>
        <v>0.58422234996343425</v>
      </c>
      <c r="C26" t="s">
        <v>21</v>
      </c>
      <c r="G26">
        <v>7</v>
      </c>
      <c r="H26">
        <v>1.8863999999999999E-2</v>
      </c>
    </row>
    <row r="27" spans="1:9" x14ac:dyDescent="0.3">
      <c r="G27" t="s">
        <v>82</v>
      </c>
      <c r="H27">
        <v>2.5999999999999999E-3</v>
      </c>
      <c r="I27" t="s">
        <v>81</v>
      </c>
    </row>
    <row r="28" spans="1:9" x14ac:dyDescent="0.3">
      <c r="A28" s="1" t="s">
        <v>90</v>
      </c>
      <c r="G28" t="s">
        <v>84</v>
      </c>
      <c r="H28">
        <v>8896.4431999999997</v>
      </c>
      <c r="I28" t="s">
        <v>89</v>
      </c>
    </row>
    <row r="29" spans="1:9" x14ac:dyDescent="0.3">
      <c r="A29" t="s">
        <v>18</v>
      </c>
      <c r="B29">
        <v>5</v>
      </c>
      <c r="C29" t="s">
        <v>5</v>
      </c>
    </row>
    <row r="30" spans="1:9" x14ac:dyDescent="0.3">
      <c r="A30" t="s">
        <v>28</v>
      </c>
      <c r="B30">
        <v>86.9</v>
      </c>
      <c r="C30" t="s">
        <v>29</v>
      </c>
      <c r="D30" t="s">
        <v>228</v>
      </c>
    </row>
    <row r="31" spans="1:9" x14ac:dyDescent="0.3">
      <c r="A31" t="s">
        <v>224</v>
      </c>
      <c r="B31" s="4">
        <f>(B30-1.76)/6.02</f>
        <v>14.142857142857144</v>
      </c>
      <c r="C31" t="s">
        <v>20</v>
      </c>
    </row>
    <row r="32" spans="1:9" x14ac:dyDescent="0.3">
      <c r="A32" t="s">
        <v>19</v>
      </c>
      <c r="B32" s="3">
        <f>B29/2^B31*1000</f>
        <v>0.27640492683835022</v>
      </c>
      <c r="C32" t="s">
        <v>21</v>
      </c>
    </row>
    <row r="36" spans="1:2" x14ac:dyDescent="0.3">
      <c r="A36" s="1" t="s">
        <v>229</v>
      </c>
    </row>
    <row r="37" spans="1:2" x14ac:dyDescent="0.3">
      <c r="A37" s="9" t="s">
        <v>93</v>
      </c>
      <c r="B37" t="s">
        <v>94</v>
      </c>
    </row>
    <row r="38" spans="1:2" x14ac:dyDescent="0.3">
      <c r="A38" s="9" t="s">
        <v>225</v>
      </c>
      <c r="B38" t="s">
        <v>226</v>
      </c>
    </row>
  </sheetData>
  <pageMargins left="0.7" right="0.7" top="0.75" bottom="0.75" header="0.3" footer="0.3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3BAB-D15A-47C8-9B74-5014433A0DBB}">
  <sheetPr>
    <pageSetUpPr fitToPage="1"/>
  </sheetPr>
  <dimension ref="A1:I23"/>
  <sheetViews>
    <sheetView zoomScale="81" zoomScaleNormal="100" workbookViewId="0">
      <selection activeCell="D25" sqref="D25"/>
    </sheetView>
  </sheetViews>
  <sheetFormatPr defaultRowHeight="14.4" x14ac:dyDescent="0.3"/>
  <cols>
    <col min="1" max="1" width="11.109375" customWidth="1"/>
    <col min="2" max="2" width="43.44140625" bestFit="1" customWidth="1"/>
    <col min="3" max="3" width="13.33203125" customWidth="1"/>
    <col min="4" max="6" width="11.5546875" bestFit="1" customWidth="1"/>
    <col min="8" max="8" width="20.44140625" bestFit="1" customWidth="1"/>
  </cols>
  <sheetData>
    <row r="1" spans="1:9" ht="21" x14ac:dyDescent="0.4">
      <c r="A1" s="2" t="s">
        <v>95</v>
      </c>
    </row>
    <row r="2" spans="1:9" x14ac:dyDescent="0.3">
      <c r="B2" t="s">
        <v>220</v>
      </c>
      <c r="C2" t="s">
        <v>221</v>
      </c>
      <c r="F2" t="s">
        <v>222</v>
      </c>
    </row>
    <row r="3" spans="1:9" x14ac:dyDescent="0.3">
      <c r="B3" t="s">
        <v>100</v>
      </c>
      <c r="C3">
        <v>5</v>
      </c>
    </row>
    <row r="4" spans="1:9" x14ac:dyDescent="0.3">
      <c r="B4" t="s">
        <v>101</v>
      </c>
      <c r="C4">
        <v>12</v>
      </c>
    </row>
    <row r="5" spans="1:9" x14ac:dyDescent="0.3">
      <c r="B5" t="s">
        <v>102</v>
      </c>
      <c r="C5">
        <f>C3/2^C4</f>
        <v>1.220703125E-3</v>
      </c>
      <c r="D5" t="s">
        <v>102</v>
      </c>
    </row>
    <row r="7" spans="1:9" x14ac:dyDescent="0.3">
      <c r="C7" s="19" t="s">
        <v>99</v>
      </c>
      <c r="D7" s="19" t="s">
        <v>96</v>
      </c>
      <c r="E7" s="19" t="s">
        <v>97</v>
      </c>
      <c r="F7" s="19" t="s">
        <v>98</v>
      </c>
      <c r="G7" s="19" t="s">
        <v>3</v>
      </c>
      <c r="H7" s="19" t="s">
        <v>211</v>
      </c>
    </row>
    <row r="8" spans="1:9" x14ac:dyDescent="0.3">
      <c r="A8" s="69" t="s">
        <v>107</v>
      </c>
      <c r="B8" s="10" t="s">
        <v>103</v>
      </c>
      <c r="C8" s="35">
        <v>1E-3</v>
      </c>
      <c r="D8" s="15">
        <f>(1-C8)*E8</f>
        <v>0</v>
      </c>
      <c r="E8" s="15">
        <v>0</v>
      </c>
      <c r="F8" s="15">
        <f>(1+C8)*E8</f>
        <v>0</v>
      </c>
      <c r="G8" s="11" t="s">
        <v>9</v>
      </c>
      <c r="H8" s="51">
        <f>E8*E9/(E8+E9)</f>
        <v>0</v>
      </c>
      <c r="I8" t="s">
        <v>9</v>
      </c>
    </row>
    <row r="9" spans="1:9" x14ac:dyDescent="0.3">
      <c r="A9" s="70"/>
      <c r="B9" t="s">
        <v>104</v>
      </c>
      <c r="C9" s="36">
        <v>1E-3</v>
      </c>
      <c r="D9" s="33">
        <f>(1-C9)*E9</f>
        <v>4985.01</v>
      </c>
      <c r="E9" s="33">
        <v>4990</v>
      </c>
      <c r="F9" s="33">
        <f>(1+C9)*E9</f>
        <v>4994.99</v>
      </c>
      <c r="G9" s="12" t="s">
        <v>9</v>
      </c>
    </row>
    <row r="10" spans="1:9" x14ac:dyDescent="0.3">
      <c r="A10" s="70"/>
      <c r="B10" t="s">
        <v>105</v>
      </c>
      <c r="C10" s="16" t="s">
        <v>63</v>
      </c>
      <c r="D10" s="16">
        <v>40</v>
      </c>
      <c r="E10" s="16">
        <v>100</v>
      </c>
      <c r="F10" s="16">
        <v>125</v>
      </c>
      <c r="G10" s="12" t="s">
        <v>9</v>
      </c>
    </row>
    <row r="11" spans="1:9" x14ac:dyDescent="0.3">
      <c r="A11" s="71"/>
      <c r="B11" s="13" t="s">
        <v>106</v>
      </c>
      <c r="C11" s="17" t="s">
        <v>63</v>
      </c>
      <c r="D11" s="18">
        <f>1+(D8+D10)/F9</f>
        <v>1.0080080240400882</v>
      </c>
      <c r="E11" s="18">
        <f>1+(E8+E10)/E9</f>
        <v>1.0200400801603207</v>
      </c>
      <c r="F11" s="18">
        <f>1+(F8+F10)/D9</f>
        <v>1.0250751753757765</v>
      </c>
      <c r="G11" s="14" t="s">
        <v>14</v>
      </c>
    </row>
    <row r="12" spans="1:9" x14ac:dyDescent="0.3">
      <c r="A12" s="72" t="s">
        <v>108</v>
      </c>
      <c r="B12" s="10" t="s">
        <v>103</v>
      </c>
      <c r="C12" s="35">
        <v>1E-3</v>
      </c>
      <c r="D12" s="34">
        <f>(1-C12)*E12</f>
        <v>45254.7</v>
      </c>
      <c r="E12" s="34">
        <v>45300</v>
      </c>
      <c r="F12" s="34">
        <f>(1+C12)*E12</f>
        <v>45345.299999999996</v>
      </c>
      <c r="G12" s="11" t="s">
        <v>9</v>
      </c>
      <c r="H12" s="51">
        <f>E12*E13/(E12+E13)</f>
        <v>4494.8697554185719</v>
      </c>
      <c r="I12" t="s">
        <v>9</v>
      </c>
    </row>
    <row r="13" spans="1:9" x14ac:dyDescent="0.3">
      <c r="A13" s="73"/>
      <c r="B13" t="s">
        <v>104</v>
      </c>
      <c r="C13" s="36">
        <v>1E-3</v>
      </c>
      <c r="D13" s="33">
        <f>(1-C13)*E13</f>
        <v>4985.01</v>
      </c>
      <c r="E13" s="33">
        <f>E9</f>
        <v>4990</v>
      </c>
      <c r="F13" s="33">
        <f>(1+C13)*E13</f>
        <v>4994.99</v>
      </c>
      <c r="G13" s="12" t="s">
        <v>9</v>
      </c>
    </row>
    <row r="14" spans="1:9" x14ac:dyDescent="0.3">
      <c r="A14" s="73"/>
      <c r="B14" t="s">
        <v>105</v>
      </c>
      <c r="C14" s="16" t="s">
        <v>63</v>
      </c>
      <c r="D14" s="16">
        <v>40</v>
      </c>
      <c r="E14" s="16">
        <v>100</v>
      </c>
      <c r="F14" s="16">
        <v>125</v>
      </c>
      <c r="G14" s="12" t="s">
        <v>9</v>
      </c>
    </row>
    <row r="15" spans="1:9" x14ac:dyDescent="0.3">
      <c r="A15" s="74"/>
      <c r="B15" s="13" t="s">
        <v>106</v>
      </c>
      <c r="C15" s="17" t="s">
        <v>63</v>
      </c>
      <c r="D15" s="18">
        <f>1+(D12+D14)/F13</f>
        <v>10.068026162214538</v>
      </c>
      <c r="E15" s="18">
        <f>1+(E12+E14)/E13</f>
        <v>10.098196392785571</v>
      </c>
      <c r="F15" s="18">
        <f>1+(F12+F14)/D13</f>
        <v>10.121405975113388</v>
      </c>
      <c r="G15" s="14" t="s">
        <v>14</v>
      </c>
    </row>
    <row r="16" spans="1:9" x14ac:dyDescent="0.3">
      <c r="A16" s="75" t="s">
        <v>109</v>
      </c>
      <c r="B16" s="10" t="s">
        <v>103</v>
      </c>
      <c r="C16" s="35">
        <v>1E-3</v>
      </c>
      <c r="D16" s="34">
        <f>(1-C16)*E16</f>
        <v>242757</v>
      </c>
      <c r="E16" s="34">
        <v>243000</v>
      </c>
      <c r="F16" s="34">
        <f>(1+C16)*E16</f>
        <v>243242.99999999997</v>
      </c>
      <c r="G16" s="11" t="s">
        <v>9</v>
      </c>
      <c r="H16" s="51">
        <f>E16*E17/(E16+E17)</f>
        <v>4889.5923222710589</v>
      </c>
      <c r="I16" t="s">
        <v>9</v>
      </c>
    </row>
    <row r="17" spans="1:9" x14ac:dyDescent="0.3">
      <c r="A17" s="76"/>
      <c r="B17" t="s">
        <v>104</v>
      </c>
      <c r="C17" s="36">
        <v>1E-3</v>
      </c>
      <c r="D17" s="33">
        <f>(1-C17)*E17</f>
        <v>4985.01</v>
      </c>
      <c r="E17" s="33">
        <f>E9</f>
        <v>4990</v>
      </c>
      <c r="F17" s="33">
        <f>(1+C17)*E17</f>
        <v>4994.99</v>
      </c>
      <c r="G17" s="12" t="s">
        <v>9</v>
      </c>
    </row>
    <row r="18" spans="1:9" x14ac:dyDescent="0.3">
      <c r="A18" s="76"/>
      <c r="B18" t="s">
        <v>105</v>
      </c>
      <c r="C18" s="16" t="s">
        <v>63</v>
      </c>
      <c r="D18" s="16">
        <v>40</v>
      </c>
      <c r="E18" s="16">
        <v>100</v>
      </c>
      <c r="F18" s="16">
        <v>125</v>
      </c>
      <c r="G18" s="12" t="s">
        <v>9</v>
      </c>
    </row>
    <row r="19" spans="1:9" x14ac:dyDescent="0.3">
      <c r="A19" s="77"/>
      <c r="B19" s="13" t="s">
        <v>106</v>
      </c>
      <c r="C19" s="17" t="s">
        <v>63</v>
      </c>
      <c r="D19" s="18">
        <f>1+(D16+D18)/D17</f>
        <v>49.705418845699405</v>
      </c>
      <c r="E19" s="18">
        <f>1+(E16+E18)/E17</f>
        <v>49.717434869739478</v>
      </c>
      <c r="F19" s="18">
        <f>1+(F16+F18)/D17</f>
        <v>49.819962246815948</v>
      </c>
      <c r="G19" s="14" t="s">
        <v>14</v>
      </c>
    </row>
    <row r="20" spans="1:9" x14ac:dyDescent="0.3">
      <c r="A20" s="78" t="s">
        <v>110</v>
      </c>
      <c r="B20" s="10" t="s">
        <v>103</v>
      </c>
      <c r="C20" s="35">
        <v>1E-3</v>
      </c>
      <c r="D20" s="34">
        <f>(1-C20)*E20</f>
        <v>498501</v>
      </c>
      <c r="E20" s="34">
        <v>499000</v>
      </c>
      <c r="F20" s="34">
        <f>(1+C20)*E20</f>
        <v>499498.99999999994</v>
      </c>
      <c r="G20" s="11" t="s">
        <v>9</v>
      </c>
      <c r="H20" s="51">
        <f>E20*E21/(E20+E21)</f>
        <v>4940.5940594059402</v>
      </c>
      <c r="I20" t="s">
        <v>9</v>
      </c>
    </row>
    <row r="21" spans="1:9" x14ac:dyDescent="0.3">
      <c r="A21" s="79"/>
      <c r="B21" t="s">
        <v>104</v>
      </c>
      <c r="C21" s="36">
        <v>1E-3</v>
      </c>
      <c r="D21" s="33">
        <f>(1-C21)*E21</f>
        <v>4985.01</v>
      </c>
      <c r="E21" s="33">
        <f>E9</f>
        <v>4990</v>
      </c>
      <c r="F21" s="33">
        <f>(1+C21)*E21</f>
        <v>4994.99</v>
      </c>
      <c r="G21" s="12" t="s">
        <v>9</v>
      </c>
    </row>
    <row r="22" spans="1:9" x14ac:dyDescent="0.3">
      <c r="A22" s="79"/>
      <c r="B22" t="s">
        <v>105</v>
      </c>
      <c r="C22" s="16" t="s">
        <v>63</v>
      </c>
      <c r="D22" s="16">
        <v>40</v>
      </c>
      <c r="E22" s="16">
        <v>100</v>
      </c>
      <c r="F22" s="16">
        <v>125</v>
      </c>
      <c r="G22" s="12" t="s">
        <v>9</v>
      </c>
    </row>
    <row r="23" spans="1:9" x14ac:dyDescent="0.3">
      <c r="A23" s="80"/>
      <c r="B23" s="13" t="s">
        <v>106</v>
      </c>
      <c r="C23" s="17" t="s">
        <v>63</v>
      </c>
      <c r="D23" s="18">
        <f>1+(D20+D22)/F21</f>
        <v>100.80820782423989</v>
      </c>
      <c r="E23" s="18">
        <f>1+(E20+E22)/E21</f>
        <v>101.02004008016031</v>
      </c>
      <c r="F23" s="18">
        <f>1+(F20+F22)/D21</f>
        <v>101.22527537557596</v>
      </c>
      <c r="G23" s="14" t="s">
        <v>14</v>
      </c>
    </row>
  </sheetData>
  <mergeCells count="4">
    <mergeCell ref="A8:A11"/>
    <mergeCell ref="A12:A15"/>
    <mergeCell ref="A16:A19"/>
    <mergeCell ref="A20:A23"/>
  </mergeCells>
  <pageMargins left="0.7" right="0.7" top="0.75" bottom="0.75" header="0.3" footer="0.3"/>
  <pageSetup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CAEC-DF0D-4E76-B5A5-4113DE0E6389}">
  <sheetPr>
    <pageSetUpPr fitToPage="1"/>
  </sheetPr>
  <dimension ref="A1:I40"/>
  <sheetViews>
    <sheetView zoomScale="63" zoomScaleNormal="85" workbookViewId="0">
      <selection activeCell="F18" sqref="F18"/>
    </sheetView>
  </sheetViews>
  <sheetFormatPr defaultRowHeight="14.4" x14ac:dyDescent="0.3"/>
  <cols>
    <col min="1" max="1" width="35.109375" customWidth="1"/>
    <col min="2" max="2" width="11" bestFit="1" customWidth="1"/>
    <col min="4" max="4" width="43.21875" customWidth="1"/>
    <col min="6" max="6" width="31.33203125" customWidth="1"/>
    <col min="7" max="7" width="10.44140625" customWidth="1"/>
    <col min="9" max="9" width="43.109375" bestFit="1" customWidth="1"/>
  </cols>
  <sheetData>
    <row r="1" spans="1:9" ht="21" x14ac:dyDescent="0.4">
      <c r="A1" s="2" t="s">
        <v>165</v>
      </c>
    </row>
    <row r="3" spans="1:9" x14ac:dyDescent="0.3">
      <c r="A3" s="8" t="s">
        <v>1</v>
      </c>
      <c r="B3" s="8" t="s">
        <v>2</v>
      </c>
      <c r="C3" s="8" t="s">
        <v>3</v>
      </c>
      <c r="D3" s="8" t="s">
        <v>4</v>
      </c>
      <c r="F3" s="8" t="s">
        <v>1</v>
      </c>
      <c r="G3" s="8" t="s">
        <v>2</v>
      </c>
      <c r="H3" s="8" t="s">
        <v>3</v>
      </c>
      <c r="I3" s="8" t="s">
        <v>4</v>
      </c>
    </row>
    <row r="4" spans="1:9" x14ac:dyDescent="0.3">
      <c r="A4" s="1" t="s">
        <v>173</v>
      </c>
      <c r="F4" s="1" t="s">
        <v>174</v>
      </c>
    </row>
    <row r="5" spans="1:9" x14ac:dyDescent="0.3">
      <c r="A5" t="s">
        <v>166</v>
      </c>
      <c r="B5">
        <v>200</v>
      </c>
      <c r="C5" t="s">
        <v>157</v>
      </c>
      <c r="F5" t="s">
        <v>176</v>
      </c>
      <c r="G5">
        <v>200</v>
      </c>
      <c r="H5" t="s">
        <v>157</v>
      </c>
    </row>
    <row r="6" spans="1:9" x14ac:dyDescent="0.3">
      <c r="A6" t="s">
        <v>167</v>
      </c>
      <c r="B6">
        <v>15</v>
      </c>
      <c r="C6" t="s">
        <v>5</v>
      </c>
      <c r="D6" t="s">
        <v>168</v>
      </c>
      <c r="F6" t="s">
        <v>175</v>
      </c>
      <c r="G6">
        <v>-15</v>
      </c>
      <c r="H6" t="s">
        <v>5</v>
      </c>
    </row>
    <row r="7" spans="1:9" ht="15" thickBot="1" x14ac:dyDescent="0.35">
      <c r="A7" t="s">
        <v>100</v>
      </c>
      <c r="B7">
        <v>1.2130000000000001</v>
      </c>
      <c r="C7" t="s">
        <v>5</v>
      </c>
      <c r="D7" t="s">
        <v>169</v>
      </c>
      <c r="F7" t="s">
        <v>100</v>
      </c>
      <c r="G7">
        <v>1.2130000000000001</v>
      </c>
      <c r="H7" t="s">
        <v>5</v>
      </c>
    </row>
    <row r="8" spans="1:9" ht="15" thickBot="1" x14ac:dyDescent="0.35">
      <c r="A8" t="s">
        <v>170</v>
      </c>
      <c r="B8" s="45">
        <v>47.5</v>
      </c>
      <c r="C8" s="46" t="s">
        <v>157</v>
      </c>
      <c r="F8" t="s">
        <v>177</v>
      </c>
      <c r="G8" s="45">
        <v>47.5</v>
      </c>
      <c r="H8" s="46" t="s">
        <v>157</v>
      </c>
    </row>
    <row r="9" spans="1:9" x14ac:dyDescent="0.3">
      <c r="A9" t="s">
        <v>171</v>
      </c>
      <c r="B9">
        <f>B8*(B6/B7-1)</f>
        <v>539.88664468260504</v>
      </c>
      <c r="C9" t="s">
        <v>157</v>
      </c>
      <c r="F9" t="s">
        <v>178</v>
      </c>
      <c r="G9">
        <f>-1*G8*G6/G7</f>
        <v>587.38664468260504</v>
      </c>
      <c r="H9" t="s">
        <v>157</v>
      </c>
    </row>
    <row r="10" spans="1:9" ht="15" thickBot="1" x14ac:dyDescent="0.35"/>
    <row r="11" spans="1:9" ht="15" thickBot="1" x14ac:dyDescent="0.35">
      <c r="A11" t="s">
        <v>50</v>
      </c>
      <c r="B11" s="45">
        <v>536</v>
      </c>
      <c r="C11" s="46" t="s">
        <v>157</v>
      </c>
      <c r="F11" t="s">
        <v>179</v>
      </c>
      <c r="G11" s="45">
        <v>576</v>
      </c>
      <c r="H11" s="46" t="s">
        <v>157</v>
      </c>
    </row>
    <row r="12" spans="1:9" x14ac:dyDescent="0.3">
      <c r="A12" t="s">
        <v>172</v>
      </c>
      <c r="B12">
        <f>(1+B11/B8)*B7</f>
        <v>14.900747368421053</v>
      </c>
      <c r="C12" t="s">
        <v>5</v>
      </c>
      <c r="F12" t="s">
        <v>172</v>
      </c>
      <c r="G12">
        <f>-G11/G8*G7</f>
        <v>-14.70922105263158</v>
      </c>
      <c r="H12" t="s">
        <v>5</v>
      </c>
    </row>
    <row r="22" spans="1:9" x14ac:dyDescent="0.3">
      <c r="A22" s="1" t="s">
        <v>180</v>
      </c>
      <c r="F22" s="1" t="s">
        <v>186</v>
      </c>
    </row>
    <row r="23" spans="1:9" x14ac:dyDescent="0.3">
      <c r="A23" t="s">
        <v>182</v>
      </c>
      <c r="B23">
        <v>5</v>
      </c>
      <c r="C23" t="s">
        <v>5</v>
      </c>
      <c r="F23" t="s">
        <v>182</v>
      </c>
      <c r="G23">
        <v>5</v>
      </c>
      <c r="H23" t="s">
        <v>5</v>
      </c>
    </row>
    <row r="24" spans="1:9" x14ac:dyDescent="0.3">
      <c r="A24" t="s">
        <v>183</v>
      </c>
      <c r="B24">
        <v>0.08</v>
      </c>
      <c r="C24" t="s">
        <v>184</v>
      </c>
      <c r="D24" t="s">
        <v>185</v>
      </c>
      <c r="F24" t="s">
        <v>187</v>
      </c>
      <c r="G24">
        <v>0.01</v>
      </c>
      <c r="H24" t="s">
        <v>184</v>
      </c>
      <c r="I24" t="s">
        <v>188</v>
      </c>
    </row>
    <row r="25" spans="1:9" x14ac:dyDescent="0.3">
      <c r="A25" t="s">
        <v>181</v>
      </c>
      <c r="B25">
        <f>B6/(B23*0.64)*B24</f>
        <v>0.375</v>
      </c>
      <c r="C25" t="s">
        <v>184</v>
      </c>
      <c r="F25" t="s">
        <v>181</v>
      </c>
      <c r="G25">
        <f>(G23-G6)/(G23*0.64)*G24</f>
        <v>6.25E-2</v>
      </c>
      <c r="H25" t="s">
        <v>184</v>
      </c>
    </row>
    <row r="26" spans="1:9" x14ac:dyDescent="0.3">
      <c r="A26" t="s">
        <v>189</v>
      </c>
      <c r="B26">
        <f>0.2*B25</f>
        <v>7.5000000000000011E-2</v>
      </c>
      <c r="C26" t="s">
        <v>184</v>
      </c>
      <c r="F26" t="s">
        <v>189</v>
      </c>
      <c r="G26">
        <f>0.2*G25</f>
        <v>1.2500000000000001E-2</v>
      </c>
      <c r="H26" t="s">
        <v>184</v>
      </c>
    </row>
    <row r="27" spans="1:9" x14ac:dyDescent="0.3">
      <c r="A27" t="s">
        <v>190</v>
      </c>
      <c r="B27">
        <v>1.25</v>
      </c>
      <c r="C27" t="s">
        <v>32</v>
      </c>
      <c r="F27" t="s">
        <v>190</v>
      </c>
      <c r="G27">
        <v>1.25</v>
      </c>
      <c r="H27" t="s">
        <v>32</v>
      </c>
    </row>
    <row r="28" spans="1:9" x14ac:dyDescent="0.3">
      <c r="A28" t="s">
        <v>191</v>
      </c>
      <c r="B28" s="47">
        <f>B23*(B6-B23)/(B26*B27*B6)</f>
        <v>35.55555555555555</v>
      </c>
      <c r="C28" s="48" t="s">
        <v>192</v>
      </c>
      <c r="D28" t="s">
        <v>194</v>
      </c>
      <c r="F28" t="s">
        <v>193</v>
      </c>
      <c r="G28" s="48">
        <f>G23*G6/(G26*G27*(G6-G23))</f>
        <v>240</v>
      </c>
      <c r="H28" s="48" t="s">
        <v>192</v>
      </c>
      <c r="I28" t="s">
        <v>194</v>
      </c>
    </row>
    <row r="31" spans="1:9" x14ac:dyDescent="0.3">
      <c r="A31" s="1" t="s">
        <v>195</v>
      </c>
      <c r="F31" s="1" t="s">
        <v>195</v>
      </c>
    </row>
    <row r="32" spans="1:9" ht="15" thickBot="1" x14ac:dyDescent="0.35">
      <c r="A32" t="s">
        <v>200</v>
      </c>
      <c r="B32">
        <v>5.0000000000000001E-3</v>
      </c>
      <c r="C32" t="s">
        <v>5</v>
      </c>
      <c r="F32" t="s">
        <v>199</v>
      </c>
      <c r="G32">
        <v>5.0000000000000001E-3</v>
      </c>
      <c r="H32" t="s">
        <v>5</v>
      </c>
    </row>
    <row r="33" spans="1:8" ht="15" thickBot="1" x14ac:dyDescent="0.35">
      <c r="A33" t="s">
        <v>197</v>
      </c>
      <c r="B33" s="49">
        <f>B24*(B6-B23)/(B27*B32*B6)</f>
        <v>8.5333333333333332</v>
      </c>
      <c r="C33" s="46" t="s">
        <v>196</v>
      </c>
      <c r="F33" t="s">
        <v>198</v>
      </c>
      <c r="G33" s="45">
        <f>G24*G6/(G27*G32*(G6-G23))</f>
        <v>1.2</v>
      </c>
      <c r="H33" s="46" t="s">
        <v>196</v>
      </c>
    </row>
    <row r="34" spans="1:8" x14ac:dyDescent="0.3">
      <c r="A34" t="s">
        <v>202</v>
      </c>
      <c r="B34">
        <v>0.01</v>
      </c>
      <c r="C34" t="s">
        <v>9</v>
      </c>
      <c r="F34" t="s">
        <v>203</v>
      </c>
      <c r="G34">
        <v>0.01</v>
      </c>
      <c r="H34" t="s">
        <v>9</v>
      </c>
    </row>
    <row r="35" spans="1:8" x14ac:dyDescent="0.3">
      <c r="A35" t="s">
        <v>201</v>
      </c>
      <c r="B35">
        <f>B24*B34</f>
        <v>8.0000000000000004E-4</v>
      </c>
      <c r="C35" t="s">
        <v>5</v>
      </c>
      <c r="F35" t="s">
        <v>201</v>
      </c>
      <c r="G35">
        <f>G24*G34</f>
        <v>1E-4</v>
      </c>
      <c r="H35" t="s">
        <v>5</v>
      </c>
    </row>
    <row r="38" spans="1:8" x14ac:dyDescent="0.3">
      <c r="A38" s="1" t="s">
        <v>204</v>
      </c>
      <c r="F38" s="1" t="s">
        <v>204</v>
      </c>
    </row>
    <row r="39" spans="1:8" x14ac:dyDescent="0.3">
      <c r="A39" t="s">
        <v>205</v>
      </c>
      <c r="B39" s="50">
        <f>0.0000068/(B11*1000)</f>
        <v>1.2686567164179104E-11</v>
      </c>
      <c r="C39" t="s">
        <v>206</v>
      </c>
      <c r="F39" t="s">
        <v>209</v>
      </c>
      <c r="G39" s="50">
        <f>0.0000075/(G11*1000)</f>
        <v>1.3020833333333334E-11</v>
      </c>
      <c r="H39" t="s">
        <v>206</v>
      </c>
    </row>
    <row r="40" spans="1:8" x14ac:dyDescent="0.3">
      <c r="A40" t="s">
        <v>207</v>
      </c>
      <c r="B40">
        <v>13</v>
      </c>
      <c r="C40" t="s">
        <v>208</v>
      </c>
      <c r="F40" t="s">
        <v>210</v>
      </c>
      <c r="G40">
        <v>13</v>
      </c>
      <c r="H40" t="s">
        <v>208</v>
      </c>
    </row>
  </sheetData>
  <pageMargins left="0.7" right="0.7" top="0.75" bottom="0.75" header="0.3" footer="0.3"/>
  <pageSetup scale="4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2C6B-B8CE-462C-B734-E5D6E8CE9A0E}">
  <sheetPr>
    <pageSetUpPr fitToPage="1"/>
  </sheetPr>
  <dimension ref="A1:G31"/>
  <sheetViews>
    <sheetView workbookViewId="0">
      <selection activeCell="B27" sqref="B27"/>
    </sheetView>
  </sheetViews>
  <sheetFormatPr defaultRowHeight="14.4" x14ac:dyDescent="0.3"/>
  <cols>
    <col min="1" max="1" width="30" customWidth="1"/>
    <col min="2" max="2" width="12.109375" bestFit="1" customWidth="1"/>
    <col min="7" max="7" width="23.44140625" customWidth="1"/>
  </cols>
  <sheetData>
    <row r="1" spans="1:7" ht="21" x14ac:dyDescent="0.4">
      <c r="A1" s="2" t="s">
        <v>232</v>
      </c>
    </row>
    <row r="3" spans="1:7" x14ac:dyDescent="0.3">
      <c r="A3" s="8" t="s">
        <v>1</v>
      </c>
      <c r="B3" s="8" t="s">
        <v>233</v>
      </c>
      <c r="C3" s="8" t="s">
        <v>96</v>
      </c>
      <c r="D3" s="8" t="s">
        <v>97</v>
      </c>
      <c r="E3" s="8" t="s">
        <v>98</v>
      </c>
      <c r="F3" s="8" t="s">
        <v>3</v>
      </c>
      <c r="G3" s="8" t="s">
        <v>4</v>
      </c>
    </row>
    <row r="4" spans="1:7" x14ac:dyDescent="0.3">
      <c r="A4" s="58" t="s">
        <v>234</v>
      </c>
    </row>
    <row r="5" spans="1:7" x14ac:dyDescent="0.3">
      <c r="A5" t="s">
        <v>230</v>
      </c>
      <c r="B5" s="59">
        <v>0.01</v>
      </c>
      <c r="C5">
        <f>(1-B5)*D5</f>
        <v>530.64</v>
      </c>
      <c r="D5">
        <v>536</v>
      </c>
      <c r="E5">
        <f>(1+B5)*D5</f>
        <v>541.36</v>
      </c>
      <c r="F5" t="s">
        <v>157</v>
      </c>
    </row>
    <row r="6" spans="1:7" x14ac:dyDescent="0.3">
      <c r="A6" t="s">
        <v>231</v>
      </c>
      <c r="B6" s="59">
        <v>0.01</v>
      </c>
      <c r="C6">
        <f>(1-B6)*D6</f>
        <v>47.024999999999999</v>
      </c>
      <c r="D6">
        <v>47.5</v>
      </c>
      <c r="E6">
        <f>(1+B6)*D6</f>
        <v>47.975000000000001</v>
      </c>
      <c r="F6" t="s">
        <v>157</v>
      </c>
    </row>
    <row r="7" spans="1:7" ht="15" thickBot="1" x14ac:dyDescent="0.35">
      <c r="A7" t="s">
        <v>100</v>
      </c>
      <c r="B7" t="s">
        <v>63</v>
      </c>
      <c r="C7">
        <v>1.2</v>
      </c>
      <c r="D7">
        <v>1.2130000000000001</v>
      </c>
      <c r="E7">
        <v>1.2250000000000001</v>
      </c>
      <c r="F7" t="s">
        <v>5</v>
      </c>
    </row>
    <row r="8" spans="1:7" ht="15" thickBot="1" x14ac:dyDescent="0.35">
      <c r="A8" t="s">
        <v>240</v>
      </c>
      <c r="B8" t="s">
        <v>63</v>
      </c>
      <c r="C8" s="45">
        <f>C7*(C5/E6+1)</f>
        <v>14.472912975508075</v>
      </c>
      <c r="D8" s="60">
        <f>D7*(D5/D6+1)</f>
        <v>14.900747368421053</v>
      </c>
      <c r="E8" s="60">
        <f>E7*(E5/C6+1)</f>
        <v>15.327413609782033</v>
      </c>
      <c r="F8" s="46" t="s">
        <v>5</v>
      </c>
    </row>
    <row r="10" spans="1:7" x14ac:dyDescent="0.3">
      <c r="A10" s="58" t="s">
        <v>235</v>
      </c>
    </row>
    <row r="11" spans="1:7" x14ac:dyDescent="0.3">
      <c r="A11" t="s">
        <v>236</v>
      </c>
      <c r="B11" s="59">
        <v>0.01</v>
      </c>
      <c r="C11">
        <f>(1-B11)*D11</f>
        <v>570.24</v>
      </c>
      <c r="D11">
        <v>576</v>
      </c>
      <c r="E11">
        <f>(1+B11)*D11</f>
        <v>581.76</v>
      </c>
      <c r="F11" t="s">
        <v>157</v>
      </c>
    </row>
    <row r="12" spans="1:7" x14ac:dyDescent="0.3">
      <c r="A12" t="s">
        <v>237</v>
      </c>
      <c r="B12" s="59">
        <v>0.01</v>
      </c>
      <c r="C12">
        <f>(1-B12)*D12</f>
        <v>47.024999999999999</v>
      </c>
      <c r="D12">
        <v>47.5</v>
      </c>
      <c r="E12">
        <f>(1+B12)*D12</f>
        <v>47.975000000000001</v>
      </c>
      <c r="F12" t="s">
        <v>157</v>
      </c>
    </row>
    <row r="13" spans="1:7" ht="15" thickBot="1" x14ac:dyDescent="0.35">
      <c r="A13" t="s">
        <v>100</v>
      </c>
      <c r="B13" t="s">
        <v>63</v>
      </c>
      <c r="C13">
        <v>1.2</v>
      </c>
      <c r="D13">
        <v>1.2130000000000001</v>
      </c>
      <c r="E13">
        <v>1.2250000000000001</v>
      </c>
      <c r="F13" t="s">
        <v>5</v>
      </c>
    </row>
    <row r="14" spans="1:7" ht="15" thickBot="1" x14ac:dyDescent="0.35">
      <c r="A14" t="s">
        <v>240</v>
      </c>
      <c r="B14" t="s">
        <v>63</v>
      </c>
      <c r="C14" s="45">
        <f>-E13*E11/C12</f>
        <v>-15.15483253588517</v>
      </c>
      <c r="D14" s="60">
        <f>-D13*D11/D12</f>
        <v>-14.70922105263158</v>
      </c>
      <c r="E14" s="60">
        <f>-C13*C11/E12</f>
        <v>-14.263428869202709</v>
      </c>
      <c r="F14" s="46" t="s">
        <v>5</v>
      </c>
    </row>
    <row r="16" spans="1:7" x14ac:dyDescent="0.3">
      <c r="A16" s="58" t="s">
        <v>238</v>
      </c>
    </row>
    <row r="17" spans="1:7" x14ac:dyDescent="0.3">
      <c r="A17" t="s">
        <v>239</v>
      </c>
      <c r="B17" t="s">
        <v>63</v>
      </c>
      <c r="C17">
        <v>0.7</v>
      </c>
      <c r="D17">
        <v>1</v>
      </c>
      <c r="E17">
        <v>1.2</v>
      </c>
      <c r="F17" t="s">
        <v>5</v>
      </c>
    </row>
    <row r="18" spans="1:7" x14ac:dyDescent="0.3">
      <c r="A18" t="s">
        <v>242</v>
      </c>
      <c r="C18">
        <f>12+C17</f>
        <v>12.7</v>
      </c>
      <c r="D18">
        <f>12+D17</f>
        <v>13</v>
      </c>
      <c r="E18">
        <f>12+E17</f>
        <v>13.2</v>
      </c>
      <c r="F18" t="s">
        <v>5</v>
      </c>
      <c r="G18" t="s">
        <v>243</v>
      </c>
    </row>
    <row r="19" spans="1:7" ht="15" thickBot="1" x14ac:dyDescent="0.35">
      <c r="A19" t="s">
        <v>244</v>
      </c>
      <c r="C19" s="59">
        <v>-0.05</v>
      </c>
      <c r="D19" s="59">
        <v>0</v>
      </c>
      <c r="E19" s="59">
        <v>0.05</v>
      </c>
    </row>
    <row r="20" spans="1:7" ht="15" thickBot="1" x14ac:dyDescent="0.35">
      <c r="A20" t="s">
        <v>240</v>
      </c>
      <c r="C20" s="45">
        <f>12*(1+C19)</f>
        <v>11.399999999999999</v>
      </c>
      <c r="D20" s="60">
        <f>12*(1+D19)</f>
        <v>12</v>
      </c>
      <c r="E20" s="60">
        <f>12*(1+E19)</f>
        <v>12.600000000000001</v>
      </c>
      <c r="F20" s="46" t="s">
        <v>5</v>
      </c>
    </row>
    <row r="22" spans="1:7" x14ac:dyDescent="0.3">
      <c r="A22" s="58" t="s">
        <v>241</v>
      </c>
    </row>
    <row r="23" spans="1:7" x14ac:dyDescent="0.3">
      <c r="A23" t="s">
        <v>239</v>
      </c>
      <c r="B23" t="s">
        <v>63</v>
      </c>
      <c r="C23">
        <v>1.7</v>
      </c>
      <c r="D23">
        <v>1.7</v>
      </c>
      <c r="E23">
        <v>1.7</v>
      </c>
      <c r="F23" t="s">
        <v>5</v>
      </c>
    </row>
    <row r="24" spans="1:7" ht="15" thickBot="1" x14ac:dyDescent="0.35">
      <c r="A24" t="s">
        <v>242</v>
      </c>
      <c r="C24">
        <f>-12-C23</f>
        <v>-13.7</v>
      </c>
      <c r="D24">
        <f>-12-D23</f>
        <v>-13.7</v>
      </c>
      <c r="E24">
        <f>-12-E23</f>
        <v>-13.7</v>
      </c>
      <c r="F24" t="s">
        <v>5</v>
      </c>
      <c r="G24" t="s">
        <v>243</v>
      </c>
    </row>
    <row r="25" spans="1:7" ht="15" thickBot="1" x14ac:dyDescent="0.35">
      <c r="A25" t="s">
        <v>240</v>
      </c>
      <c r="C25" s="45">
        <v>-11.4</v>
      </c>
      <c r="D25" s="60">
        <v>-12</v>
      </c>
      <c r="E25" s="60">
        <v>-12.6</v>
      </c>
      <c r="F25" s="46" t="s">
        <v>5</v>
      </c>
      <c r="G25" t="s">
        <v>245</v>
      </c>
    </row>
    <row r="27" spans="1:7" x14ac:dyDescent="0.3">
      <c r="A27" s="58" t="s">
        <v>246</v>
      </c>
    </row>
    <row r="28" spans="1:7" x14ac:dyDescent="0.3">
      <c r="A28" t="s">
        <v>239</v>
      </c>
      <c r="C28">
        <v>0.35</v>
      </c>
      <c r="D28">
        <v>0.35</v>
      </c>
      <c r="E28">
        <v>0.69499999999999995</v>
      </c>
      <c r="F28" t="s">
        <v>5</v>
      </c>
    </row>
    <row r="29" spans="1:7" x14ac:dyDescent="0.3">
      <c r="A29" t="s">
        <v>242</v>
      </c>
      <c r="C29">
        <f>1.8+C28</f>
        <v>2.15</v>
      </c>
      <c r="D29">
        <f>1.8+D28</f>
        <v>2.15</v>
      </c>
      <c r="E29">
        <f>1.8+E28</f>
        <v>2.4950000000000001</v>
      </c>
      <c r="F29" t="s">
        <v>5</v>
      </c>
      <c r="G29" t="s">
        <v>243</v>
      </c>
    </row>
    <row r="30" spans="1:7" ht="15" thickBot="1" x14ac:dyDescent="0.35">
      <c r="A30" t="s">
        <v>244</v>
      </c>
      <c r="B30" t="s">
        <v>63</v>
      </c>
      <c r="C30" s="61">
        <v>-1.4999999999999999E-2</v>
      </c>
      <c r="D30" s="59">
        <v>0</v>
      </c>
      <c r="E30" s="61">
        <v>1.4999999999999999E-2</v>
      </c>
    </row>
    <row r="31" spans="1:7" ht="15" thickBot="1" x14ac:dyDescent="0.35">
      <c r="A31" t="s">
        <v>240</v>
      </c>
      <c r="C31" s="45">
        <f>1.8*(1+C30)</f>
        <v>1.7729999999999999</v>
      </c>
      <c r="D31" s="60">
        <f>1.8*(1+D30)</f>
        <v>1.8</v>
      </c>
      <c r="E31" s="60">
        <f>1.8*(1+E30)</f>
        <v>1.827</v>
      </c>
      <c r="F31" s="46" t="s">
        <v>5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CBE2-5BD3-4E0B-8168-1A000F3DC24C}">
  <sheetPr>
    <pageSetUpPr fitToPage="1"/>
  </sheetPr>
  <dimension ref="A1:G17"/>
  <sheetViews>
    <sheetView topLeftCell="A2" zoomScale="70" workbookViewId="0">
      <selection activeCell="B22" sqref="B22"/>
    </sheetView>
  </sheetViews>
  <sheetFormatPr defaultRowHeight="14.4" x14ac:dyDescent="0.3"/>
  <cols>
    <col min="1" max="1" width="43.77734375" bestFit="1" customWidth="1"/>
    <col min="2" max="2" width="11" customWidth="1"/>
    <col min="7" max="7" width="43.109375" bestFit="1" customWidth="1"/>
  </cols>
  <sheetData>
    <row r="1" spans="1:7" ht="21" x14ac:dyDescent="0.4">
      <c r="A1" s="2" t="s">
        <v>149</v>
      </c>
    </row>
    <row r="3" spans="1:7" x14ac:dyDescent="0.3">
      <c r="A3" s="8" t="s">
        <v>1</v>
      </c>
      <c r="B3" s="8" t="s">
        <v>99</v>
      </c>
      <c r="C3" s="8" t="s">
        <v>96</v>
      </c>
      <c r="D3" s="8" t="s">
        <v>97</v>
      </c>
      <c r="E3" s="8" t="s">
        <v>150</v>
      </c>
      <c r="F3" s="8" t="s">
        <v>3</v>
      </c>
      <c r="G3" s="8" t="s">
        <v>4</v>
      </c>
    </row>
    <row r="4" spans="1:7" x14ac:dyDescent="0.3">
      <c r="A4" t="s">
        <v>152</v>
      </c>
      <c r="B4" t="s">
        <v>63</v>
      </c>
      <c r="C4" s="16">
        <f>3*0.00004</f>
        <v>1.2000000000000002E-4</v>
      </c>
      <c r="D4" s="16">
        <f>3*0.22</f>
        <v>0.66</v>
      </c>
      <c r="E4" s="16">
        <f>3*0.29</f>
        <v>0.86999999999999988</v>
      </c>
      <c r="F4" t="s">
        <v>6</v>
      </c>
    </row>
    <row r="5" spans="1:7" x14ac:dyDescent="0.3">
      <c r="A5" t="s">
        <v>153</v>
      </c>
      <c r="B5" t="s">
        <v>63</v>
      </c>
      <c r="C5" s="16">
        <v>1</v>
      </c>
      <c r="D5" s="16">
        <v>1</v>
      </c>
      <c r="E5" s="16">
        <v>1</v>
      </c>
      <c r="F5" t="s">
        <v>6</v>
      </c>
      <c r="G5" t="s">
        <v>247</v>
      </c>
    </row>
    <row r="6" spans="1:7" x14ac:dyDescent="0.3">
      <c r="A6" t="s">
        <v>156</v>
      </c>
      <c r="B6" t="s">
        <v>63</v>
      </c>
      <c r="C6" s="16">
        <f>C4+C5</f>
        <v>1.0001199999999999</v>
      </c>
      <c r="D6" s="16">
        <f>D4+D5</f>
        <v>1.6600000000000001</v>
      </c>
      <c r="E6" s="16">
        <f>E4+E5</f>
        <v>1.8699999999999999</v>
      </c>
      <c r="F6" t="s">
        <v>6</v>
      </c>
    </row>
    <row r="7" spans="1:7" x14ac:dyDescent="0.3">
      <c r="C7" s="16"/>
      <c r="D7" s="16"/>
      <c r="E7" s="16"/>
    </row>
    <row r="8" spans="1:7" x14ac:dyDescent="0.3">
      <c r="A8" t="s">
        <v>151</v>
      </c>
      <c r="B8" t="s">
        <v>63</v>
      </c>
      <c r="C8" s="16">
        <v>11.9</v>
      </c>
      <c r="D8" s="16">
        <v>12</v>
      </c>
      <c r="E8" s="16">
        <v>12.1</v>
      </c>
      <c r="F8" t="s">
        <v>5</v>
      </c>
      <c r="G8" t="s">
        <v>158</v>
      </c>
    </row>
    <row r="9" spans="1:7" x14ac:dyDescent="0.3">
      <c r="A9" t="s">
        <v>154</v>
      </c>
      <c r="B9" t="s">
        <v>63</v>
      </c>
      <c r="C9" s="16">
        <v>4.9950000000000001</v>
      </c>
      <c r="D9" s="16">
        <v>5</v>
      </c>
      <c r="E9" s="16">
        <v>5.0049999999999999</v>
      </c>
      <c r="F9" t="s">
        <v>5</v>
      </c>
    </row>
    <row r="10" spans="1:7" x14ac:dyDescent="0.3">
      <c r="C10" s="16"/>
      <c r="D10" s="16"/>
      <c r="E10" s="16"/>
    </row>
    <row r="11" spans="1:7" x14ac:dyDescent="0.3">
      <c r="A11" t="s">
        <v>155</v>
      </c>
      <c r="C11" s="16">
        <f>C8-E9</f>
        <v>6.8950000000000005</v>
      </c>
      <c r="D11" s="16">
        <f>D8-D9</f>
        <v>7</v>
      </c>
      <c r="E11" s="16">
        <f>E8-C9</f>
        <v>7.1049999999999995</v>
      </c>
      <c r="F11" t="s">
        <v>5</v>
      </c>
    </row>
    <row r="12" spans="1:7" x14ac:dyDescent="0.3">
      <c r="A12" t="s">
        <v>163</v>
      </c>
      <c r="C12" s="37">
        <f>C11/E6</f>
        <v>3.6871657754010698</v>
      </c>
      <c r="D12" s="38">
        <f>D11/D6</f>
        <v>4.2168674698795181</v>
      </c>
      <c r="E12" s="39">
        <f>E11/C6</f>
        <v>7.1041475022997247</v>
      </c>
      <c r="F12" t="s">
        <v>157</v>
      </c>
    </row>
    <row r="13" spans="1:7" x14ac:dyDescent="0.3">
      <c r="C13" s="16"/>
      <c r="D13" s="16"/>
      <c r="E13" s="16"/>
    </row>
    <row r="14" spans="1:7" x14ac:dyDescent="0.3">
      <c r="A14" t="s">
        <v>159</v>
      </c>
      <c r="B14" t="s">
        <v>63</v>
      </c>
      <c r="C14" s="16"/>
      <c r="D14" s="40">
        <f>(D8-D9)/(D6)</f>
        <v>4.2168674698795181</v>
      </c>
      <c r="E14" s="16"/>
      <c r="F14" t="s">
        <v>157</v>
      </c>
      <c r="G14" t="s">
        <v>162</v>
      </c>
    </row>
    <row r="15" spans="1:7" ht="15" thickBot="1" x14ac:dyDescent="0.35">
      <c r="C15" s="16"/>
      <c r="D15" s="16"/>
      <c r="E15" s="16"/>
    </row>
    <row r="16" spans="1:7" ht="15" thickBot="1" x14ac:dyDescent="0.35">
      <c r="A16" s="41" t="s">
        <v>160</v>
      </c>
      <c r="B16" s="42">
        <v>0.01</v>
      </c>
      <c r="C16" s="43">
        <f>(1-B16)*D16</f>
        <v>4.1777999999999995</v>
      </c>
      <c r="D16" s="43">
        <v>4.22</v>
      </c>
      <c r="E16" s="43">
        <f>(1+B16)*D16</f>
        <v>4.2622</v>
      </c>
      <c r="F16" s="44" t="s">
        <v>157</v>
      </c>
    </row>
    <row r="17" spans="1:7" x14ac:dyDescent="0.3">
      <c r="A17" t="s">
        <v>161</v>
      </c>
      <c r="C17" s="31">
        <f>C11/E16-E4</f>
        <v>0.74770916428135736</v>
      </c>
      <c r="D17" s="31">
        <f>D11/D16-D4</f>
        <v>0.99876777251184834</v>
      </c>
      <c r="E17" s="31">
        <f>E11/C16-C4</f>
        <v>1.700535847575279</v>
      </c>
      <c r="F17" t="s">
        <v>6</v>
      </c>
      <c r="G17" t="s">
        <v>164</v>
      </c>
    </row>
  </sheetData>
  <pageMargins left="0.7" right="0.7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F8AA-5DA4-4E56-BE16-67DFA2A71A43}">
  <sheetPr>
    <pageSetUpPr fitToPage="1"/>
  </sheetPr>
  <dimension ref="A1:G33"/>
  <sheetViews>
    <sheetView workbookViewId="0">
      <selection activeCell="B10" sqref="B10"/>
    </sheetView>
  </sheetViews>
  <sheetFormatPr defaultRowHeight="14.4" x14ac:dyDescent="0.3"/>
  <cols>
    <col min="1" max="1" width="28" bestFit="1" customWidth="1"/>
    <col min="2" max="2" width="10" bestFit="1" customWidth="1"/>
    <col min="4" max="4" width="48.44140625" bestFit="1" customWidth="1"/>
  </cols>
  <sheetData>
    <row r="1" spans="1:7" ht="21" x14ac:dyDescent="0.4">
      <c r="A1" s="2" t="s">
        <v>30</v>
      </c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212</v>
      </c>
    </row>
    <row r="4" spans="1:7" x14ac:dyDescent="0.3">
      <c r="A4" t="s">
        <v>215</v>
      </c>
      <c r="B4">
        <v>16</v>
      </c>
      <c r="C4" t="s">
        <v>20</v>
      </c>
      <c r="D4" t="s">
        <v>213</v>
      </c>
    </row>
    <row r="5" spans="1:7" x14ac:dyDescent="0.3">
      <c r="A5" t="s">
        <v>214</v>
      </c>
      <c r="B5">
        <v>5</v>
      </c>
      <c r="C5" t="s">
        <v>20</v>
      </c>
      <c r="D5" t="s">
        <v>218</v>
      </c>
    </row>
    <row r="6" spans="1:7" x14ac:dyDescent="0.3">
      <c r="A6" t="s">
        <v>216</v>
      </c>
      <c r="B6">
        <v>5</v>
      </c>
      <c r="C6" t="s">
        <v>20</v>
      </c>
    </row>
    <row r="7" spans="1:7" x14ac:dyDescent="0.3">
      <c r="A7" t="s">
        <v>217</v>
      </c>
      <c r="B7">
        <v>5</v>
      </c>
      <c r="C7" t="s">
        <v>20</v>
      </c>
    </row>
    <row r="9" spans="1:7" x14ac:dyDescent="0.3">
      <c r="A9" t="s">
        <v>31</v>
      </c>
      <c r="B9">
        <v>40</v>
      </c>
      <c r="C9" t="s">
        <v>32</v>
      </c>
    </row>
    <row r="10" spans="1:7" x14ac:dyDescent="0.3">
      <c r="A10" t="s">
        <v>33</v>
      </c>
      <c r="B10" s="5">
        <f>1/(B9*1000000)</f>
        <v>2.4999999999999999E-8</v>
      </c>
      <c r="C10" t="s">
        <v>34</v>
      </c>
    </row>
    <row r="12" spans="1:7" x14ac:dyDescent="0.3">
      <c r="A12" t="s">
        <v>35</v>
      </c>
      <c r="B12" s="5">
        <f>SUM(B4:B7)*B10</f>
        <v>7.7499999999999999E-7</v>
      </c>
      <c r="C12" t="s">
        <v>34</v>
      </c>
    </row>
    <row r="13" spans="1:7" x14ac:dyDescent="0.3">
      <c r="A13" t="s">
        <v>36</v>
      </c>
      <c r="B13" s="5">
        <f>1/B12</f>
        <v>1290322.5806451612</v>
      </c>
      <c r="D13" t="s">
        <v>219</v>
      </c>
    </row>
    <row r="16" spans="1:7" x14ac:dyDescent="0.3">
      <c r="A16" s="1" t="s">
        <v>67</v>
      </c>
    </row>
    <row r="17" spans="1:3" x14ac:dyDescent="0.3">
      <c r="A17" t="s">
        <v>68</v>
      </c>
      <c r="B17">
        <v>56000</v>
      </c>
      <c r="C17" t="s">
        <v>72</v>
      </c>
    </row>
    <row r="18" spans="1:3" x14ac:dyDescent="0.3">
      <c r="A18" t="s">
        <v>69</v>
      </c>
      <c r="B18">
        <v>10</v>
      </c>
      <c r="C18" t="s">
        <v>63</v>
      </c>
    </row>
    <row r="19" spans="1:3" x14ac:dyDescent="0.3">
      <c r="A19" t="s">
        <v>70</v>
      </c>
      <c r="B19">
        <v>100</v>
      </c>
      <c r="C19" t="s">
        <v>72</v>
      </c>
    </row>
    <row r="20" spans="1:3" x14ac:dyDescent="0.3">
      <c r="A20" t="s">
        <v>71</v>
      </c>
      <c r="B20">
        <v>20</v>
      </c>
      <c r="C20" t="s">
        <v>63</v>
      </c>
    </row>
    <row r="22" spans="1:3" x14ac:dyDescent="0.3">
      <c r="A22" t="s">
        <v>73</v>
      </c>
      <c r="B22">
        <v>16</v>
      </c>
      <c r="C22" t="s">
        <v>20</v>
      </c>
    </row>
    <row r="23" spans="1:3" x14ac:dyDescent="0.3">
      <c r="A23" t="s">
        <v>74</v>
      </c>
      <c r="B23">
        <v>0</v>
      </c>
      <c r="C23" t="s">
        <v>20</v>
      </c>
    </row>
    <row r="25" spans="1:3" x14ac:dyDescent="0.3">
      <c r="A25" t="s">
        <v>75</v>
      </c>
      <c r="B25">
        <f>(B22+B23)*(B20*B19+B18*B17)/1000000</f>
        <v>8.9920000000000009</v>
      </c>
      <c r="C25" t="s">
        <v>76</v>
      </c>
    </row>
    <row r="28" spans="1:3" x14ac:dyDescent="0.3">
      <c r="A28" s="1" t="s">
        <v>77</v>
      </c>
    </row>
    <row r="29" spans="1:3" x14ac:dyDescent="0.3">
      <c r="A29" t="s">
        <v>78</v>
      </c>
      <c r="B29">
        <v>24</v>
      </c>
      <c r="C29" t="s">
        <v>20</v>
      </c>
    </row>
    <row r="30" spans="1:3" x14ac:dyDescent="0.3">
      <c r="A30" t="s">
        <v>74</v>
      </c>
      <c r="B30">
        <v>0</v>
      </c>
      <c r="C30" t="s">
        <v>20</v>
      </c>
    </row>
    <row r="31" spans="1:3" x14ac:dyDescent="0.3">
      <c r="A31" t="s">
        <v>79</v>
      </c>
      <c r="B31">
        <v>100000</v>
      </c>
      <c r="C31" t="s">
        <v>72</v>
      </c>
    </row>
    <row r="33" spans="1:3" x14ac:dyDescent="0.3">
      <c r="A33" t="s">
        <v>75</v>
      </c>
      <c r="B33">
        <f>B31*B29/1000000</f>
        <v>2.4</v>
      </c>
      <c r="C33" t="s">
        <v>76</v>
      </c>
    </row>
  </sheetData>
  <pageMargins left="0.7" right="0.7" top="0.75" bottom="0.75" header="0.3" footer="0.3"/>
  <pageSetup scale="5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A798-633B-4D8D-9FC8-9ECE55BCD182}">
  <dimension ref="A1:C32"/>
  <sheetViews>
    <sheetView tabSelected="1" topLeftCell="A10" workbookViewId="0">
      <selection activeCell="B33" sqref="B33"/>
    </sheetView>
  </sheetViews>
  <sheetFormatPr defaultRowHeight="14.4" x14ac:dyDescent="0.3"/>
  <cols>
    <col min="1" max="1" width="43.33203125" customWidth="1"/>
    <col min="2" max="2" width="13.44140625" customWidth="1"/>
    <col min="3" max="3" width="35" customWidth="1"/>
  </cols>
  <sheetData>
    <row r="1" spans="1:3" ht="18" x14ac:dyDescent="0.35">
      <c r="A1" s="57" t="s">
        <v>248</v>
      </c>
    </row>
    <row r="2" spans="1:3" x14ac:dyDescent="0.3">
      <c r="A2" s="1" t="s">
        <v>263</v>
      </c>
      <c r="B2" s="1" t="s">
        <v>264</v>
      </c>
      <c r="C2" s="1" t="s">
        <v>4</v>
      </c>
    </row>
    <row r="3" spans="1:3" x14ac:dyDescent="0.3">
      <c r="A3" t="s">
        <v>249</v>
      </c>
      <c r="B3" t="s">
        <v>265</v>
      </c>
    </row>
    <row r="4" spans="1:3" x14ac:dyDescent="0.3">
      <c r="A4" t="s">
        <v>250</v>
      </c>
      <c r="B4" t="s">
        <v>265</v>
      </c>
    </row>
    <row r="5" spans="1:3" x14ac:dyDescent="0.3">
      <c r="A5" t="s">
        <v>251</v>
      </c>
      <c r="B5" t="s">
        <v>265</v>
      </c>
    </row>
    <row r="6" spans="1:3" x14ac:dyDescent="0.3">
      <c r="A6" t="s">
        <v>252</v>
      </c>
      <c r="B6" t="s">
        <v>265</v>
      </c>
    </row>
    <row r="7" spans="1:3" x14ac:dyDescent="0.3">
      <c r="A7" t="s">
        <v>253</v>
      </c>
      <c r="B7" t="s">
        <v>265</v>
      </c>
    </row>
    <row r="8" spans="1:3" x14ac:dyDescent="0.3">
      <c r="A8" t="s">
        <v>254</v>
      </c>
      <c r="B8" t="s">
        <v>265</v>
      </c>
    </row>
    <row r="9" spans="1:3" x14ac:dyDescent="0.3">
      <c r="A9" t="s">
        <v>255</v>
      </c>
      <c r="B9" t="s">
        <v>265</v>
      </c>
    </row>
    <row r="10" spans="1:3" x14ac:dyDescent="0.3">
      <c r="A10" t="s">
        <v>256</v>
      </c>
      <c r="B10" t="s">
        <v>265</v>
      </c>
    </row>
    <row r="11" spans="1:3" x14ac:dyDescent="0.3">
      <c r="A11" t="s">
        <v>257</v>
      </c>
      <c r="B11" t="s">
        <v>265</v>
      </c>
    </row>
    <row r="12" spans="1:3" x14ac:dyDescent="0.3">
      <c r="A12" t="s">
        <v>258</v>
      </c>
      <c r="B12" t="s">
        <v>265</v>
      </c>
    </row>
    <row r="13" spans="1:3" x14ac:dyDescent="0.3">
      <c r="A13" s="62" t="s">
        <v>259</v>
      </c>
      <c r="B13" s="62" t="s">
        <v>265</v>
      </c>
      <c r="C13" s="62" t="s">
        <v>267</v>
      </c>
    </row>
    <row r="14" spans="1:3" x14ac:dyDescent="0.3">
      <c r="A14" t="s">
        <v>260</v>
      </c>
      <c r="B14" t="s">
        <v>265</v>
      </c>
    </row>
    <row r="15" spans="1:3" x14ac:dyDescent="0.3">
      <c r="A15" t="s">
        <v>261</v>
      </c>
      <c r="B15" t="s">
        <v>265</v>
      </c>
    </row>
    <row r="16" spans="1:3" x14ac:dyDescent="0.3">
      <c r="A16" t="s">
        <v>262</v>
      </c>
      <c r="B16" t="s">
        <v>265</v>
      </c>
    </row>
    <row r="18" spans="1:2" x14ac:dyDescent="0.3">
      <c r="A18" s="1" t="s">
        <v>270</v>
      </c>
      <c r="B18" s="1" t="s">
        <v>264</v>
      </c>
    </row>
    <row r="19" spans="1:2" x14ac:dyDescent="0.3">
      <c r="A19" t="s">
        <v>271</v>
      </c>
      <c r="B19" t="s">
        <v>266</v>
      </c>
    </row>
    <row r="20" spans="1:2" x14ac:dyDescent="0.3">
      <c r="A20" t="s">
        <v>272</v>
      </c>
      <c r="B20" t="s">
        <v>266</v>
      </c>
    </row>
    <row r="21" spans="1:2" x14ac:dyDescent="0.3">
      <c r="A21" t="s">
        <v>273</v>
      </c>
      <c r="B21" t="s">
        <v>266</v>
      </c>
    </row>
    <row r="22" spans="1:2" x14ac:dyDescent="0.3">
      <c r="A22" t="s">
        <v>274</v>
      </c>
      <c r="B22" t="s">
        <v>266</v>
      </c>
    </row>
    <row r="23" spans="1:2" x14ac:dyDescent="0.3">
      <c r="A23" t="s">
        <v>275</v>
      </c>
      <c r="B23" t="s">
        <v>266</v>
      </c>
    </row>
    <row r="24" spans="1:2" x14ac:dyDescent="0.3">
      <c r="A24" t="s">
        <v>276</v>
      </c>
      <c r="B24" t="s">
        <v>266</v>
      </c>
    </row>
    <row r="25" spans="1:2" x14ac:dyDescent="0.3">
      <c r="A25" t="s">
        <v>277</v>
      </c>
      <c r="B25" t="s">
        <v>266</v>
      </c>
    </row>
    <row r="26" spans="1:2" x14ac:dyDescent="0.3">
      <c r="A26" t="s">
        <v>278</v>
      </c>
      <c r="B26" t="s">
        <v>266</v>
      </c>
    </row>
    <row r="27" spans="1:2" x14ac:dyDescent="0.3">
      <c r="A27" t="s">
        <v>279</v>
      </c>
      <c r="B27" t="s">
        <v>266</v>
      </c>
    </row>
    <row r="28" spans="1:2" x14ac:dyDescent="0.3">
      <c r="A28" t="s">
        <v>280</v>
      </c>
      <c r="B28" t="s">
        <v>266</v>
      </c>
    </row>
    <row r="29" spans="1:2" x14ac:dyDescent="0.3">
      <c r="A29" t="s">
        <v>282</v>
      </c>
      <c r="B29" t="s">
        <v>266</v>
      </c>
    </row>
    <row r="30" spans="1:2" x14ac:dyDescent="0.3">
      <c r="A30" t="s">
        <v>281</v>
      </c>
      <c r="B30" t="s">
        <v>266</v>
      </c>
    </row>
    <row r="31" spans="1:2" x14ac:dyDescent="0.3">
      <c r="A31" t="s">
        <v>283</v>
      </c>
      <c r="B31" t="s">
        <v>266</v>
      </c>
    </row>
    <row r="32" spans="1:2" x14ac:dyDescent="0.3">
      <c r="A32" t="s">
        <v>284</v>
      </c>
      <c r="B32" t="s">
        <v>266</v>
      </c>
    </row>
  </sheetData>
  <conditionalFormatting sqref="B2:B160">
    <cfRule type="containsText" dxfId="5" priority="1" operator="containsText" text="In Progress">
      <formula>NOT(ISERROR(SEARCH("In Progress",B2)))</formula>
    </cfRule>
    <cfRule type="containsText" dxfId="4" priority="2" operator="containsText" text="Yes">
      <formula>NOT(ISERROR(SEARCH("Yes",B2)))</formula>
    </cfRule>
    <cfRule type="containsText" dxfId="3" priority="3" operator="containsText" text="No">
      <formula>NOT(ISERROR(SEARCH("No",B2)))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Budget</vt:lpstr>
      <vt:lpstr>Digital Input Protection</vt:lpstr>
      <vt:lpstr>ADC Resolution</vt:lpstr>
      <vt:lpstr>ADC Tolerance</vt:lpstr>
      <vt:lpstr>TPS65131 Calcs</vt:lpstr>
      <vt:lpstr>Pwr Mgmt Tolerances</vt:lpstr>
      <vt:lpstr>5V Precision Ref Biasing</vt:lpstr>
      <vt:lpstr>ADC SPI Bandwidth</vt:lpstr>
      <vt:lpstr>Sheet2</vt:lpstr>
      <vt:lpstr>High-Speed AIN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2022-11-24T00:20:15Z</cp:lastPrinted>
  <dcterms:created xsi:type="dcterms:W3CDTF">2022-09-08T23:09:38Z</dcterms:created>
  <dcterms:modified xsi:type="dcterms:W3CDTF">2022-11-26T17:15:53Z</dcterms:modified>
</cp:coreProperties>
</file>