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MCP33151 Eval Board Bringup\Power Rails\"/>
    </mc:Choice>
  </mc:AlternateContent>
  <xr:revisionPtr revIDLastSave="0" documentId="13_ncr:1_{713A302E-E2D8-4874-A303-7DBF385B0375}" xr6:coauthVersionLast="47" xr6:coauthVersionMax="47" xr10:uidLastSave="{00000000-0000-0000-0000-000000000000}"/>
  <bookViews>
    <workbookView xWindow="2652" yWindow="2652" windowWidth="17280" windowHeight="10044" firstSheet="1" activeTab="1" xr2:uid="{7F6D996F-7E04-4D92-871E-4D697BCB5885}"/>
  </bookViews>
  <sheets>
    <sheet name="Power rails" sheetId="1" r:id="rId1"/>
    <sheet name="LS SE Gains" sheetId="2" r:id="rId2"/>
    <sheet name="LS SE Input Pulldown" sheetId="4" r:id="rId3"/>
    <sheet name="AA filter input bias offset" sheetId="5" r:id="rId4"/>
    <sheet name="AA filter offset vs freq" sheetId="6" r:id="rId5"/>
    <sheet name="HS DE Stuff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B27" i="2"/>
  <c r="B28" i="2"/>
  <c r="B29" i="2"/>
  <c r="B26" i="2"/>
  <c r="E23" i="2"/>
  <c r="D23" i="2"/>
  <c r="E22" i="2"/>
  <c r="D22" i="2"/>
  <c r="E21" i="2"/>
  <c r="D21" i="2"/>
  <c r="E20" i="2"/>
  <c r="D20" i="2"/>
  <c r="E18" i="2"/>
  <c r="D18" i="2"/>
  <c r="E17" i="2"/>
  <c r="D17" i="2"/>
  <c r="E16" i="2"/>
  <c r="D16" i="2"/>
  <c r="E15" i="2"/>
  <c r="D15" i="2"/>
  <c r="I26" i="6"/>
  <c r="J26" i="6" s="1"/>
  <c r="I25" i="6"/>
  <c r="J25" i="6" s="1"/>
  <c r="J7" i="6"/>
  <c r="J8" i="6"/>
  <c r="J9" i="6"/>
  <c r="J10" i="6"/>
  <c r="J11" i="6"/>
  <c r="J12" i="6"/>
  <c r="J13" i="6"/>
  <c r="J14" i="6"/>
  <c r="J15" i="6"/>
  <c r="J16" i="6"/>
  <c r="J6" i="6"/>
  <c r="I7" i="6"/>
  <c r="I8" i="6"/>
  <c r="I9" i="6"/>
  <c r="I10" i="6"/>
  <c r="I11" i="6"/>
  <c r="I12" i="6"/>
  <c r="I13" i="6"/>
  <c r="I14" i="6"/>
  <c r="I15" i="6"/>
  <c r="I16" i="6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6" i="6"/>
  <c r="E14" i="5"/>
  <c r="D14" i="5"/>
  <c r="D17" i="5" s="1"/>
  <c r="E23" i="5"/>
  <c r="D23" i="5"/>
  <c r="C23" i="5"/>
  <c r="C14" i="5"/>
  <c r="D26" i="5"/>
  <c r="D8" i="5"/>
  <c r="D9" i="5" s="1"/>
  <c r="D10" i="5" s="1"/>
  <c r="D13" i="5" s="1"/>
  <c r="D27" i="4"/>
  <c r="C27" i="4"/>
  <c r="B27" i="4"/>
  <c r="D21" i="4"/>
  <c r="C21" i="4"/>
  <c r="B21" i="4"/>
  <c r="K22" i="5"/>
  <c r="K17" i="5"/>
  <c r="K12" i="5"/>
  <c r="K7" i="5"/>
  <c r="E25" i="5"/>
  <c r="C25" i="5"/>
  <c r="E24" i="5"/>
  <c r="C24" i="5"/>
  <c r="E16" i="5"/>
  <c r="E17" i="5" s="1"/>
  <c r="C16" i="5"/>
  <c r="E15" i="5"/>
  <c r="C15" i="5"/>
  <c r="E7" i="5"/>
  <c r="C7" i="5"/>
  <c r="C8" i="5" s="1"/>
  <c r="C9" i="5" s="1"/>
  <c r="C10" i="5" s="1"/>
  <c r="C13" i="5" s="1"/>
  <c r="E6" i="5"/>
  <c r="E8" i="5" s="1"/>
  <c r="E9" i="5" s="1"/>
  <c r="C6" i="5"/>
  <c r="D26" i="4"/>
  <c r="B26" i="4"/>
  <c r="D25" i="4"/>
  <c r="B25" i="4"/>
  <c r="D24" i="4"/>
  <c r="C24" i="4"/>
  <c r="B24" i="4"/>
  <c r="D20" i="4"/>
  <c r="B20" i="4"/>
  <c r="D19" i="4"/>
  <c r="B19" i="4"/>
  <c r="D18" i="4"/>
  <c r="C18" i="4"/>
  <c r="B18" i="4"/>
  <c r="B12" i="4"/>
  <c r="D6" i="2"/>
  <c r="D5" i="2"/>
  <c r="D4" i="2"/>
  <c r="D3" i="2"/>
  <c r="E6" i="2"/>
  <c r="E5" i="2"/>
  <c r="E4" i="2"/>
  <c r="E3" i="2"/>
  <c r="C17" i="5" l="1"/>
  <c r="C18" i="5" s="1"/>
  <c r="C26" i="5"/>
  <c r="E26" i="5"/>
  <c r="D18" i="5"/>
  <c r="D19" i="5" s="1"/>
  <c r="D22" i="5" s="1"/>
  <c r="C19" i="5"/>
  <c r="C22" i="5" s="1"/>
  <c r="E10" i="5"/>
  <c r="E13" i="5" s="1"/>
  <c r="E18" i="5" s="1"/>
  <c r="C27" i="5" l="1"/>
  <c r="C28" i="5" s="1"/>
  <c r="C30" i="5" s="1"/>
  <c r="D27" i="5"/>
  <c r="D28" i="5" s="1"/>
  <c r="D30" i="5" s="1"/>
  <c r="E19" i="5"/>
  <c r="E22" i="5" s="1"/>
  <c r="E27" i="5" l="1"/>
  <c r="E28" i="5" s="1"/>
  <c r="E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Jasper Yun</author>
  </authors>
  <commentList>
    <comment ref="F4" authorId="0" shapeId="0" xr:uid="{A26701DA-EE54-4DFE-B888-CB478DBF5216}">
      <text>
        <r>
          <rPr>
            <b/>
            <sz val="9"/>
            <color indexed="81"/>
            <rFont val="Tahoma"/>
            <charset val="1"/>
          </rPr>
          <t>Jasper Yun:</t>
        </r>
        <r>
          <rPr>
            <sz val="9"/>
            <color indexed="81"/>
            <rFont val="Tahoma"/>
            <charset val="1"/>
          </rPr>
          <t xml:space="preserve">
Measured output of op amp before ADC
</t>
        </r>
      </text>
    </comment>
  </commentList>
</comments>
</file>

<file path=xl/sharedStrings.xml><?xml version="1.0" encoding="utf-8"?>
<sst xmlns="http://schemas.openxmlformats.org/spreadsheetml/2006/main" count="215" uniqueCount="113">
  <si>
    <t>Measurements</t>
  </si>
  <si>
    <t>+15V rail</t>
  </si>
  <si>
    <t>-15V rail</t>
  </si>
  <si>
    <t>+12V rail</t>
  </si>
  <si>
    <t>-12V rail</t>
  </si>
  <si>
    <t>+5V (USB)</t>
  </si>
  <si>
    <t>+3V3 rail</t>
  </si>
  <si>
    <t>+5V_A</t>
  </si>
  <si>
    <t>+1V8_A</t>
  </si>
  <si>
    <t>with multimeter and J-hook probes</t>
  </si>
  <si>
    <t>with oscilloscope (settings on right)</t>
  </si>
  <si>
    <t>oscilloscope settings</t>
  </si>
  <si>
    <t>probe: 10x</t>
  </si>
  <si>
    <t>bandwidth limited to 20M</t>
  </si>
  <si>
    <t>rails loaded by board only (no external connections)</t>
  </si>
  <si>
    <t>probe with ground spring</t>
  </si>
  <si>
    <t>ac coupled</t>
  </si>
  <si>
    <t>200MHz probe</t>
  </si>
  <si>
    <t>probing the test points for the rails</t>
  </si>
  <si>
    <t>rail</t>
  </si>
  <si>
    <t>ripple mVpp</t>
  </si>
  <si>
    <t>filename</t>
  </si>
  <si>
    <t>freq</t>
  </si>
  <si>
    <t>20.41k</t>
  </si>
  <si>
    <t>26, 27</t>
  </si>
  <si>
    <t>25k</t>
  </si>
  <si>
    <t>n/a</t>
  </si>
  <si>
    <t>board powered by phone charger brick</t>
  </si>
  <si>
    <t>Methods</t>
  </si>
  <si>
    <t>Input measured by multimeter in mV mode</t>
  </si>
  <si>
    <t>Output measured by multimeter in mV or V mode</t>
  </si>
  <si>
    <t>Hardware Output (V)</t>
  </si>
  <si>
    <t>ADC averaged reading (V)</t>
  </si>
  <si>
    <t>Hardware Gain (V/V)</t>
  </si>
  <si>
    <t>Perceived Gain (V/V)</t>
  </si>
  <si>
    <t>Output of ADC printed to serial terminal as well, averaged over 1000 samples measured at 50 Hz</t>
  </si>
  <si>
    <t>Input (mV)</t>
  </si>
  <si>
    <t>measured with FLIR</t>
  </si>
  <si>
    <t>measured with OWON B35T+</t>
  </si>
  <si>
    <t>clipped with J hooks</t>
  </si>
  <si>
    <t>through alligator cables</t>
  </si>
  <si>
    <t>replaced RC before ADC with 100R and 47nF</t>
  </si>
  <si>
    <t>1 Meg pull-down</t>
  </si>
  <si>
    <t>Connector voltage</t>
  </si>
  <si>
    <t>Mux output</t>
  </si>
  <si>
    <t>Op-amp non-inv input</t>
  </si>
  <si>
    <t>10K pull-down</t>
  </si>
  <si>
    <t>mV</t>
  </si>
  <si>
    <t>ADC input</t>
  </si>
  <si>
    <t>Gain</t>
  </si>
  <si>
    <t>V/V</t>
  </si>
  <si>
    <t>V</t>
  </si>
  <si>
    <t>not measured</t>
  </si>
  <si>
    <t>Cause: most likely due to op-amp input bias current</t>
  </si>
  <si>
    <t>RC4580 input bias current</t>
  </si>
  <si>
    <t>Parameter</t>
  </si>
  <si>
    <t>Min</t>
  </si>
  <si>
    <t>Nom</t>
  </si>
  <si>
    <t>Max</t>
  </si>
  <si>
    <t>Units</t>
  </si>
  <si>
    <t>nA</t>
  </si>
  <si>
    <t>2 x mux on-state resistance</t>
  </si>
  <si>
    <t>Ohm</t>
  </si>
  <si>
    <t>Non-inv input compensation resistor</t>
  </si>
  <si>
    <t>Voltage at non-inv input due to bias current</t>
  </si>
  <si>
    <t>Pull-down resistance on input</t>
  </si>
  <si>
    <t>First stage</t>
  </si>
  <si>
    <t>R51</t>
  </si>
  <si>
    <t>R50</t>
  </si>
  <si>
    <t>Tolerance</t>
  </si>
  <si>
    <t>kOhm</t>
  </si>
  <si>
    <t>Non-inv input voltage</t>
  </si>
  <si>
    <t>Output voltage</t>
  </si>
  <si>
    <t>Anti-aliasing filter input voltage from in-amp</t>
  </si>
  <si>
    <t>Second stage</t>
  </si>
  <si>
    <t>Third stage</t>
  </si>
  <si>
    <t>Second stage input voltage</t>
  </si>
  <si>
    <t>Third stage input voltage</t>
  </si>
  <si>
    <t xml:space="preserve">Anti-aliasing filter output voltage </t>
  </si>
  <si>
    <t>Final output voltage</t>
  </si>
  <si>
    <t>Gain stage</t>
  </si>
  <si>
    <t>Test setup</t>
  </si>
  <si>
    <t>Multimeter measures voltages (probed sequentially)</t>
  </si>
  <si>
    <t>SPD3303X-E DC power supply provides 3.20V to shorted differential inputs</t>
  </si>
  <si>
    <t>Measurements (tested at DC)</t>
  </si>
  <si>
    <t>Gain stage on HS DE inputs was set to unity gain</t>
  </si>
  <si>
    <t>Offset voltage due to bias current in this stage</t>
  </si>
  <si>
    <t>Output voltage (voltage follower)</t>
  </si>
  <si>
    <t>Keeping AA filter as designed in schematic, no compensation resistors in feedback path</t>
  </si>
  <si>
    <t>In+ is a sinusoid from signal generator</t>
  </si>
  <si>
    <t>In-(DC) (V)</t>
  </si>
  <si>
    <t>In+ offset (V)</t>
  </si>
  <si>
    <t>In+ Freq (Hz)</t>
  </si>
  <si>
    <t>Output freq (Hz)</t>
  </si>
  <si>
    <t>Hardware output sinusoid</t>
  </si>
  <si>
    <t>Input+ sinusoid (1Vpp)</t>
  </si>
  <si>
    <t>In+ mean (oscope) (V)</t>
  </si>
  <si>
    <t>Output mean (V)</t>
  </si>
  <si>
    <t>noticeable phase shift occurring</t>
  </si>
  <si>
    <t>Output Vpp (V)</t>
  </si>
  <si>
    <t>Input Vpp (V)</t>
  </si>
  <si>
    <t>Output / Input (V/V)</t>
  </si>
  <si>
    <t>Output / Input (dB)</t>
  </si>
  <si>
    <t>looked like a flat line…oscilloscope doesn't go smaller than 5mV/div</t>
  </si>
  <si>
    <t>set to averaging 128 samples on acquisition at this point</t>
  </si>
  <si>
    <t>according to Roberts, the above is not gain -- gain requires two points to determine slope + offset, where slope is the gain.</t>
  </si>
  <si>
    <t>1x</t>
  </si>
  <si>
    <t>10x</t>
  </si>
  <si>
    <t>50x</t>
  </si>
  <si>
    <t>100x</t>
  </si>
  <si>
    <t>Offset (mV)</t>
  </si>
  <si>
    <t>Gain (V/V)</t>
  </si>
  <si>
    <t>redoing the test now with dc inputs. We don't have a good signal generator that can produce small voltages needed for testing the 100x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</si>
</sst>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0" fontId="0" fillId="2" borderId="0" xfId="0" applyFill="1"/>
    <xf numFmtId="164" fontId="0" fillId="0" borderId="1" xfId="0" applyNumberFormat="1" applyBorder="1"/>
    <xf numFmtId="164" fontId="0" fillId="0" borderId="2" xfId="0" applyNumberFormat="1" applyBorder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offset vs freq'!$I$5</c:f>
              <c:strCache>
                <c:ptCount val="1"/>
                <c:pt idx="0">
                  <c:v>Output / Input (V/V)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offset vs freq'!$C$6:$C$26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offset vs freq'!$I$6:$I$26</c:f>
              <c:numCache>
                <c:formatCode>General</c:formatCode>
                <c:ptCount val="21"/>
                <c:pt idx="0">
                  <c:v>1.0588235294117647</c:v>
                </c:pt>
                <c:pt idx="1">
                  <c:v>1.0588235294117647</c:v>
                </c:pt>
                <c:pt idx="2">
                  <c:v>1.0588235294117647</c:v>
                </c:pt>
                <c:pt idx="3">
                  <c:v>1.0784313725490198</c:v>
                </c:pt>
                <c:pt idx="4">
                  <c:v>1.0784313725490198</c:v>
                </c:pt>
                <c:pt idx="5">
                  <c:v>1.0188679245283019</c:v>
                </c:pt>
                <c:pt idx="6">
                  <c:v>1.0188679245283019</c:v>
                </c:pt>
                <c:pt idx="7">
                  <c:v>1</c:v>
                </c:pt>
                <c:pt idx="8">
                  <c:v>1</c:v>
                </c:pt>
                <c:pt idx="9">
                  <c:v>0.96226415094339623</c:v>
                </c:pt>
                <c:pt idx="10">
                  <c:v>0.94339622641509424</c:v>
                </c:pt>
                <c:pt idx="11">
                  <c:v>0.90566037735849048</c:v>
                </c:pt>
                <c:pt idx="12">
                  <c:v>0.83018867924528295</c:v>
                </c:pt>
                <c:pt idx="13">
                  <c:v>0.79245283018867918</c:v>
                </c:pt>
                <c:pt idx="14">
                  <c:v>0.79245283018867918</c:v>
                </c:pt>
                <c:pt idx="15">
                  <c:v>0.64150943396226412</c:v>
                </c:pt>
                <c:pt idx="16">
                  <c:v>0.29629629629629628</c:v>
                </c:pt>
                <c:pt idx="17">
                  <c:v>6.3703703703703693E-2</c:v>
                </c:pt>
                <c:pt idx="18">
                  <c:v>1.5555555555555553E-2</c:v>
                </c:pt>
                <c:pt idx="19">
                  <c:v>2.4074074074074072E-3</c:v>
                </c:pt>
                <c:pt idx="20">
                  <c:v>1.1111111111111109E-3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40F6-AAAE-D3685CE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60735"/>
        <c:axId val="498789855"/>
      </c:scatterChart>
      <c:valAx>
        <c:axId val="498760735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89855"/>
        <c:crosses val="autoZero"/>
        <c:crossBetween val="midCat"/>
      </c:valAx>
      <c:valAx>
        <c:axId val="4987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'AA filter offset vs freq'!$J$5</c:f>
              <c:strCache>
                <c:ptCount val="1"/>
                <c:pt idx="0">
                  <c:v>Output / Input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 filter offset vs freq'!$C$6:$C$26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12000</c:v>
                </c:pt>
                <c:pt idx="11">
                  <c:v>15000</c:v>
                </c:pt>
                <c:pt idx="12">
                  <c:v>20000</c:v>
                </c:pt>
                <c:pt idx="13">
                  <c:v>22000</c:v>
                </c:pt>
                <c:pt idx="14">
                  <c:v>25000</c:v>
                </c:pt>
                <c:pt idx="15">
                  <c:v>30000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150000</c:v>
                </c:pt>
                <c:pt idx="20">
                  <c:v>200000</c:v>
                </c:pt>
              </c:numCache>
            </c:numRef>
          </c:xVal>
          <c:yVal>
            <c:numRef>
              <c:f>'AA filter offset vs freq'!$J$6:$J$26</c:f>
              <c:numCache>
                <c:formatCode>General</c:formatCode>
                <c:ptCount val="21"/>
                <c:pt idx="0">
                  <c:v>0.49647167450064289</c:v>
                </c:pt>
                <c:pt idx="1">
                  <c:v>0.49647167450064289</c:v>
                </c:pt>
                <c:pt idx="2">
                  <c:v>0.49647167450064289</c:v>
                </c:pt>
                <c:pt idx="3">
                  <c:v>0.65585026792615086</c:v>
                </c:pt>
                <c:pt idx="4">
                  <c:v>0.65585026792615086</c:v>
                </c:pt>
                <c:pt idx="5">
                  <c:v>0.16235780444358919</c:v>
                </c:pt>
                <c:pt idx="6">
                  <c:v>0.16235780444358919</c:v>
                </c:pt>
                <c:pt idx="7">
                  <c:v>0</c:v>
                </c:pt>
                <c:pt idx="8">
                  <c:v>0</c:v>
                </c:pt>
                <c:pt idx="9">
                  <c:v>-0.33411387005705351</c:v>
                </c:pt>
                <c:pt idx="10">
                  <c:v>-0.50611730529540577</c:v>
                </c:pt>
                <c:pt idx="11">
                  <c:v>-0.86069264450403737</c:v>
                </c:pt>
                <c:pt idx="12">
                  <c:v>-1.6164638622920329</c:v>
                </c:pt>
                <c:pt idx="13">
                  <c:v>-2.0205315840577724</c:v>
                </c:pt>
                <c:pt idx="14">
                  <c:v>-2.0205315840577724</c:v>
                </c:pt>
                <c:pt idx="15">
                  <c:v>-3.8559390511706786</c:v>
                </c:pt>
                <c:pt idx="16">
                  <c:v>-10.565475543340874</c:v>
                </c:pt>
                <c:pt idx="17">
                  <c:v>-23.916706345028768</c:v>
                </c:pt>
                <c:pt idx="18">
                  <c:v>-36.162289475221733</c:v>
                </c:pt>
                <c:pt idx="19">
                  <c:v>-52.369008150322635</c:v>
                </c:pt>
                <c:pt idx="20">
                  <c:v>-59.084850188786497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5-48DB-83CE-1DBE38EF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0831"/>
        <c:axId val="159359135"/>
      </c:scatterChart>
      <c:valAx>
        <c:axId val="159340831"/>
        <c:scaling>
          <c:logBase val="10"/>
          <c:orientation val="minMax"/>
          <c:max val="2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135"/>
        <c:crosses val="autoZero"/>
        <c:crossBetween val="midCat"/>
      </c:valAx>
      <c:valAx>
        <c:axId val="1593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82697</xdr:colOff>
      <xdr:row>7</xdr:row>
      <xdr:rowOff>52255</xdr:rowOff>
    </xdr:from>
    <xdr:to>
      <xdr:col>9</xdr:col>
      <xdr:colOff>67568</xdr:colOff>
      <xdr:row>27</xdr:row>
      <xdr:rowOff>90015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5F577-E0FD-5440-C9BD-EF76E26D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046" y="1334069"/>
          <a:ext cx="2418545" cy="3723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27</xdr:row>
      <xdr:rowOff>76200</xdr:rowOff>
    </xdr:from>
    <xdr:to>
      <xdr:col>7</xdr:col>
      <xdr:colOff>425823</xdr:colOff>
      <xdr:row>42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AB0E-939C-F76C-DEC8-DC3E63DF9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676835</xdr:colOff>
      <xdr:row>27</xdr:row>
      <xdr:rowOff>49305</xdr:rowOff>
    </xdr:from>
    <xdr:to>
      <xdr:col>13</xdr:col>
      <xdr:colOff>497541</xdr:colOff>
      <xdr:row>42</xdr:row>
      <xdr:rowOff>103093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9B542-D2F5-89EC-1154-E97F5925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5D28-1794-4B05-844D-C41C46B39434}">
  <dimension ref="A1:I23"/>
  <sheetViews>
    <sheetView workbookViewId="0">
      <selection activeCell="B26" sqref="B26"/>
    </sheetView>
  </sheetViews>
  <sheetFormatPr defaultRowHeight="14.4" x14ac:dyDescent="0.3"/>
  <cols>
    <col min="2" max="2" width="12.109375" customWidth="1"/>
    <col min="3" max="3" width="12.33203125" customWidth="1"/>
  </cols>
  <sheetData>
    <row r="1" spans="1:9" x14ac:dyDescent="0.3">
      <c r="A1" t="s">
        <v>0</v>
      </c>
    </row>
    <row r="2" spans="1:9" x14ac:dyDescent="0.3">
      <c r="A2" s="2" t="s">
        <v>9</v>
      </c>
    </row>
    <row r="3" spans="1:9" x14ac:dyDescent="0.3">
      <c r="A3" s="1" t="s">
        <v>1</v>
      </c>
      <c r="B3">
        <v>14.885</v>
      </c>
    </row>
    <row r="4" spans="1:9" x14ac:dyDescent="0.3">
      <c r="A4" s="1" t="s">
        <v>2</v>
      </c>
      <c r="B4">
        <v>-14.532999999999999</v>
      </c>
    </row>
    <row r="5" spans="1:9" x14ac:dyDescent="0.3">
      <c r="A5" s="1" t="s">
        <v>3</v>
      </c>
      <c r="B5">
        <v>11.909000000000001</v>
      </c>
    </row>
    <row r="6" spans="1:9" x14ac:dyDescent="0.3">
      <c r="A6" s="1" t="s">
        <v>4</v>
      </c>
      <c r="B6" s="3">
        <v>-12.27</v>
      </c>
    </row>
    <row r="7" spans="1:9" x14ac:dyDescent="0.3">
      <c r="A7" s="1" t="s">
        <v>5</v>
      </c>
      <c r="B7">
        <v>5.0659999999999998</v>
      </c>
    </row>
    <row r="8" spans="1:9" x14ac:dyDescent="0.3">
      <c r="A8" s="1" t="s">
        <v>6</v>
      </c>
      <c r="B8">
        <v>3.3189000000000002</v>
      </c>
    </row>
    <row r="9" spans="1:9" x14ac:dyDescent="0.3">
      <c r="A9" s="1" t="s">
        <v>7</v>
      </c>
      <c r="B9">
        <v>4.9790000000000001</v>
      </c>
    </row>
    <row r="10" spans="1:9" x14ac:dyDescent="0.3">
      <c r="A10" s="1" t="s">
        <v>8</v>
      </c>
      <c r="B10">
        <v>1.8027</v>
      </c>
    </row>
    <row r="14" spans="1:9" x14ac:dyDescent="0.3">
      <c r="A14" s="2" t="s">
        <v>10</v>
      </c>
    </row>
    <row r="15" spans="1:9" x14ac:dyDescent="0.3">
      <c r="A15" t="s">
        <v>19</v>
      </c>
      <c r="B15" t="s">
        <v>20</v>
      </c>
      <c r="C15" t="s">
        <v>22</v>
      </c>
      <c r="D15" t="s">
        <v>21</v>
      </c>
      <c r="I15" t="s">
        <v>11</v>
      </c>
    </row>
    <row r="16" spans="1:9" x14ac:dyDescent="0.3">
      <c r="A16" s="1" t="s">
        <v>1</v>
      </c>
      <c r="B16" s="4">
        <v>224</v>
      </c>
      <c r="C16" t="s">
        <v>23</v>
      </c>
      <c r="D16">
        <v>25</v>
      </c>
      <c r="I16" t="s">
        <v>12</v>
      </c>
    </row>
    <row r="17" spans="1:9" x14ac:dyDescent="0.3">
      <c r="A17" s="1" t="s">
        <v>2</v>
      </c>
      <c r="B17" s="4">
        <v>188</v>
      </c>
      <c r="C17" t="s">
        <v>25</v>
      </c>
      <c r="D17" t="s">
        <v>24</v>
      </c>
      <c r="I17" t="s">
        <v>13</v>
      </c>
    </row>
    <row r="18" spans="1:9" x14ac:dyDescent="0.3">
      <c r="A18" s="1" t="s">
        <v>3</v>
      </c>
      <c r="B18" s="4">
        <v>21.4</v>
      </c>
      <c r="C18" t="s">
        <v>26</v>
      </c>
      <c r="D18">
        <v>28</v>
      </c>
      <c r="I18" s="2" t="s">
        <v>14</v>
      </c>
    </row>
    <row r="19" spans="1:9" x14ac:dyDescent="0.3">
      <c r="A19" s="1" t="s">
        <v>4</v>
      </c>
      <c r="B19" s="4">
        <v>12.8</v>
      </c>
      <c r="C19" t="s">
        <v>25</v>
      </c>
      <c r="D19">
        <v>29</v>
      </c>
      <c r="I19" t="s">
        <v>15</v>
      </c>
    </row>
    <row r="20" spans="1:9" x14ac:dyDescent="0.3">
      <c r="A20" s="1" t="s">
        <v>7</v>
      </c>
      <c r="B20" s="4">
        <v>12</v>
      </c>
      <c r="C20" t="s">
        <v>26</v>
      </c>
      <c r="D20">
        <v>31</v>
      </c>
      <c r="I20" t="s">
        <v>16</v>
      </c>
    </row>
    <row r="21" spans="1:9" x14ac:dyDescent="0.3">
      <c r="A21" s="1" t="s">
        <v>8</v>
      </c>
      <c r="B21" s="4">
        <v>10.199999999999999</v>
      </c>
      <c r="C21" t="s">
        <v>26</v>
      </c>
      <c r="D21">
        <v>30</v>
      </c>
      <c r="I21" t="s">
        <v>17</v>
      </c>
    </row>
    <row r="22" spans="1:9" x14ac:dyDescent="0.3">
      <c r="I22" t="s">
        <v>18</v>
      </c>
    </row>
    <row r="23" spans="1:9" x14ac:dyDescent="0.3">
      <c r="I23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8D4-CBC6-46E5-BF8A-151B6CCFCF91}">
  <dimension ref="A2:G29"/>
  <sheetViews>
    <sheetView tabSelected="1" topLeftCell="A6" workbookViewId="0">
      <selection activeCell="C26" sqref="C26"/>
    </sheetView>
  </sheetViews>
  <sheetFormatPr defaultRowHeight="14.4" x14ac:dyDescent="0.3"/>
  <cols>
    <col min="1" max="1" width="11.5546875" customWidth="1"/>
    <col min="2" max="2" width="18" bestFit="1" customWidth="1"/>
    <col min="3" max="3" width="24.6640625" customWidth="1"/>
    <col min="4" max="4" width="18.88671875" customWidth="1"/>
    <col min="5" max="5" width="18.77734375" bestFit="1" customWidth="1"/>
  </cols>
  <sheetData>
    <row r="2" spans="1:7" x14ac:dyDescent="0.3">
      <c r="A2" s="7" t="s">
        <v>36</v>
      </c>
      <c r="B2" s="7" t="s">
        <v>31</v>
      </c>
      <c r="C2" s="7" t="s">
        <v>32</v>
      </c>
      <c r="D2" s="7" t="s">
        <v>33</v>
      </c>
      <c r="E2" s="7" t="s">
        <v>34</v>
      </c>
      <c r="G2" s="2" t="s">
        <v>28</v>
      </c>
    </row>
    <row r="3" spans="1:7" x14ac:dyDescent="0.3">
      <c r="A3" s="5">
        <v>38.15</v>
      </c>
      <c r="B3" s="5">
        <v>3.9469999999999998E-2</v>
      </c>
      <c r="C3" s="5">
        <v>3.9640000000000002E-2</v>
      </c>
      <c r="D3" s="6">
        <f>B3/A3*1000</f>
        <v>1.0346002621231978</v>
      </c>
      <c r="E3" s="6">
        <f>C3/A3*1000</f>
        <v>1.039056356487549</v>
      </c>
      <c r="G3" t="s">
        <v>29</v>
      </c>
    </row>
    <row r="4" spans="1:7" x14ac:dyDescent="0.3">
      <c r="A4" s="5">
        <v>38.15</v>
      </c>
      <c r="B4" s="5">
        <v>0.38653999999999999</v>
      </c>
      <c r="C4" s="5">
        <v>0.38629000000000002</v>
      </c>
      <c r="D4" s="6">
        <f>B4/A4*1000</f>
        <v>10.132110091743121</v>
      </c>
      <c r="E4" s="6">
        <f>C4/A4*1000</f>
        <v>10.125557011795545</v>
      </c>
      <c r="G4" t="s">
        <v>30</v>
      </c>
    </row>
    <row r="5" spans="1:7" x14ac:dyDescent="0.3">
      <c r="A5" s="5">
        <v>38.15</v>
      </c>
      <c r="B5" s="5">
        <v>1.903</v>
      </c>
      <c r="C5" s="5">
        <v>1.8995899999999999</v>
      </c>
      <c r="D5" s="6">
        <f>B5/A5*1000</f>
        <v>49.882044560943648</v>
      </c>
      <c r="E5" s="6">
        <f>C5/A5*1000</f>
        <v>49.792660550458713</v>
      </c>
      <c r="G5" t="s">
        <v>35</v>
      </c>
    </row>
    <row r="6" spans="1:7" x14ac:dyDescent="0.3">
      <c r="A6" s="5">
        <v>38.15</v>
      </c>
      <c r="B6" s="5">
        <v>3.8672</v>
      </c>
      <c r="C6" s="5">
        <v>3.85968</v>
      </c>
      <c r="D6" s="6">
        <f>B6/A6*1000</f>
        <v>101.36828309305373</v>
      </c>
      <c r="E6" s="6">
        <f>C6/A6*1000</f>
        <v>101.17116644823066</v>
      </c>
    </row>
    <row r="8" spans="1:7" x14ac:dyDescent="0.3">
      <c r="A8" t="s">
        <v>38</v>
      </c>
      <c r="B8" t="s">
        <v>37</v>
      </c>
    </row>
    <row r="9" spans="1:7" x14ac:dyDescent="0.3">
      <c r="A9" t="s">
        <v>40</v>
      </c>
      <c r="B9" t="s">
        <v>39</v>
      </c>
    </row>
    <row r="11" spans="1:7" x14ac:dyDescent="0.3">
      <c r="A11" t="s">
        <v>105</v>
      </c>
    </row>
    <row r="13" spans="1:7" x14ac:dyDescent="0.3">
      <c r="A13" t="s">
        <v>112</v>
      </c>
    </row>
    <row r="14" spans="1:7" x14ac:dyDescent="0.3">
      <c r="A14" s="7" t="s">
        <v>36</v>
      </c>
      <c r="B14" s="7" t="s">
        <v>31</v>
      </c>
      <c r="C14" s="7" t="s">
        <v>32</v>
      </c>
      <c r="D14" s="7" t="s">
        <v>33</v>
      </c>
      <c r="E14" s="7" t="s">
        <v>34</v>
      </c>
    </row>
    <row r="15" spans="1:7" x14ac:dyDescent="0.3">
      <c r="A15" s="5">
        <v>27.1</v>
      </c>
      <c r="B15" s="5">
        <v>2.8299999999999999E-2</v>
      </c>
      <c r="C15" s="5">
        <v>2.5590000000000002E-2</v>
      </c>
      <c r="D15" s="6">
        <f>B15/A15*1000</f>
        <v>1.0442804428044279</v>
      </c>
      <c r="E15" s="6">
        <f>C15/A15*1000</f>
        <v>0.94428044280442802</v>
      </c>
    </row>
    <row r="16" spans="1:7" x14ac:dyDescent="0.3">
      <c r="A16" s="5">
        <v>27.1</v>
      </c>
      <c r="B16" s="5">
        <v>0.27460000000000001</v>
      </c>
      <c r="C16" s="5">
        <v>0.26571</v>
      </c>
      <c r="D16" s="6">
        <f>B16/A16*1000</f>
        <v>10.132841328413285</v>
      </c>
      <c r="E16" s="6">
        <f>C16/A16*1000</f>
        <v>9.804797047970478</v>
      </c>
    </row>
    <row r="17" spans="1:5" x14ac:dyDescent="0.3">
      <c r="A17" s="5">
        <v>27.1</v>
      </c>
      <c r="B17" s="5">
        <v>1.3509</v>
      </c>
      <c r="C17" s="5">
        <v>1.33066</v>
      </c>
      <c r="D17" s="6">
        <f>B17/A17*1000</f>
        <v>49.84870848708487</v>
      </c>
      <c r="E17" s="6">
        <f>C17/A17*1000</f>
        <v>49.101845018450177</v>
      </c>
    </row>
    <row r="18" spans="1:5" x14ac:dyDescent="0.3">
      <c r="A18" s="5">
        <v>27.1</v>
      </c>
      <c r="B18" s="5">
        <v>2.7422</v>
      </c>
      <c r="C18" s="5">
        <v>2.70696</v>
      </c>
      <c r="D18" s="6">
        <f>B18/A18*1000</f>
        <v>101.18819188191881</v>
      </c>
      <c r="E18" s="6">
        <f>C18/A18*1000</f>
        <v>99.887822878228789</v>
      </c>
    </row>
    <row r="19" spans="1:5" x14ac:dyDescent="0.3">
      <c r="A19" s="5"/>
    </row>
    <row r="20" spans="1:5" x14ac:dyDescent="0.3">
      <c r="A20" s="5">
        <v>37.200000000000003</v>
      </c>
      <c r="B20" s="5">
        <v>3.85E-2</v>
      </c>
      <c r="C20" s="5">
        <v>3.5036999999999999E-2</v>
      </c>
      <c r="D20" s="6">
        <f>B20/A20*1000</f>
        <v>1.0349462365591395</v>
      </c>
      <c r="E20" s="6">
        <f>C20/A20*1000</f>
        <v>0.94185483870967734</v>
      </c>
    </row>
    <row r="21" spans="1:5" x14ac:dyDescent="0.3">
      <c r="A21" s="5">
        <v>37.200000000000003</v>
      </c>
      <c r="B21" s="5">
        <v>0.37709999999999999</v>
      </c>
      <c r="C21" s="5">
        <v>0.37025000000000002</v>
      </c>
      <c r="D21" s="6">
        <f>B21/A21*1000</f>
        <v>10.137096774193548</v>
      </c>
      <c r="E21" s="6">
        <f>C21/A21*1000</f>
        <v>9.952956989247312</v>
      </c>
    </row>
    <row r="22" spans="1:5" x14ac:dyDescent="0.3">
      <c r="A22" s="5">
        <v>37.200000000000003</v>
      </c>
      <c r="B22" s="5">
        <v>1.8554999999999999</v>
      </c>
      <c r="C22" s="5">
        <v>1.851</v>
      </c>
      <c r="D22" s="6">
        <f>B22/A22*1000</f>
        <v>49.879032258064512</v>
      </c>
      <c r="E22" s="6">
        <f>C22/A22*1000</f>
        <v>49.758064516129025</v>
      </c>
    </row>
    <row r="23" spans="1:5" x14ac:dyDescent="0.3">
      <c r="A23" s="5">
        <v>37.200000000000003</v>
      </c>
      <c r="B23" s="5">
        <v>3.7707999999999999</v>
      </c>
      <c r="C23" s="5">
        <v>3.7693400000000001</v>
      </c>
      <c r="D23" s="6">
        <f>B23/A23*1000</f>
        <v>101.36559139784946</v>
      </c>
      <c r="E23" s="6">
        <f>C23/A23*1000</f>
        <v>101.32634408602151</v>
      </c>
    </row>
    <row r="25" spans="1:5" x14ac:dyDescent="0.3">
      <c r="B25" s="2" t="s">
        <v>111</v>
      </c>
      <c r="C25" s="2" t="s">
        <v>110</v>
      </c>
    </row>
    <row r="26" spans="1:5" x14ac:dyDescent="0.3">
      <c r="A26" t="s">
        <v>106</v>
      </c>
      <c r="B26">
        <f>(B20-B15)/(A20-A15)*1000</f>
        <v>1.0099009900990099</v>
      </c>
      <c r="C26">
        <f>(B15-B26*A15/1000)*1000</f>
        <v>0.93168316831682829</v>
      </c>
    </row>
    <row r="27" spans="1:5" x14ac:dyDescent="0.3">
      <c r="A27" t="s">
        <v>107</v>
      </c>
      <c r="B27">
        <f t="shared" ref="B27:B29" si="0">(B21-B16)/(A21-A16)*1000</f>
        <v>10.148514851485146</v>
      </c>
      <c r="C27">
        <f>(B16-B27*A16/1000)*1000</f>
        <v>-0.42475247524742521</v>
      </c>
    </row>
    <row r="28" spans="1:5" x14ac:dyDescent="0.3">
      <c r="A28" t="s">
        <v>108</v>
      </c>
      <c r="B28">
        <f t="shared" si="0"/>
        <v>49.96039603960395</v>
      </c>
      <c r="C28">
        <f>(B17-B28*A17/1000)*1000</f>
        <v>-3.0267326732669186</v>
      </c>
    </row>
    <row r="29" spans="1:5" x14ac:dyDescent="0.3">
      <c r="A29" t="s">
        <v>109</v>
      </c>
      <c r="B29">
        <f t="shared" si="0"/>
        <v>101.84158415841583</v>
      </c>
      <c r="C29">
        <f>(B18-B29*A18/1000)*1000</f>
        <v>-17.706930693069278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3597-F22F-491D-91B0-A797DF7E6B00}">
  <dimension ref="A1:E27"/>
  <sheetViews>
    <sheetView zoomScale="102" workbookViewId="0">
      <selection activeCell="A30" sqref="A30"/>
    </sheetView>
  </sheetViews>
  <sheetFormatPr defaultRowHeight="14.4" x14ac:dyDescent="0.3"/>
  <cols>
    <col min="1" max="1" width="39.21875" customWidth="1"/>
  </cols>
  <sheetData>
    <row r="1" spans="1:5" x14ac:dyDescent="0.3">
      <c r="A1" s="11" t="s">
        <v>0</v>
      </c>
      <c r="B1" s="14"/>
      <c r="C1" s="14"/>
      <c r="D1" s="14"/>
      <c r="E1" s="14"/>
    </row>
    <row r="2" spans="1:5" x14ac:dyDescent="0.3">
      <c r="A2" s="2" t="s">
        <v>42</v>
      </c>
    </row>
    <row r="3" spans="1:5" x14ac:dyDescent="0.3">
      <c r="A3" t="s">
        <v>43</v>
      </c>
      <c r="B3">
        <v>0.191</v>
      </c>
      <c r="C3" t="s">
        <v>51</v>
      </c>
    </row>
    <row r="4" spans="1:5" x14ac:dyDescent="0.3">
      <c r="A4" t="s">
        <v>44</v>
      </c>
      <c r="B4">
        <v>0.191</v>
      </c>
      <c r="C4" t="s">
        <v>51</v>
      </c>
    </row>
    <row r="5" spans="1:5" x14ac:dyDescent="0.3">
      <c r="A5" t="s">
        <v>45</v>
      </c>
      <c r="B5" t="s">
        <v>26</v>
      </c>
      <c r="C5" t="s">
        <v>52</v>
      </c>
    </row>
    <row r="7" spans="1:5" x14ac:dyDescent="0.3">
      <c r="A7" s="2" t="s">
        <v>46</v>
      </c>
    </row>
    <row r="8" spans="1:5" x14ac:dyDescent="0.3">
      <c r="A8" t="s">
        <v>43</v>
      </c>
      <c r="B8">
        <v>1.994</v>
      </c>
      <c r="C8" t="s">
        <v>47</v>
      </c>
    </row>
    <row r="9" spans="1:5" x14ac:dyDescent="0.3">
      <c r="A9" t="s">
        <v>44</v>
      </c>
      <c r="B9">
        <v>1.994</v>
      </c>
      <c r="C9" t="s">
        <v>47</v>
      </c>
    </row>
    <row r="10" spans="1:5" x14ac:dyDescent="0.3">
      <c r="A10" t="s">
        <v>45</v>
      </c>
      <c r="B10">
        <v>2.9049999999999998</v>
      </c>
      <c r="C10" t="s">
        <v>47</v>
      </c>
    </row>
    <row r="11" spans="1:5" x14ac:dyDescent="0.3">
      <c r="A11" t="s">
        <v>48</v>
      </c>
      <c r="B11">
        <v>3.032</v>
      </c>
      <c r="C11" t="s">
        <v>47</v>
      </c>
    </row>
    <row r="12" spans="1:5" x14ac:dyDescent="0.3">
      <c r="A12" t="s">
        <v>49</v>
      </c>
      <c r="B12">
        <f>B11/B10</f>
        <v>1.0437177280550776</v>
      </c>
      <c r="C12" t="s">
        <v>50</v>
      </c>
    </row>
    <row r="14" spans="1:5" x14ac:dyDescent="0.3">
      <c r="A14" t="s">
        <v>53</v>
      </c>
    </row>
    <row r="16" spans="1:5" x14ac:dyDescent="0.3">
      <c r="A16" s="11" t="s">
        <v>55</v>
      </c>
      <c r="B16" s="11" t="s">
        <v>56</v>
      </c>
      <c r="C16" s="11" t="s">
        <v>57</v>
      </c>
      <c r="D16" s="11" t="s">
        <v>58</v>
      </c>
      <c r="E16" s="11" t="s">
        <v>59</v>
      </c>
    </row>
    <row r="17" spans="1:5" x14ac:dyDescent="0.3">
      <c r="A17" t="s">
        <v>54</v>
      </c>
      <c r="B17">
        <v>10</v>
      </c>
      <c r="C17">
        <v>100</v>
      </c>
      <c r="D17">
        <v>500</v>
      </c>
      <c r="E17" t="s">
        <v>60</v>
      </c>
    </row>
    <row r="18" spans="1:5" x14ac:dyDescent="0.3">
      <c r="A18" t="s">
        <v>61</v>
      </c>
      <c r="B18">
        <f>2*40</f>
        <v>80</v>
      </c>
      <c r="C18">
        <f>2*50</f>
        <v>100</v>
      </c>
      <c r="D18">
        <f>2*125</f>
        <v>250</v>
      </c>
      <c r="E18" t="s">
        <v>62</v>
      </c>
    </row>
    <row r="19" spans="1:5" x14ac:dyDescent="0.3">
      <c r="A19" t="s">
        <v>63</v>
      </c>
      <c r="B19">
        <f>(1-0.1%)*C19</f>
        <v>4525.47</v>
      </c>
      <c r="C19">
        <v>4530</v>
      </c>
      <c r="D19">
        <f>(1+0.1%)*C19</f>
        <v>4534.53</v>
      </c>
      <c r="E19" t="s">
        <v>62</v>
      </c>
    </row>
    <row r="20" spans="1:5" ht="15" thickBot="1" x14ac:dyDescent="0.35">
      <c r="A20" t="s">
        <v>65</v>
      </c>
      <c r="B20">
        <f>(1-1%)*C20</f>
        <v>990000</v>
      </c>
      <c r="C20">
        <v>1000000</v>
      </c>
      <c r="D20">
        <f>(1+1%)*C20</f>
        <v>1010000</v>
      </c>
      <c r="E20" t="s">
        <v>62</v>
      </c>
    </row>
    <row r="21" spans="1:5" ht="15" thickBot="1" x14ac:dyDescent="0.35">
      <c r="A21" t="s">
        <v>64</v>
      </c>
      <c r="B21" s="8">
        <f>(B20+B19+B18)*B17/1000000</f>
        <v>9.9460546999999995</v>
      </c>
      <c r="C21" s="9">
        <f>(C20+C19+C18)*C17/1000000</f>
        <v>100.46299999999999</v>
      </c>
      <c r="D21" s="9">
        <f>(D20+D19+D18)*D17/1000000</f>
        <v>507.39226500000001</v>
      </c>
      <c r="E21" s="10" t="s">
        <v>47</v>
      </c>
    </row>
    <row r="23" spans="1:5" x14ac:dyDescent="0.3">
      <c r="A23" t="s">
        <v>54</v>
      </c>
      <c r="B23">
        <v>10</v>
      </c>
      <c r="C23">
        <v>100</v>
      </c>
      <c r="D23">
        <v>500</v>
      </c>
      <c r="E23" t="s">
        <v>60</v>
      </c>
    </row>
    <row r="24" spans="1:5" x14ac:dyDescent="0.3">
      <c r="A24" t="s">
        <v>61</v>
      </c>
      <c r="B24">
        <f>2*40</f>
        <v>80</v>
      </c>
      <c r="C24">
        <f>2*50</f>
        <v>100</v>
      </c>
      <c r="D24">
        <f>2*125</f>
        <v>250</v>
      </c>
      <c r="E24" t="s">
        <v>62</v>
      </c>
    </row>
    <row r="25" spans="1:5" x14ac:dyDescent="0.3">
      <c r="A25" t="s">
        <v>63</v>
      </c>
      <c r="B25">
        <f>(1-0.1%)*C25</f>
        <v>4525.47</v>
      </c>
      <c r="C25">
        <v>4530</v>
      </c>
      <c r="D25">
        <f>(1+0.1%)*C25</f>
        <v>4534.53</v>
      </c>
      <c r="E25" t="s">
        <v>62</v>
      </c>
    </row>
    <row r="26" spans="1:5" ht="15" thickBot="1" x14ac:dyDescent="0.35">
      <c r="A26" t="s">
        <v>65</v>
      </c>
      <c r="B26">
        <f>(1-1%)*C26</f>
        <v>9900</v>
      </c>
      <c r="C26">
        <v>10000</v>
      </c>
      <c r="D26">
        <f>(1+1%)*C26</f>
        <v>10100</v>
      </c>
      <c r="E26" t="s">
        <v>62</v>
      </c>
    </row>
    <row r="27" spans="1:5" ht="15" thickBot="1" x14ac:dyDescent="0.35">
      <c r="A27" t="s">
        <v>64</v>
      </c>
      <c r="B27" s="8">
        <f>(B26+B25+B24)*B23/1000000</f>
        <v>0.14505470000000001</v>
      </c>
      <c r="C27" s="9">
        <f>(C26+C25+C24)*C23/1000000</f>
        <v>1.4630000000000001</v>
      </c>
      <c r="D27" s="9">
        <f>(D26+D25+D24)*D23/1000000</f>
        <v>7.442264999999999</v>
      </c>
      <c r="E27" s="10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6E9-2125-403F-A1F7-D59C50427D35}">
  <dimension ref="A1:L32"/>
  <sheetViews>
    <sheetView zoomScale="98" workbookViewId="0">
      <selection activeCell="F44" sqref="F44"/>
    </sheetView>
  </sheetViews>
  <sheetFormatPr defaultRowHeight="14.4" x14ac:dyDescent="0.3"/>
  <cols>
    <col min="1" max="1" width="44.109375" customWidth="1"/>
    <col min="2" max="2" width="9.6640625" customWidth="1"/>
    <col min="8" max="8" width="3.44140625" customWidth="1"/>
    <col min="10" max="10" width="38.33203125" customWidth="1"/>
  </cols>
  <sheetData>
    <row r="1" spans="1:12" x14ac:dyDescent="0.3">
      <c r="H1" s="13"/>
    </row>
    <row r="2" spans="1:12" x14ac:dyDescent="0.3">
      <c r="A2" s="11" t="s">
        <v>55</v>
      </c>
      <c r="B2" s="11" t="s">
        <v>69</v>
      </c>
      <c r="C2" s="11" t="s">
        <v>56</v>
      </c>
      <c r="D2" s="11" t="s">
        <v>57</v>
      </c>
      <c r="E2" s="11" t="s">
        <v>58</v>
      </c>
      <c r="F2" s="11" t="s">
        <v>59</v>
      </c>
      <c r="H2" s="13"/>
      <c r="J2" s="11" t="s">
        <v>84</v>
      </c>
      <c r="K2" s="14"/>
      <c r="L2" s="14"/>
    </row>
    <row r="3" spans="1:12" x14ac:dyDescent="0.3">
      <c r="A3" s="2" t="s">
        <v>66</v>
      </c>
      <c r="C3" s="3"/>
      <c r="D3" s="3"/>
      <c r="E3" s="3"/>
      <c r="H3" s="13"/>
      <c r="J3" s="2" t="s">
        <v>66</v>
      </c>
    </row>
    <row r="4" spans="1:12" x14ac:dyDescent="0.3">
      <c r="A4" t="s">
        <v>73</v>
      </c>
      <c r="C4" s="3">
        <v>0</v>
      </c>
      <c r="D4" s="3">
        <v>0</v>
      </c>
      <c r="E4" s="3">
        <v>0</v>
      </c>
      <c r="F4" t="s">
        <v>51</v>
      </c>
      <c r="H4" s="13"/>
      <c r="J4" t="s">
        <v>73</v>
      </c>
      <c r="K4">
        <v>0.28100000000000003</v>
      </c>
      <c r="L4" t="s">
        <v>47</v>
      </c>
    </row>
    <row r="5" spans="1:12" x14ac:dyDescent="0.3">
      <c r="A5" t="s">
        <v>54</v>
      </c>
      <c r="C5" s="3">
        <v>10</v>
      </c>
      <c r="D5" s="3">
        <v>200</v>
      </c>
      <c r="E5" s="3">
        <v>500</v>
      </c>
      <c r="F5" t="s">
        <v>60</v>
      </c>
      <c r="H5" s="13"/>
      <c r="J5" t="s">
        <v>71</v>
      </c>
      <c r="K5">
        <v>13.026</v>
      </c>
      <c r="L5" t="s">
        <v>47</v>
      </c>
    </row>
    <row r="6" spans="1:12" x14ac:dyDescent="0.3">
      <c r="A6" t="s">
        <v>67</v>
      </c>
      <c r="B6" s="12">
        <v>1E-3</v>
      </c>
      <c r="C6" s="3">
        <f>(1-B6)*D6</f>
        <v>1.68831</v>
      </c>
      <c r="D6" s="3">
        <v>1.69</v>
      </c>
      <c r="E6" s="3">
        <f>(1+B6)*D6</f>
        <v>1.6916899999999997</v>
      </c>
      <c r="F6" t="s">
        <v>70</v>
      </c>
      <c r="H6" s="13"/>
      <c r="J6" t="s">
        <v>72</v>
      </c>
      <c r="K6">
        <v>13.686</v>
      </c>
      <c r="L6" t="s">
        <v>47</v>
      </c>
    </row>
    <row r="7" spans="1:12" x14ac:dyDescent="0.3">
      <c r="A7" t="s">
        <v>68</v>
      </c>
      <c r="B7" s="12">
        <v>1E-3</v>
      </c>
      <c r="C7" s="3">
        <f>(1-B7)*D7</f>
        <v>63.336599999999997</v>
      </c>
      <c r="D7" s="3">
        <v>63.4</v>
      </c>
      <c r="E7" s="3">
        <f>(1+B7)*D7</f>
        <v>63.463399999999993</v>
      </c>
      <c r="F7" t="s">
        <v>70</v>
      </c>
      <c r="H7" s="13"/>
      <c r="J7" t="s">
        <v>49</v>
      </c>
      <c r="K7" s="3">
        <f>K6/K5</f>
        <v>1.0506678949792723</v>
      </c>
      <c r="L7" t="s">
        <v>50</v>
      </c>
    </row>
    <row r="8" spans="1:12" x14ac:dyDescent="0.3">
      <c r="A8" t="s">
        <v>86</v>
      </c>
      <c r="C8" s="3">
        <f>(C7+C6)*C5/1000</f>
        <v>0.65024909999999991</v>
      </c>
      <c r="D8" s="3">
        <f>(D7+D6)*D5/1000</f>
        <v>13.018000000000001</v>
      </c>
      <c r="E8" s="3">
        <f>(E7+E6)*E5/1000</f>
        <v>32.577544999999994</v>
      </c>
      <c r="F8" t="s">
        <v>47</v>
      </c>
      <c r="H8" s="13"/>
    </row>
    <row r="9" spans="1:12" x14ac:dyDescent="0.3">
      <c r="A9" t="s">
        <v>71</v>
      </c>
      <c r="C9" s="3">
        <f>C8+C4</f>
        <v>0.65024909999999991</v>
      </c>
      <c r="D9" s="3">
        <f>D8+D4</f>
        <v>13.018000000000001</v>
      </c>
      <c r="E9" s="3">
        <f>E8+E4</f>
        <v>32.577544999999994</v>
      </c>
      <c r="F9" t="s">
        <v>47</v>
      </c>
      <c r="H9" s="13"/>
      <c r="J9" s="2" t="s">
        <v>74</v>
      </c>
    </row>
    <row r="10" spans="1:12" x14ac:dyDescent="0.3">
      <c r="A10" t="s">
        <v>87</v>
      </c>
      <c r="C10" s="3">
        <f>C9</f>
        <v>0.65024909999999991</v>
      </c>
      <c r="D10" s="3">
        <f>D9</f>
        <v>13.018000000000001</v>
      </c>
      <c r="E10" s="3">
        <f>E9</f>
        <v>32.577544999999994</v>
      </c>
      <c r="F10" t="s">
        <v>47</v>
      </c>
      <c r="H10" s="13"/>
      <c r="J10" t="s">
        <v>71</v>
      </c>
      <c r="K10">
        <v>23.001000000000001</v>
      </c>
      <c r="L10" t="s">
        <v>47</v>
      </c>
    </row>
    <row r="11" spans="1:12" x14ac:dyDescent="0.3">
      <c r="C11" s="3"/>
      <c r="D11" s="3"/>
      <c r="E11" s="3"/>
      <c r="H11" s="13"/>
      <c r="J11" t="s">
        <v>72</v>
      </c>
      <c r="K11">
        <v>24.338000000000001</v>
      </c>
      <c r="L11" t="s">
        <v>47</v>
      </c>
    </row>
    <row r="12" spans="1:12" x14ac:dyDescent="0.3">
      <c r="A12" s="2" t="s">
        <v>74</v>
      </c>
      <c r="C12" s="3"/>
      <c r="D12" s="3"/>
      <c r="E12" s="3"/>
      <c r="H12" s="13"/>
      <c r="J12" t="s">
        <v>49</v>
      </c>
      <c r="K12" s="3">
        <f>K11/K10</f>
        <v>1.0581279074822834</v>
      </c>
      <c r="L12" t="s">
        <v>50</v>
      </c>
    </row>
    <row r="13" spans="1:12" x14ac:dyDescent="0.3">
      <c r="A13" t="s">
        <v>76</v>
      </c>
      <c r="C13" s="3">
        <f>C10</f>
        <v>0.65024909999999991</v>
      </c>
      <c r="D13" s="3">
        <f>D10</f>
        <v>13.018000000000001</v>
      </c>
      <c r="E13" s="3">
        <f>E10</f>
        <v>32.577544999999994</v>
      </c>
      <c r="F13" t="s">
        <v>47</v>
      </c>
      <c r="H13" s="13"/>
    </row>
    <row r="14" spans="1:12" x14ac:dyDescent="0.3">
      <c r="A14" t="s">
        <v>54</v>
      </c>
      <c r="C14" s="3">
        <f>C5</f>
        <v>10</v>
      </c>
      <c r="D14" s="3">
        <f>D5</f>
        <v>200</v>
      </c>
      <c r="E14" s="3">
        <f>E5</f>
        <v>500</v>
      </c>
      <c r="F14" t="s">
        <v>60</v>
      </c>
      <c r="H14" s="13"/>
      <c r="J14" s="2" t="s">
        <v>75</v>
      </c>
    </row>
    <row r="15" spans="1:12" x14ac:dyDescent="0.3">
      <c r="A15" t="s">
        <v>67</v>
      </c>
      <c r="B15" s="12">
        <v>1E-3</v>
      </c>
      <c r="C15" s="3">
        <f>(1-B15)*D15</f>
        <v>1.95804</v>
      </c>
      <c r="D15" s="3">
        <v>1.96</v>
      </c>
      <c r="E15" s="3">
        <f>(1+B15)*D15</f>
        <v>1.9619599999999997</v>
      </c>
      <c r="F15" t="s">
        <v>70</v>
      </c>
      <c r="H15" s="13"/>
      <c r="J15" t="s">
        <v>71</v>
      </c>
      <c r="K15">
        <v>29.268999999999998</v>
      </c>
      <c r="L15" t="s">
        <v>47</v>
      </c>
    </row>
    <row r="16" spans="1:12" x14ac:dyDescent="0.3">
      <c r="A16" t="s">
        <v>68</v>
      </c>
      <c r="B16" s="12">
        <v>1E-3</v>
      </c>
      <c r="C16" s="3">
        <f>(1-B16)*D16</f>
        <v>48.651300000000006</v>
      </c>
      <c r="D16" s="3">
        <v>48.7</v>
      </c>
      <c r="E16" s="3">
        <f>(1+B16)*D16</f>
        <v>48.748699999999999</v>
      </c>
      <c r="F16" t="s">
        <v>70</v>
      </c>
      <c r="H16" s="13"/>
      <c r="J16" t="s">
        <v>72</v>
      </c>
      <c r="K16">
        <v>29.843</v>
      </c>
      <c r="L16" t="s">
        <v>47</v>
      </c>
    </row>
    <row r="17" spans="1:12" x14ac:dyDescent="0.3">
      <c r="A17" t="s">
        <v>86</v>
      </c>
      <c r="C17" s="3">
        <f>(C16+C15)*C14/1000</f>
        <v>0.50609340000000003</v>
      </c>
      <c r="D17" s="3">
        <f>(D16+D15)*D14/1000</f>
        <v>10.132</v>
      </c>
      <c r="E17" s="3">
        <f>(E16+E15)*E14/1000</f>
        <v>25.355329999999999</v>
      </c>
      <c r="F17" t="s">
        <v>47</v>
      </c>
      <c r="H17" s="13"/>
      <c r="J17" t="s">
        <v>49</v>
      </c>
      <c r="K17" s="3">
        <f>K16/K15</f>
        <v>1.0196111927295091</v>
      </c>
      <c r="L17" t="s">
        <v>50</v>
      </c>
    </row>
    <row r="18" spans="1:12" x14ac:dyDescent="0.3">
      <c r="A18" t="s">
        <v>71</v>
      </c>
      <c r="C18" s="3">
        <f>C17+C13</f>
        <v>1.1563425000000001</v>
      </c>
      <c r="D18" s="3">
        <f>D17+D13</f>
        <v>23.15</v>
      </c>
      <c r="E18" s="3">
        <f>E17+E13</f>
        <v>57.932874999999996</v>
      </c>
      <c r="F18" t="s">
        <v>47</v>
      </c>
      <c r="H18" s="13"/>
      <c r="K18" s="3"/>
    </row>
    <row r="19" spans="1:12" x14ac:dyDescent="0.3">
      <c r="A19" t="s">
        <v>87</v>
      </c>
      <c r="C19" s="3">
        <f>C18</f>
        <v>1.1563425000000001</v>
      </c>
      <c r="D19" s="3">
        <f>D18</f>
        <v>23.15</v>
      </c>
      <c r="E19" s="3">
        <f>E18</f>
        <v>57.932874999999996</v>
      </c>
      <c r="F19" t="s">
        <v>47</v>
      </c>
      <c r="H19" s="13"/>
      <c r="J19" s="2" t="s">
        <v>80</v>
      </c>
    </row>
    <row r="20" spans="1:12" x14ac:dyDescent="0.3">
      <c r="C20" s="3"/>
      <c r="D20" s="3"/>
      <c r="E20" s="3"/>
      <c r="H20" s="13"/>
      <c r="J20" t="s">
        <v>71</v>
      </c>
      <c r="K20">
        <v>30.64</v>
      </c>
      <c r="L20" t="s">
        <v>47</v>
      </c>
    </row>
    <row r="21" spans="1:12" x14ac:dyDescent="0.3">
      <c r="A21" s="2" t="s">
        <v>75</v>
      </c>
      <c r="C21" s="3"/>
      <c r="D21" s="3"/>
      <c r="E21" s="3"/>
      <c r="H21" s="13"/>
      <c r="J21" t="s">
        <v>79</v>
      </c>
      <c r="K21">
        <v>31.042000000000002</v>
      </c>
      <c r="L21" t="s">
        <v>47</v>
      </c>
    </row>
    <row r="22" spans="1:12" x14ac:dyDescent="0.3">
      <c r="A22" t="s">
        <v>77</v>
      </c>
      <c r="C22" s="3">
        <f>C19</f>
        <v>1.1563425000000001</v>
      </c>
      <c r="D22" s="3">
        <f>D19</f>
        <v>23.15</v>
      </c>
      <c r="E22" s="3">
        <f>E19</f>
        <v>57.932874999999996</v>
      </c>
      <c r="F22" t="s">
        <v>47</v>
      </c>
      <c r="H22" s="13"/>
      <c r="J22" t="s">
        <v>49</v>
      </c>
      <c r="K22" s="3">
        <f>K21/K20</f>
        <v>1.0131201044386424</v>
      </c>
      <c r="L22" t="s">
        <v>50</v>
      </c>
    </row>
    <row r="23" spans="1:12" x14ac:dyDescent="0.3">
      <c r="A23" t="s">
        <v>54</v>
      </c>
      <c r="C23" s="3">
        <f>C5</f>
        <v>10</v>
      </c>
      <c r="D23" s="3">
        <f>D5</f>
        <v>200</v>
      </c>
      <c r="E23" s="3">
        <f>E5</f>
        <v>500</v>
      </c>
      <c r="F23" t="s">
        <v>60</v>
      </c>
      <c r="H23" s="13"/>
    </row>
    <row r="24" spans="1:12" x14ac:dyDescent="0.3">
      <c r="A24" t="s">
        <v>67</v>
      </c>
      <c r="B24" s="12">
        <v>1E-3</v>
      </c>
      <c r="C24" s="3">
        <f>(1-B24)*D24</f>
        <v>3.1568400000000003</v>
      </c>
      <c r="D24" s="3">
        <v>3.16</v>
      </c>
      <c r="E24" s="3">
        <f>(1+B24)*D24</f>
        <v>3.16316</v>
      </c>
      <c r="F24" t="s">
        <v>70</v>
      </c>
      <c r="H24" s="13"/>
      <c r="J24" s="2" t="s">
        <v>81</v>
      </c>
    </row>
    <row r="25" spans="1:12" x14ac:dyDescent="0.3">
      <c r="A25" t="s">
        <v>68</v>
      </c>
      <c r="B25" s="12">
        <v>1E-3</v>
      </c>
      <c r="C25" s="3">
        <f>(1-B25)*D25</f>
        <v>24.275700000000001</v>
      </c>
      <c r="D25" s="3">
        <v>24.3</v>
      </c>
      <c r="E25" s="3">
        <f>(1+B25)*D25</f>
        <v>24.324299999999997</v>
      </c>
      <c r="F25" t="s">
        <v>70</v>
      </c>
      <c r="H25" s="13"/>
      <c r="J25" t="s">
        <v>82</v>
      </c>
    </row>
    <row r="26" spans="1:12" x14ac:dyDescent="0.3">
      <c r="A26" t="s">
        <v>86</v>
      </c>
      <c r="C26" s="3">
        <f>(C25+C24)*C23/1000</f>
        <v>0.2743254</v>
      </c>
      <c r="D26" s="3">
        <f>(D25+D24)*D23/1000</f>
        <v>5.492</v>
      </c>
      <c r="E26" s="3">
        <f>(E25+E24)*E23/1000</f>
        <v>13.743729999999999</v>
      </c>
      <c r="F26" t="s">
        <v>47</v>
      </c>
      <c r="H26" s="13"/>
      <c r="J26" t="s">
        <v>83</v>
      </c>
    </row>
    <row r="27" spans="1:12" x14ac:dyDescent="0.3">
      <c r="A27" t="s">
        <v>71</v>
      </c>
      <c r="C27" s="3">
        <f>C26+C22</f>
        <v>1.4306679</v>
      </c>
      <c r="D27" s="3">
        <f>D26+D22</f>
        <v>28.641999999999999</v>
      </c>
      <c r="E27" s="3">
        <f>E26+E22</f>
        <v>71.676604999999995</v>
      </c>
      <c r="F27" t="s">
        <v>47</v>
      </c>
      <c r="H27" s="13"/>
      <c r="J27" t="s">
        <v>85</v>
      </c>
    </row>
    <row r="28" spans="1:12" x14ac:dyDescent="0.3">
      <c r="A28" t="s">
        <v>87</v>
      </c>
      <c r="C28" s="3">
        <f>C27</f>
        <v>1.4306679</v>
      </c>
      <c r="D28" s="3">
        <f>D27</f>
        <v>28.641999999999999</v>
      </c>
      <c r="E28" s="3">
        <f>E27</f>
        <v>71.676604999999995</v>
      </c>
      <c r="F28" t="s">
        <v>47</v>
      </c>
      <c r="H28" s="13"/>
    </row>
    <row r="29" spans="1:12" ht="15" thickBot="1" x14ac:dyDescent="0.35">
      <c r="C29" s="3"/>
      <c r="D29" s="3"/>
      <c r="E29" s="3"/>
      <c r="H29" s="13"/>
    </row>
    <row r="30" spans="1:12" ht="15" thickBot="1" x14ac:dyDescent="0.35">
      <c r="A30" t="s">
        <v>78</v>
      </c>
      <c r="C30" s="15">
        <f>C28</f>
        <v>1.4306679</v>
      </c>
      <c r="D30" s="16">
        <f>D28</f>
        <v>28.641999999999999</v>
      </c>
      <c r="E30" s="16">
        <f>E28</f>
        <v>71.676604999999995</v>
      </c>
      <c r="F30" s="10" t="s">
        <v>47</v>
      </c>
      <c r="H30" s="13"/>
    </row>
    <row r="31" spans="1:12" x14ac:dyDescent="0.3">
      <c r="H31" s="13"/>
    </row>
    <row r="32" spans="1:12" x14ac:dyDescent="0.3">
      <c r="H32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CD3F-A7E3-43E4-A82F-302D6CA4F9B0}">
  <dimension ref="A1:M26"/>
  <sheetViews>
    <sheetView topLeftCell="A13" zoomScale="102" zoomScaleNormal="85" workbookViewId="0">
      <selection activeCell="F15" sqref="F15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2.5546875" customWidth="1"/>
    <col min="4" max="4" width="19.88671875" bestFit="1" customWidth="1"/>
    <col min="5" max="5" width="19.88671875" customWidth="1"/>
    <col min="6" max="6" width="14.77734375" customWidth="1"/>
    <col min="7" max="7" width="14.109375" customWidth="1"/>
    <col min="8" max="8" width="14" bestFit="1" customWidth="1"/>
    <col min="9" max="9" width="19.77734375" customWidth="1"/>
  </cols>
  <sheetData>
    <row r="1" spans="1:13" x14ac:dyDescent="0.3">
      <c r="A1" t="s">
        <v>88</v>
      </c>
    </row>
    <row r="3" spans="1:13" x14ac:dyDescent="0.3">
      <c r="A3" t="s">
        <v>89</v>
      </c>
    </row>
    <row r="4" spans="1:13" x14ac:dyDescent="0.3">
      <c r="B4" s="18" t="s">
        <v>95</v>
      </c>
      <c r="C4" s="18"/>
      <c r="D4" s="5"/>
      <c r="E4" s="5"/>
      <c r="F4" s="18" t="s">
        <v>94</v>
      </c>
      <c r="G4" s="18"/>
    </row>
    <row r="5" spans="1:13" x14ac:dyDescent="0.3">
      <c r="A5" s="2" t="s">
        <v>90</v>
      </c>
      <c r="B5" s="2" t="s">
        <v>91</v>
      </c>
      <c r="C5" s="2" t="s">
        <v>92</v>
      </c>
      <c r="D5" s="2" t="s">
        <v>96</v>
      </c>
      <c r="E5" s="2" t="s">
        <v>100</v>
      </c>
      <c r="F5" s="2" t="s">
        <v>97</v>
      </c>
      <c r="G5" s="2" t="s">
        <v>93</v>
      </c>
      <c r="H5" s="2" t="s">
        <v>99</v>
      </c>
      <c r="I5" s="2" t="s">
        <v>101</v>
      </c>
      <c r="J5" s="2" t="s">
        <v>102</v>
      </c>
    </row>
    <row r="6" spans="1:13" x14ac:dyDescent="0.3">
      <c r="A6" s="17">
        <v>1.4988999999999999</v>
      </c>
      <c r="B6" s="4">
        <v>2</v>
      </c>
      <c r="C6">
        <v>10</v>
      </c>
      <c r="D6">
        <v>1.99</v>
      </c>
      <c r="E6">
        <v>1.02</v>
      </c>
      <c r="F6">
        <v>0.52893000000000001</v>
      </c>
      <c r="G6">
        <v>10</v>
      </c>
      <c r="H6">
        <v>1.08</v>
      </c>
      <c r="I6">
        <f>H6/E6</f>
        <v>1.0588235294117647</v>
      </c>
      <c r="J6">
        <f>20*LOG10(I6)</f>
        <v>0.49647167450064289</v>
      </c>
    </row>
    <row r="7" spans="1:13" x14ac:dyDescent="0.3">
      <c r="A7" s="17">
        <v>1.4991000000000001</v>
      </c>
      <c r="B7" s="4">
        <v>2</v>
      </c>
      <c r="C7">
        <v>20</v>
      </c>
      <c r="D7">
        <v>2.0099999999999998</v>
      </c>
      <c r="E7">
        <v>1.02</v>
      </c>
      <c r="F7">
        <v>0.53349999999999997</v>
      </c>
      <c r="G7">
        <v>20</v>
      </c>
      <c r="H7">
        <v>1.08</v>
      </c>
      <c r="I7">
        <f t="shared" ref="I7:I26" si="0">H7/E7</f>
        <v>1.0588235294117647</v>
      </c>
      <c r="J7">
        <f t="shared" ref="J7:J26" si="1">20*LOG10(I7)</f>
        <v>0.49647167450064289</v>
      </c>
    </row>
    <row r="8" spans="1:13" x14ac:dyDescent="0.3">
      <c r="A8" s="17">
        <v>1.4991000000000001</v>
      </c>
      <c r="B8" s="4">
        <v>2</v>
      </c>
      <c r="C8">
        <v>50</v>
      </c>
      <c r="D8">
        <v>2</v>
      </c>
      <c r="E8">
        <v>1.02</v>
      </c>
      <c r="F8">
        <v>0.53349999999999997</v>
      </c>
      <c r="G8">
        <v>20</v>
      </c>
      <c r="H8">
        <v>1.08</v>
      </c>
      <c r="I8">
        <f t="shared" si="0"/>
        <v>1.0588235294117647</v>
      </c>
      <c r="J8">
        <f t="shared" si="1"/>
        <v>0.49647167450064289</v>
      </c>
    </row>
    <row r="9" spans="1:13" x14ac:dyDescent="0.3">
      <c r="A9" s="17">
        <v>1.4991000000000001</v>
      </c>
      <c r="B9" s="4">
        <v>2</v>
      </c>
      <c r="C9">
        <v>100</v>
      </c>
      <c r="D9">
        <v>2</v>
      </c>
      <c r="E9">
        <v>1.02</v>
      </c>
      <c r="F9">
        <v>0.52929000000000004</v>
      </c>
      <c r="G9">
        <v>100</v>
      </c>
      <c r="H9">
        <v>1.1000000000000001</v>
      </c>
      <c r="I9">
        <f t="shared" si="0"/>
        <v>1.0784313725490198</v>
      </c>
      <c r="J9">
        <f t="shared" si="1"/>
        <v>0.65585026792615086</v>
      </c>
    </row>
    <row r="10" spans="1:13" x14ac:dyDescent="0.3">
      <c r="A10" s="17">
        <v>1.4991000000000001</v>
      </c>
      <c r="B10" s="4">
        <v>2</v>
      </c>
      <c r="C10">
        <v>200</v>
      </c>
      <c r="D10">
        <v>2.0099999999999998</v>
      </c>
      <c r="E10">
        <v>1.02</v>
      </c>
      <c r="F10">
        <v>0.53395000000000004</v>
      </c>
      <c r="G10">
        <v>199.98</v>
      </c>
      <c r="H10">
        <v>1.1000000000000001</v>
      </c>
      <c r="I10">
        <f t="shared" si="0"/>
        <v>1.0784313725490198</v>
      </c>
      <c r="J10">
        <f t="shared" si="1"/>
        <v>0.65585026792615086</v>
      </c>
    </row>
    <row r="11" spans="1:13" x14ac:dyDescent="0.3">
      <c r="A11" s="17">
        <v>1.4991000000000001</v>
      </c>
      <c r="B11" s="4">
        <v>2</v>
      </c>
      <c r="C11">
        <v>500</v>
      </c>
      <c r="D11">
        <v>2</v>
      </c>
      <c r="E11">
        <v>1.06</v>
      </c>
      <c r="F11">
        <v>0.52949999999999997</v>
      </c>
      <c r="G11">
        <v>499.99</v>
      </c>
      <c r="H11">
        <v>1.08</v>
      </c>
      <c r="I11">
        <f t="shared" si="0"/>
        <v>1.0188679245283019</v>
      </c>
      <c r="J11">
        <f t="shared" si="1"/>
        <v>0.16235780444358919</v>
      </c>
    </row>
    <row r="12" spans="1:13" x14ac:dyDescent="0.3">
      <c r="A12" s="17">
        <v>1.4991000000000001</v>
      </c>
      <c r="B12" s="4">
        <v>2</v>
      </c>
      <c r="C12">
        <v>1000</v>
      </c>
      <c r="D12">
        <v>2.0099999999999998</v>
      </c>
      <c r="E12">
        <v>1.06</v>
      </c>
      <c r="F12">
        <v>0.53254999999999997</v>
      </c>
      <c r="G12">
        <v>1000</v>
      </c>
      <c r="H12">
        <v>1.08</v>
      </c>
      <c r="I12">
        <f t="shared" si="0"/>
        <v>1.0188679245283019</v>
      </c>
      <c r="J12">
        <f t="shared" si="1"/>
        <v>0.16235780444358919</v>
      </c>
    </row>
    <row r="13" spans="1:13" x14ac:dyDescent="0.3">
      <c r="A13" s="17">
        <v>1.4991000000000001</v>
      </c>
      <c r="B13" s="4">
        <v>2</v>
      </c>
      <c r="C13">
        <v>2000</v>
      </c>
      <c r="D13">
        <v>2.0099999999999998</v>
      </c>
      <c r="E13">
        <v>1.06</v>
      </c>
      <c r="F13">
        <v>0.5323</v>
      </c>
      <c r="G13">
        <v>2000</v>
      </c>
      <c r="H13">
        <v>1.06</v>
      </c>
      <c r="I13">
        <f t="shared" si="0"/>
        <v>1</v>
      </c>
      <c r="J13">
        <f t="shared" si="1"/>
        <v>0</v>
      </c>
    </row>
    <row r="14" spans="1:13" x14ac:dyDescent="0.3">
      <c r="A14" s="17">
        <v>1.4991000000000001</v>
      </c>
      <c r="B14" s="4">
        <v>2</v>
      </c>
      <c r="C14">
        <v>5000</v>
      </c>
      <c r="D14">
        <v>2.0099999999999998</v>
      </c>
      <c r="E14">
        <v>1.06</v>
      </c>
      <c r="F14">
        <v>0.5323</v>
      </c>
      <c r="G14">
        <v>5000</v>
      </c>
      <c r="H14">
        <v>1.06</v>
      </c>
      <c r="I14">
        <f t="shared" si="0"/>
        <v>1</v>
      </c>
      <c r="J14">
        <f t="shared" si="1"/>
        <v>0</v>
      </c>
    </row>
    <row r="15" spans="1:13" x14ac:dyDescent="0.3">
      <c r="A15" s="17">
        <v>1.4991000000000001</v>
      </c>
      <c r="B15" s="4">
        <v>2</v>
      </c>
      <c r="C15">
        <v>10000</v>
      </c>
      <c r="D15">
        <v>2.0099999999999998</v>
      </c>
      <c r="E15">
        <v>1.06</v>
      </c>
      <c r="F15">
        <v>0.53202000000000005</v>
      </c>
      <c r="G15">
        <v>10000</v>
      </c>
      <c r="H15">
        <v>1.02</v>
      </c>
      <c r="I15">
        <f t="shared" si="0"/>
        <v>0.96226415094339623</v>
      </c>
      <c r="J15">
        <f t="shared" si="1"/>
        <v>-0.33411387005705351</v>
      </c>
      <c r="M15" t="s">
        <v>98</v>
      </c>
    </row>
    <row r="16" spans="1:13" x14ac:dyDescent="0.3">
      <c r="A16" s="17">
        <v>1.4991000000000001</v>
      </c>
      <c r="B16" s="4">
        <v>2</v>
      </c>
      <c r="C16">
        <v>12000</v>
      </c>
      <c r="D16">
        <v>2.0099999999999998</v>
      </c>
      <c r="E16">
        <v>1.06</v>
      </c>
      <c r="F16">
        <v>0.52680000000000005</v>
      </c>
      <c r="G16">
        <v>12000</v>
      </c>
      <c r="H16">
        <v>1</v>
      </c>
      <c r="I16">
        <f t="shared" si="0"/>
        <v>0.94339622641509424</v>
      </c>
      <c r="J16">
        <f t="shared" si="1"/>
        <v>-0.50611730529540577</v>
      </c>
    </row>
    <row r="17" spans="1:13" x14ac:dyDescent="0.3">
      <c r="A17" s="17">
        <v>1.4991000000000001</v>
      </c>
      <c r="B17" s="4">
        <v>2</v>
      </c>
      <c r="C17">
        <v>15000</v>
      </c>
      <c r="D17">
        <v>2</v>
      </c>
      <c r="E17">
        <v>1.06</v>
      </c>
      <c r="F17">
        <v>0.51770000000000005</v>
      </c>
      <c r="G17">
        <v>15000</v>
      </c>
      <c r="H17">
        <v>0.96</v>
      </c>
      <c r="I17">
        <f t="shared" si="0"/>
        <v>0.90566037735849048</v>
      </c>
      <c r="J17">
        <f t="shared" si="1"/>
        <v>-0.86069264450403737</v>
      </c>
      <c r="M17" t="s">
        <v>104</v>
      </c>
    </row>
    <row r="18" spans="1:13" x14ac:dyDescent="0.3">
      <c r="A18" s="17">
        <v>1.4991000000000001</v>
      </c>
      <c r="B18" s="4">
        <v>2</v>
      </c>
      <c r="C18">
        <v>20000</v>
      </c>
      <c r="D18">
        <v>2.0099999999999998</v>
      </c>
      <c r="E18">
        <v>1.06</v>
      </c>
      <c r="F18">
        <v>0.53134999999999999</v>
      </c>
      <c r="G18">
        <v>20000</v>
      </c>
      <c r="H18">
        <v>0.88</v>
      </c>
      <c r="I18">
        <f t="shared" si="0"/>
        <v>0.83018867924528295</v>
      </c>
      <c r="J18">
        <f t="shared" si="1"/>
        <v>-1.6164638622920329</v>
      </c>
    </row>
    <row r="19" spans="1:13" x14ac:dyDescent="0.3">
      <c r="A19" s="17">
        <v>1.4991000000000001</v>
      </c>
      <c r="B19" s="4">
        <v>2</v>
      </c>
      <c r="C19">
        <v>22000</v>
      </c>
      <c r="D19">
        <v>2.0099999999999998</v>
      </c>
      <c r="E19">
        <v>1.06</v>
      </c>
      <c r="F19">
        <v>0.53805999999999998</v>
      </c>
      <c r="G19">
        <v>22000</v>
      </c>
      <c r="H19">
        <v>0.84</v>
      </c>
      <c r="I19">
        <f t="shared" si="0"/>
        <v>0.79245283018867918</v>
      </c>
      <c r="J19">
        <f t="shared" si="1"/>
        <v>-2.0205315840577724</v>
      </c>
    </row>
    <row r="20" spans="1:13" x14ac:dyDescent="0.3">
      <c r="A20" s="17">
        <v>1.4991000000000001</v>
      </c>
      <c r="B20" s="4">
        <v>2</v>
      </c>
      <c r="C20">
        <v>25000</v>
      </c>
      <c r="D20">
        <v>1.99</v>
      </c>
      <c r="E20">
        <v>1.06</v>
      </c>
      <c r="F20">
        <v>0.52149999999999996</v>
      </c>
      <c r="G20">
        <v>25000</v>
      </c>
      <c r="H20">
        <v>0.84</v>
      </c>
      <c r="I20">
        <f t="shared" si="0"/>
        <v>0.79245283018867918</v>
      </c>
      <c r="J20">
        <f t="shared" si="1"/>
        <v>-2.0205315840577724</v>
      </c>
    </row>
    <row r="21" spans="1:13" x14ac:dyDescent="0.3">
      <c r="A21" s="17">
        <v>1.4991000000000001</v>
      </c>
      <c r="B21" s="4">
        <v>2</v>
      </c>
      <c r="C21">
        <v>30000</v>
      </c>
      <c r="D21">
        <v>1.98</v>
      </c>
      <c r="E21">
        <v>1.06</v>
      </c>
      <c r="F21">
        <v>0.51344999999999996</v>
      </c>
      <c r="G21">
        <v>30000</v>
      </c>
      <c r="H21">
        <v>0.68</v>
      </c>
      <c r="I21">
        <f t="shared" si="0"/>
        <v>0.64150943396226412</v>
      </c>
      <c r="J21">
        <f t="shared" si="1"/>
        <v>-3.8559390511706786</v>
      </c>
    </row>
    <row r="22" spans="1:13" x14ac:dyDescent="0.3">
      <c r="A22" s="17">
        <v>1.4991000000000001</v>
      </c>
      <c r="B22" s="4">
        <v>2</v>
      </c>
      <c r="C22">
        <v>50000</v>
      </c>
      <c r="D22">
        <v>1.99</v>
      </c>
      <c r="E22">
        <v>1.08</v>
      </c>
      <c r="F22">
        <v>0.51619999999999999</v>
      </c>
      <c r="G22">
        <v>50000</v>
      </c>
      <c r="H22">
        <v>0.32</v>
      </c>
      <c r="I22">
        <f t="shared" si="0"/>
        <v>0.29629629629629628</v>
      </c>
      <c r="J22">
        <f t="shared" si="1"/>
        <v>-10.565475543340874</v>
      </c>
    </row>
    <row r="23" spans="1:13" x14ac:dyDescent="0.3">
      <c r="A23" s="17">
        <v>1.4991000000000001</v>
      </c>
      <c r="B23" s="4">
        <v>2</v>
      </c>
      <c r="C23">
        <v>75000</v>
      </c>
      <c r="D23">
        <v>1.98</v>
      </c>
      <c r="E23">
        <v>1.08</v>
      </c>
      <c r="F23">
        <v>0.53139999999999998</v>
      </c>
      <c r="G23">
        <v>75000</v>
      </c>
      <c r="H23">
        <v>6.88E-2</v>
      </c>
      <c r="I23">
        <f t="shared" si="0"/>
        <v>6.3703703703703693E-2</v>
      </c>
      <c r="J23">
        <f t="shared" si="1"/>
        <v>-23.916706345028768</v>
      </c>
    </row>
    <row r="24" spans="1:13" x14ac:dyDescent="0.3">
      <c r="A24" s="17">
        <v>1.4991000000000001</v>
      </c>
      <c r="B24" s="4">
        <v>2</v>
      </c>
      <c r="C24">
        <v>100000</v>
      </c>
      <c r="D24">
        <v>1.98</v>
      </c>
      <c r="E24">
        <v>1.08</v>
      </c>
      <c r="F24">
        <v>0.53081999999999996</v>
      </c>
      <c r="G24">
        <v>100000</v>
      </c>
      <c r="H24">
        <v>1.6799999999999999E-2</v>
      </c>
      <c r="I24">
        <f t="shared" si="0"/>
        <v>1.5555555555555553E-2</v>
      </c>
      <c r="J24">
        <f t="shared" si="1"/>
        <v>-36.162289475221733</v>
      </c>
    </row>
    <row r="25" spans="1:13" x14ac:dyDescent="0.3">
      <c r="A25" s="17">
        <v>1.4991000000000001</v>
      </c>
      <c r="B25" s="4">
        <v>2</v>
      </c>
      <c r="C25">
        <v>150000</v>
      </c>
      <c r="D25">
        <v>1.98</v>
      </c>
      <c r="E25">
        <v>1.08</v>
      </c>
      <c r="H25">
        <v>2.5999999999999999E-3</v>
      </c>
      <c r="I25">
        <f t="shared" si="0"/>
        <v>2.4074074074074072E-3</v>
      </c>
      <c r="J25">
        <f t="shared" si="1"/>
        <v>-52.369008150322635</v>
      </c>
    </row>
    <row r="26" spans="1:13" x14ac:dyDescent="0.3">
      <c r="A26" s="17">
        <v>1.4991000000000001</v>
      </c>
      <c r="B26" s="4">
        <v>2</v>
      </c>
      <c r="C26">
        <v>200000</v>
      </c>
      <c r="D26">
        <v>1.98</v>
      </c>
      <c r="E26">
        <v>1.08</v>
      </c>
      <c r="H26">
        <v>1.1999999999999999E-3</v>
      </c>
      <c r="I26">
        <f t="shared" si="0"/>
        <v>1.1111111111111109E-3</v>
      </c>
      <c r="J26">
        <f t="shared" si="1"/>
        <v>-59.084850188786497</v>
      </c>
      <c r="M26" t="s">
        <v>103</v>
      </c>
    </row>
  </sheetData>
  <mergeCells count="2">
    <mergeCell ref="F4:G4"/>
    <mergeCell ref="B4:C4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D532-2378-4AD8-A17E-2E47D1602F97}">
  <dimension ref="A1"/>
  <sheetViews>
    <sheetView workbookViewId="0">
      <selection activeCell="H24" sqref="H24"/>
    </sheetView>
  </sheetViews>
  <sheetFormatPr defaultRowHeight="14.4" x14ac:dyDescent="0.3"/>
  <sheetData>
    <row r="1" spans="1:1" x14ac:dyDescent="0.3">
      <c r="A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rails</vt:lpstr>
      <vt:lpstr>LS SE Gains</vt:lpstr>
      <vt:lpstr>LS SE Input Pulldown</vt:lpstr>
      <vt:lpstr>AA filter input bias offset</vt:lpstr>
      <vt:lpstr>AA filter offset vs freq</vt:lpstr>
      <vt:lpstr>HS DE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2022-11-22T14:42:22Z</dcterms:created>
  <dcterms:modified xsi:type="dcterms:W3CDTF">2022-11-29T02:35:57Z</dcterms:modified>
</cp:coreProperties>
</file>