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Maya1\Desktop\"/>
    </mc:Choice>
  </mc:AlternateContent>
  <xr:revisionPtr revIDLastSave="0" documentId="13_ncr:1_{5B097BE5-569E-4D53-87DB-3EB136D82070}" xr6:coauthVersionLast="47" xr6:coauthVersionMax="47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Musteri" sheetId="10" state="hidden" r:id="rId1"/>
    <sheet name="iş emri (2)" sheetId="19" state="hidden" r:id="rId2"/>
    <sheet name="Sayfa1" sheetId="1" r:id="rId3"/>
    <sheet name="Quotation Sheet" sheetId="7" r:id="rId4"/>
    <sheet name="KUTUPHANE" sheetId="11" state="hidden" r:id="rId5"/>
    <sheet name="MÜSTERİLER" sheetId="8" state="hidden" r:id="rId6"/>
    <sheet name="Proforma Invoice" sheetId="14" r:id="rId7"/>
    <sheet name="iş emri" sheetId="9" r:id="rId8"/>
    <sheet name="MT" sheetId="3" r:id="rId9"/>
    <sheet name="ÜRÜN ÖZELLİKLERİ" sheetId="5" state="hidden" r:id="rId10"/>
    <sheet name="OPSİYON SORGU" sheetId="17" state="hidden" r:id="rId11"/>
    <sheet name="Sayfa2" sheetId="18" state="hidden" r:id="rId12"/>
  </sheets>
  <functionGroups builtInGroupCount="19"/>
  <definedNames>
    <definedName name="BS_DV">'ÜRÜN ÖZELLİKLERİ'!$P$27:$P$43</definedName>
    <definedName name="D_DV">'ÜRÜN ÖZELLİKLERİ'!$P$27:$P$43</definedName>
    <definedName name="FS_DV">'ÜRÜN ÖZELLİKLERİ'!$P$27:$P$43</definedName>
    <definedName name="İP_DV">'ÜRÜN ÖZELLİKLERİ'!$N$73:$N$79</definedName>
    <definedName name="KURDELE_DV">'ÜRÜN ÖZELLİKLERİ'!$P$53:$P$70</definedName>
    <definedName name="PS_DV">'ÜRÜN ÖZELLİKLERİ'!$P$27:$P$43</definedName>
    <definedName name="RANGE" localSheetId="7">#REF!</definedName>
    <definedName name="RANGE" localSheetId="1">#REF!</definedName>
    <definedName name="RANGE">'OPSİYON SORGU'!$F$1</definedName>
    <definedName name="RANGE1">'OPSİYON SORGU'!$F$1</definedName>
    <definedName name="RANGE2">'OPSİYON SORGU'!$N$1</definedName>
    <definedName name="RANGE3">'OPSİYON SORGU'!$V$1</definedName>
    <definedName name="RANGE4">'OPSİYON SORGU'!$AD$1</definedName>
    <definedName name="RANGE5">'OPSİYON SORGU'!$AL$1</definedName>
    <definedName name="RANGE6">'OPSİYON SORGU'!$AT$1</definedName>
    <definedName name="RANGES">Sayfa2!$G$1</definedName>
    <definedName name="TANGE6">'OPSİYON SORGU'!$AT$1</definedName>
    <definedName name="Urun1">'Quotation Sheet'!$E$84:$E$109</definedName>
    <definedName name="Urun2">'Quotation Sheet'!$F$84:$F$109</definedName>
    <definedName name="Urun3">'Quotation Sheet'!$G$84:$G$109</definedName>
    <definedName name="Urun4">'Quotation Sheet'!$H$84:$H$109</definedName>
    <definedName name="Urun5">'Quotation Sheet'!$I$84:$I$109</definedName>
    <definedName name="Urun6">'Quotation Sheet'!$K$84:$K$109</definedName>
    <definedName name="VaraksızDoğrulamaListesi">'ÜRÜN ÖZELLİKLERİ'!$M$1:$M$6,'ÜRÜN ÖZELLİKLERİ'!$M$10:$M$24</definedName>
    <definedName name="_xlnm.Print_Area" localSheetId="7">'iş emri'!$B$1:$J$72</definedName>
    <definedName name="_xlnm.Print_Area" localSheetId="1">'iş emri (2)'!$B$1:$J$74</definedName>
    <definedName name="_xlnm.Print_Area" localSheetId="6">'Proforma Invoice'!$A$1:$K$122</definedName>
    <definedName name="_xlnm.Print_Area" localSheetId="3">'Quotation Sheet'!$A$1:$K$152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4" l="1"/>
  <c r="E20" i="7"/>
  <c r="C61" i="9"/>
  <c r="B51" i="9"/>
  <c r="I50" i="9"/>
  <c r="F58" i="9"/>
  <c r="C58" i="9"/>
  <c r="J18" i="9"/>
  <c r="K69" i="7"/>
  <c r="G69" i="7"/>
  <c r="H69" i="7"/>
  <c r="I69" i="7"/>
  <c r="F69" i="7"/>
  <c r="E69" i="7"/>
  <c r="E137" i="7" l="1"/>
  <c r="K70" i="7"/>
  <c r="I70" i="7"/>
  <c r="E70" i="7"/>
  <c r="F70" i="7"/>
  <c r="G70" i="7"/>
  <c r="H70" i="7"/>
  <c r="K15" i="7"/>
  <c r="K14" i="7"/>
  <c r="K82" i="7"/>
  <c r="I82" i="7"/>
  <c r="H82" i="7"/>
  <c r="G82" i="7"/>
  <c r="E82" i="7"/>
  <c r="F82" i="7"/>
  <c r="C3" i="1" l="1"/>
  <c r="I52" i="9"/>
  <c r="I48" i="9"/>
  <c r="E61" i="9"/>
  <c r="C59" i="9"/>
  <c r="C38" i="9"/>
  <c r="G38" i="9"/>
  <c r="G37" i="9"/>
  <c r="C27" i="9"/>
  <c r="B27" i="9"/>
  <c r="D23" i="9"/>
  <c r="C16" i="9"/>
  <c r="E37" i="9"/>
  <c r="B39" i="9"/>
  <c r="B38" i="9"/>
  <c r="B37" i="9"/>
  <c r="C32" i="9"/>
  <c r="C19" i="9"/>
  <c r="C14" i="9"/>
  <c r="C15" i="9"/>
  <c r="C13" i="9"/>
  <c r="H4" i="9"/>
  <c r="H3" i="9"/>
  <c r="K68" i="14" l="1"/>
  <c r="I68" i="14"/>
  <c r="I31" i="9"/>
  <c r="H31" i="9"/>
  <c r="G31" i="9"/>
  <c r="F31" i="9"/>
  <c r="E31" i="9"/>
  <c r="J28" i="9"/>
  <c r="I28" i="9"/>
  <c r="H28" i="9"/>
  <c r="G28" i="9"/>
  <c r="F28" i="9"/>
  <c r="E28" i="9"/>
  <c r="F68" i="7"/>
  <c r="E69" i="14"/>
  <c r="K78" i="7"/>
  <c r="I78" i="7"/>
  <c r="H78" i="7"/>
  <c r="H78" i="14" s="1"/>
  <c r="G78" i="7"/>
  <c r="F78" i="7"/>
  <c r="E78" i="7"/>
  <c r="E78" i="14" s="1"/>
  <c r="K77" i="7"/>
  <c r="I77" i="7"/>
  <c r="I77" i="14" s="1"/>
  <c r="H77" i="7"/>
  <c r="H77" i="14" s="1"/>
  <c r="G77" i="7"/>
  <c r="F77" i="7"/>
  <c r="E77" i="7"/>
  <c r="E77" i="14" s="1"/>
  <c r="K71" i="7"/>
  <c r="K71" i="14" s="1"/>
  <c r="I71" i="7"/>
  <c r="I71" i="14" s="1"/>
  <c r="H71" i="7"/>
  <c r="H71" i="14" s="1"/>
  <c r="G71" i="7"/>
  <c r="F71" i="7"/>
  <c r="E71" i="7"/>
  <c r="K74" i="7"/>
  <c r="K74" i="14" s="1"/>
  <c r="I74" i="7"/>
  <c r="I74" i="14" s="1"/>
  <c r="H74" i="7"/>
  <c r="H74" i="14" s="1"/>
  <c r="G74" i="7"/>
  <c r="F74" i="7"/>
  <c r="E74" i="7"/>
  <c r="K73" i="7"/>
  <c r="I73" i="7"/>
  <c r="I73" i="14" s="1"/>
  <c r="H73" i="7"/>
  <c r="H73" i="14" s="1"/>
  <c r="G73" i="7"/>
  <c r="F73" i="7"/>
  <c r="E73" i="7"/>
  <c r="E73" i="14" s="1"/>
  <c r="E69" i="18"/>
  <c r="F69" i="18" s="1"/>
  <c r="C69" i="18"/>
  <c r="E68" i="18"/>
  <c r="F68" i="18" s="1"/>
  <c r="C68" i="18"/>
  <c r="E67" i="18"/>
  <c r="F67" i="18" s="1"/>
  <c r="C67" i="18"/>
  <c r="E66" i="18"/>
  <c r="F66" i="18" s="1"/>
  <c r="C66" i="18"/>
  <c r="E65" i="18"/>
  <c r="F65" i="18" s="1"/>
  <c r="C65" i="18"/>
  <c r="E64" i="18"/>
  <c r="F64" i="18" s="1"/>
  <c r="C64" i="18"/>
  <c r="E63" i="18"/>
  <c r="F63" i="18" s="1"/>
  <c r="C63" i="18"/>
  <c r="E62" i="18"/>
  <c r="F62" i="18" s="1"/>
  <c r="C62" i="18"/>
  <c r="E61" i="18"/>
  <c r="F61" i="18" s="1"/>
  <c r="C61" i="18"/>
  <c r="E60" i="18"/>
  <c r="F60" i="18" s="1"/>
  <c r="C60" i="18"/>
  <c r="E59" i="18"/>
  <c r="F59" i="18" s="1"/>
  <c r="C59" i="18"/>
  <c r="E58" i="18"/>
  <c r="F58" i="18" s="1"/>
  <c r="C58" i="18"/>
  <c r="E57" i="18"/>
  <c r="F57" i="18" s="1"/>
  <c r="C57" i="18"/>
  <c r="E56" i="18"/>
  <c r="F56" i="18" s="1"/>
  <c r="C56" i="18"/>
  <c r="E55" i="18"/>
  <c r="F55" i="18" s="1"/>
  <c r="C55" i="18"/>
  <c r="E54" i="18"/>
  <c r="F54" i="18" s="1"/>
  <c r="C54" i="18"/>
  <c r="E53" i="18"/>
  <c r="F53" i="18" s="1"/>
  <c r="C53" i="18"/>
  <c r="E52" i="18"/>
  <c r="F52" i="18" s="1"/>
  <c r="C52" i="18"/>
  <c r="E51" i="18"/>
  <c r="F51" i="18" s="1"/>
  <c r="C51" i="18"/>
  <c r="E50" i="18"/>
  <c r="F50" i="18" s="1"/>
  <c r="C50" i="18"/>
  <c r="E49" i="18"/>
  <c r="F49" i="18" s="1"/>
  <c r="C49" i="18"/>
  <c r="E48" i="18"/>
  <c r="F48" i="18" s="1"/>
  <c r="C48" i="18"/>
  <c r="E47" i="18"/>
  <c r="F47" i="18" s="1"/>
  <c r="C47" i="18"/>
  <c r="E46" i="18"/>
  <c r="F46" i="18" s="1"/>
  <c r="C46" i="18"/>
  <c r="E45" i="18"/>
  <c r="F45" i="18" s="1"/>
  <c r="C45" i="18"/>
  <c r="E44" i="18"/>
  <c r="F44" i="18" s="1"/>
  <c r="C44" i="18"/>
  <c r="E43" i="18"/>
  <c r="F43" i="18" s="1"/>
  <c r="C43" i="18"/>
  <c r="E42" i="18"/>
  <c r="F42" i="18" s="1"/>
  <c r="C42" i="18"/>
  <c r="E41" i="18"/>
  <c r="F41" i="18" s="1"/>
  <c r="C41" i="18"/>
  <c r="E40" i="18"/>
  <c r="F40" i="18" s="1"/>
  <c r="C40" i="18"/>
  <c r="E39" i="18"/>
  <c r="F39" i="18" s="1"/>
  <c r="C39" i="18"/>
  <c r="E38" i="18"/>
  <c r="F38" i="18" s="1"/>
  <c r="C38" i="18"/>
  <c r="E37" i="18"/>
  <c r="F37" i="18" s="1"/>
  <c r="C37" i="18"/>
  <c r="E36" i="18"/>
  <c r="F36" i="18" s="1"/>
  <c r="C36" i="18"/>
  <c r="E35" i="18"/>
  <c r="F35" i="18" s="1"/>
  <c r="C35" i="18"/>
  <c r="E34" i="18"/>
  <c r="F34" i="18" s="1"/>
  <c r="C34" i="18"/>
  <c r="E33" i="18"/>
  <c r="F33" i="18" s="1"/>
  <c r="C33" i="18"/>
  <c r="E32" i="18"/>
  <c r="F32" i="18" s="1"/>
  <c r="C32" i="18"/>
  <c r="E31" i="18"/>
  <c r="F31" i="18" s="1"/>
  <c r="C31" i="18"/>
  <c r="E30" i="18"/>
  <c r="F30" i="18" s="1"/>
  <c r="C30" i="18"/>
  <c r="E29" i="18"/>
  <c r="F29" i="18" s="1"/>
  <c r="C29" i="18"/>
  <c r="E28" i="18"/>
  <c r="F28" i="18" s="1"/>
  <c r="C28" i="18"/>
  <c r="E27" i="18"/>
  <c r="F27" i="18" s="1"/>
  <c r="C27" i="18"/>
  <c r="E26" i="18"/>
  <c r="F26" i="18" s="1"/>
  <c r="C26" i="18"/>
  <c r="E25" i="18"/>
  <c r="F25" i="18" s="1"/>
  <c r="C25" i="18"/>
  <c r="E24" i="18"/>
  <c r="F24" i="18" s="1"/>
  <c r="C24" i="18"/>
  <c r="E23" i="18"/>
  <c r="F23" i="18" s="1"/>
  <c r="C23" i="18"/>
  <c r="E22" i="18"/>
  <c r="F22" i="18" s="1"/>
  <c r="C22" i="18"/>
  <c r="E21" i="18"/>
  <c r="F21" i="18" s="1"/>
  <c r="C21" i="18"/>
  <c r="E20" i="18"/>
  <c r="F20" i="18" s="1"/>
  <c r="C20" i="18"/>
  <c r="E19" i="18"/>
  <c r="F19" i="18" s="1"/>
  <c r="C19" i="18"/>
  <c r="E18" i="18"/>
  <c r="F18" i="18" s="1"/>
  <c r="C18" i="18"/>
  <c r="E17" i="18"/>
  <c r="C17" i="18"/>
  <c r="E16" i="18"/>
  <c r="C16" i="18"/>
  <c r="E15" i="18"/>
  <c r="C15" i="18"/>
  <c r="E14" i="18"/>
  <c r="C14" i="18"/>
  <c r="E13" i="18"/>
  <c r="C13" i="18"/>
  <c r="E12" i="18"/>
  <c r="C12" i="18"/>
  <c r="E11" i="18"/>
  <c r="C11" i="18"/>
  <c r="E10" i="18"/>
  <c r="C10" i="18"/>
  <c r="E9" i="18"/>
  <c r="C9" i="18"/>
  <c r="E8" i="18"/>
  <c r="C8" i="18"/>
  <c r="E7" i="18"/>
  <c r="C7" i="18"/>
  <c r="E6" i="18"/>
  <c r="C6" i="18"/>
  <c r="E5" i="18"/>
  <c r="F5" i="18" s="1"/>
  <c r="C5" i="18"/>
  <c r="E4" i="18"/>
  <c r="F4" i="18" s="1"/>
  <c r="C4" i="18"/>
  <c r="E3" i="18"/>
  <c r="F3" i="18" s="1"/>
  <c r="C3" i="18"/>
  <c r="E2" i="18"/>
  <c r="F2" i="18" s="1"/>
  <c r="C2" i="18"/>
  <c r="H1" i="18"/>
  <c r="AP151" i="17"/>
  <c r="AH151" i="17"/>
  <c r="Z151" i="17"/>
  <c r="R151" i="17"/>
  <c r="J151" i="17"/>
  <c r="B151" i="17"/>
  <c r="AP150" i="17"/>
  <c r="AH150" i="17"/>
  <c r="Z150" i="17"/>
  <c r="R150" i="17"/>
  <c r="J150" i="17"/>
  <c r="B150" i="17"/>
  <c r="AP149" i="17"/>
  <c r="AH149" i="17"/>
  <c r="Z149" i="17"/>
  <c r="R149" i="17"/>
  <c r="J149" i="17"/>
  <c r="B149" i="17"/>
  <c r="AP148" i="17"/>
  <c r="AH148" i="17"/>
  <c r="Z148" i="17"/>
  <c r="R148" i="17"/>
  <c r="J148" i="17"/>
  <c r="B148" i="17"/>
  <c r="AP147" i="17"/>
  <c r="AH147" i="17"/>
  <c r="Z147" i="17"/>
  <c r="R147" i="17"/>
  <c r="J147" i="17"/>
  <c r="B147" i="17"/>
  <c r="AP146" i="17"/>
  <c r="AH146" i="17"/>
  <c r="Z146" i="17"/>
  <c r="R146" i="17"/>
  <c r="J146" i="17"/>
  <c r="B146" i="17"/>
  <c r="AP145" i="17"/>
  <c r="AH145" i="17"/>
  <c r="Z145" i="17"/>
  <c r="R145" i="17"/>
  <c r="J145" i="17"/>
  <c r="B145" i="17"/>
  <c r="AP144" i="17"/>
  <c r="AH144" i="17"/>
  <c r="Z144" i="17"/>
  <c r="R144" i="17"/>
  <c r="J144" i="17"/>
  <c r="B144" i="17"/>
  <c r="AP143" i="17"/>
  <c r="AH143" i="17"/>
  <c r="Z143" i="17"/>
  <c r="R143" i="17"/>
  <c r="J143" i="17"/>
  <c r="B143" i="17"/>
  <c r="AP142" i="17"/>
  <c r="AH142" i="17"/>
  <c r="Z142" i="17"/>
  <c r="R142" i="17"/>
  <c r="J142" i="17"/>
  <c r="B142" i="17"/>
  <c r="AP141" i="17"/>
  <c r="AH141" i="17"/>
  <c r="Z141" i="17"/>
  <c r="R141" i="17"/>
  <c r="J141" i="17"/>
  <c r="B141" i="17"/>
  <c r="AP140" i="17"/>
  <c r="AH140" i="17"/>
  <c r="Z140" i="17"/>
  <c r="R140" i="17"/>
  <c r="J140" i="17"/>
  <c r="B140" i="17"/>
  <c r="AP139" i="17"/>
  <c r="AH139" i="17"/>
  <c r="Z139" i="17"/>
  <c r="R139" i="17"/>
  <c r="J139" i="17"/>
  <c r="B139" i="17"/>
  <c r="AP138" i="17"/>
  <c r="AH138" i="17"/>
  <c r="Z138" i="17"/>
  <c r="R138" i="17"/>
  <c r="J138" i="17"/>
  <c r="B138" i="17"/>
  <c r="AP137" i="17"/>
  <c r="AH137" i="17"/>
  <c r="Z137" i="17"/>
  <c r="R137" i="17"/>
  <c r="J137" i="17"/>
  <c r="B137" i="17"/>
  <c r="AP136" i="17"/>
  <c r="AH136" i="17"/>
  <c r="Z136" i="17"/>
  <c r="R136" i="17"/>
  <c r="J136" i="17"/>
  <c r="B136" i="17"/>
  <c r="AP135" i="17"/>
  <c r="AH135" i="17"/>
  <c r="Z135" i="17"/>
  <c r="R135" i="17"/>
  <c r="J135" i="17"/>
  <c r="B135" i="17"/>
  <c r="AP134" i="17"/>
  <c r="AH134" i="17"/>
  <c r="Z134" i="17"/>
  <c r="R134" i="17"/>
  <c r="J134" i="17"/>
  <c r="B134" i="17"/>
  <c r="AP133" i="17"/>
  <c r="AH133" i="17"/>
  <c r="Z133" i="17"/>
  <c r="R133" i="17"/>
  <c r="J133" i="17"/>
  <c r="B133" i="17"/>
  <c r="AP132" i="17"/>
  <c r="AH132" i="17"/>
  <c r="Z132" i="17"/>
  <c r="R132" i="17"/>
  <c r="J132" i="17"/>
  <c r="B132" i="17"/>
  <c r="AP131" i="17"/>
  <c r="AH131" i="17"/>
  <c r="Z131" i="17"/>
  <c r="R131" i="17"/>
  <c r="J131" i="17"/>
  <c r="B131" i="17"/>
  <c r="AP130" i="17"/>
  <c r="AH130" i="17"/>
  <c r="Z130" i="17"/>
  <c r="R130" i="17"/>
  <c r="J130" i="17"/>
  <c r="B130" i="17"/>
  <c r="AP129" i="17"/>
  <c r="AH129" i="17"/>
  <c r="Z129" i="17"/>
  <c r="R129" i="17"/>
  <c r="J129" i="17"/>
  <c r="B129" i="17"/>
  <c r="AP128" i="17"/>
  <c r="AH128" i="17"/>
  <c r="Z128" i="17"/>
  <c r="R128" i="17"/>
  <c r="J128" i="17"/>
  <c r="B128" i="17"/>
  <c r="AP127" i="17"/>
  <c r="AH127" i="17"/>
  <c r="Z127" i="17"/>
  <c r="R127" i="17"/>
  <c r="J127" i="17"/>
  <c r="B127" i="17"/>
  <c r="AP126" i="17"/>
  <c r="AH126" i="17"/>
  <c r="Z126" i="17"/>
  <c r="R126" i="17"/>
  <c r="J126" i="17"/>
  <c r="B126" i="17"/>
  <c r="AP125" i="17"/>
  <c r="AH125" i="17"/>
  <c r="Z125" i="17"/>
  <c r="R125" i="17"/>
  <c r="J125" i="17"/>
  <c r="B125" i="17"/>
  <c r="AP124" i="17"/>
  <c r="AH124" i="17"/>
  <c r="Z124" i="17"/>
  <c r="R124" i="17"/>
  <c r="J124" i="17"/>
  <c r="B124" i="17"/>
  <c r="AP123" i="17"/>
  <c r="AH123" i="17"/>
  <c r="Z123" i="17"/>
  <c r="R123" i="17"/>
  <c r="J123" i="17"/>
  <c r="B123" i="17"/>
  <c r="AP122" i="17"/>
  <c r="AH122" i="17"/>
  <c r="Z122" i="17"/>
  <c r="R122" i="17"/>
  <c r="J122" i="17"/>
  <c r="B122" i="17"/>
  <c r="AP121" i="17"/>
  <c r="AH121" i="17"/>
  <c r="Z121" i="17"/>
  <c r="R121" i="17"/>
  <c r="J121" i="17"/>
  <c r="B121" i="17"/>
  <c r="AP120" i="17"/>
  <c r="AH120" i="17"/>
  <c r="Z120" i="17"/>
  <c r="R120" i="17"/>
  <c r="J120" i="17"/>
  <c r="B120" i="17"/>
  <c r="AP119" i="17"/>
  <c r="AH119" i="17"/>
  <c r="Z119" i="17"/>
  <c r="R119" i="17"/>
  <c r="J119" i="17"/>
  <c r="B119" i="17"/>
  <c r="AP118" i="17"/>
  <c r="AH118" i="17"/>
  <c r="Z118" i="17"/>
  <c r="R118" i="17"/>
  <c r="J118" i="17"/>
  <c r="B118" i="17"/>
  <c r="AP117" i="17"/>
  <c r="AH117" i="17"/>
  <c r="Z117" i="17"/>
  <c r="R117" i="17"/>
  <c r="J117" i="17"/>
  <c r="B117" i="17"/>
  <c r="AP116" i="17"/>
  <c r="AH116" i="17"/>
  <c r="Z116" i="17"/>
  <c r="R116" i="17"/>
  <c r="J116" i="17"/>
  <c r="B116" i="17"/>
  <c r="AP115" i="17"/>
  <c r="AH115" i="17"/>
  <c r="Z115" i="17"/>
  <c r="R115" i="17"/>
  <c r="J115" i="17"/>
  <c r="B115" i="17"/>
  <c r="AP114" i="17"/>
  <c r="AH114" i="17"/>
  <c r="Z114" i="17"/>
  <c r="R114" i="17"/>
  <c r="J114" i="17"/>
  <c r="B114" i="17"/>
  <c r="AP113" i="17"/>
  <c r="AH113" i="17"/>
  <c r="Z113" i="17"/>
  <c r="R113" i="17"/>
  <c r="J113" i="17"/>
  <c r="B113" i="17"/>
  <c r="AP112" i="17"/>
  <c r="AH112" i="17"/>
  <c r="Z112" i="17"/>
  <c r="R112" i="17"/>
  <c r="J112" i="17"/>
  <c r="B112" i="17"/>
  <c r="AP111" i="17"/>
  <c r="AH111" i="17"/>
  <c r="Z111" i="17"/>
  <c r="R111" i="17"/>
  <c r="J111" i="17"/>
  <c r="B111" i="17"/>
  <c r="AP110" i="17"/>
  <c r="AH110" i="17"/>
  <c r="Z110" i="17"/>
  <c r="R110" i="17"/>
  <c r="J110" i="17"/>
  <c r="B110" i="17"/>
  <c r="AP109" i="17"/>
  <c r="AH109" i="17"/>
  <c r="Z109" i="17"/>
  <c r="R109" i="17"/>
  <c r="J109" i="17"/>
  <c r="B109" i="17"/>
  <c r="AP108" i="17"/>
  <c r="AH108" i="17"/>
  <c r="Z108" i="17"/>
  <c r="R108" i="17"/>
  <c r="J108" i="17"/>
  <c r="B108" i="17"/>
  <c r="AP107" i="17"/>
  <c r="AH107" i="17"/>
  <c r="Z107" i="17"/>
  <c r="R107" i="17"/>
  <c r="J107" i="17"/>
  <c r="B107" i="17"/>
  <c r="AP106" i="17"/>
  <c r="AH106" i="17"/>
  <c r="Z106" i="17"/>
  <c r="R106" i="17"/>
  <c r="J106" i="17"/>
  <c r="B106" i="17"/>
  <c r="AP105" i="17"/>
  <c r="AH105" i="17"/>
  <c r="Z105" i="17"/>
  <c r="R105" i="17"/>
  <c r="J105" i="17"/>
  <c r="B105" i="17"/>
  <c r="AP104" i="17"/>
  <c r="AH104" i="17"/>
  <c r="Z104" i="17"/>
  <c r="R104" i="17"/>
  <c r="J104" i="17"/>
  <c r="B104" i="17"/>
  <c r="AP103" i="17"/>
  <c r="AH103" i="17"/>
  <c r="Z103" i="17"/>
  <c r="R103" i="17"/>
  <c r="J103" i="17"/>
  <c r="B103" i="17"/>
  <c r="AP102" i="17"/>
  <c r="AH102" i="17"/>
  <c r="Z102" i="17"/>
  <c r="R102" i="17"/>
  <c r="J102" i="17"/>
  <c r="B102" i="17"/>
  <c r="AP101" i="17"/>
  <c r="AH101" i="17"/>
  <c r="Z101" i="17"/>
  <c r="R101" i="17"/>
  <c r="J101" i="17"/>
  <c r="B101" i="17"/>
  <c r="AP100" i="17"/>
  <c r="AH100" i="17"/>
  <c r="Z100" i="17"/>
  <c r="R100" i="17"/>
  <c r="J100" i="17"/>
  <c r="B100" i="17"/>
  <c r="AP99" i="17"/>
  <c r="AH99" i="17"/>
  <c r="Z99" i="17"/>
  <c r="R99" i="17"/>
  <c r="J99" i="17"/>
  <c r="B99" i="17"/>
  <c r="AP98" i="17"/>
  <c r="AH98" i="17"/>
  <c r="Z98" i="17"/>
  <c r="R98" i="17"/>
  <c r="J98" i="17"/>
  <c r="B98" i="17"/>
  <c r="AP97" i="17"/>
  <c r="AH97" i="17"/>
  <c r="Z97" i="17"/>
  <c r="R97" i="17"/>
  <c r="J97" i="17"/>
  <c r="B97" i="17"/>
  <c r="AP96" i="17"/>
  <c r="AH96" i="17"/>
  <c r="Z96" i="17"/>
  <c r="R96" i="17"/>
  <c r="J96" i="17"/>
  <c r="B96" i="17"/>
  <c r="AP95" i="17"/>
  <c r="AH95" i="17"/>
  <c r="Z95" i="17"/>
  <c r="R95" i="17"/>
  <c r="J95" i="17"/>
  <c r="B95" i="17"/>
  <c r="AP94" i="17"/>
  <c r="AH94" i="17"/>
  <c r="Z94" i="17"/>
  <c r="R94" i="17"/>
  <c r="J94" i="17"/>
  <c r="B94" i="17"/>
  <c r="AP93" i="17"/>
  <c r="AH93" i="17"/>
  <c r="Z93" i="17"/>
  <c r="R93" i="17"/>
  <c r="J93" i="17"/>
  <c r="B93" i="17"/>
  <c r="AP92" i="17"/>
  <c r="AH92" i="17"/>
  <c r="Z92" i="17"/>
  <c r="R92" i="17"/>
  <c r="J92" i="17"/>
  <c r="B92" i="17"/>
  <c r="AP91" i="17"/>
  <c r="AH91" i="17"/>
  <c r="Z91" i="17"/>
  <c r="R91" i="17"/>
  <c r="J91" i="17"/>
  <c r="B91" i="17"/>
  <c r="AP90" i="17"/>
  <c r="AH90" i="17"/>
  <c r="Z90" i="17"/>
  <c r="R90" i="17"/>
  <c r="J90" i="17"/>
  <c r="B90" i="17"/>
  <c r="AP89" i="17"/>
  <c r="AH89" i="17"/>
  <c r="Z89" i="17"/>
  <c r="R89" i="17"/>
  <c r="J89" i="17"/>
  <c r="B89" i="17"/>
  <c r="AP88" i="17"/>
  <c r="AH88" i="17"/>
  <c r="Z88" i="17"/>
  <c r="R88" i="17"/>
  <c r="J88" i="17"/>
  <c r="B88" i="17"/>
  <c r="AP87" i="17"/>
  <c r="AH87" i="17"/>
  <c r="Z87" i="17"/>
  <c r="R87" i="17"/>
  <c r="J87" i="17"/>
  <c r="B87" i="17"/>
  <c r="AP86" i="17"/>
  <c r="AH86" i="17"/>
  <c r="Z86" i="17"/>
  <c r="R86" i="17"/>
  <c r="J86" i="17"/>
  <c r="B86" i="17"/>
  <c r="AP85" i="17"/>
  <c r="AH85" i="17"/>
  <c r="Z85" i="17"/>
  <c r="R85" i="17"/>
  <c r="J85" i="17"/>
  <c r="B85" i="17"/>
  <c r="AP84" i="17"/>
  <c r="AH84" i="17"/>
  <c r="Z84" i="17"/>
  <c r="R84" i="17"/>
  <c r="J84" i="17"/>
  <c r="B84" i="17"/>
  <c r="AP83" i="17"/>
  <c r="AH83" i="17"/>
  <c r="Z83" i="17"/>
  <c r="R83" i="17"/>
  <c r="J83" i="17"/>
  <c r="B83" i="17"/>
  <c r="AP82" i="17"/>
  <c r="AH82" i="17"/>
  <c r="Z82" i="17"/>
  <c r="R82" i="17"/>
  <c r="J82" i="17"/>
  <c r="B82" i="17"/>
  <c r="AP81" i="17"/>
  <c r="AH81" i="17"/>
  <c r="Z81" i="17"/>
  <c r="R81" i="17"/>
  <c r="J81" i="17"/>
  <c r="B81" i="17"/>
  <c r="AP80" i="17"/>
  <c r="AH80" i="17"/>
  <c r="Z80" i="17"/>
  <c r="R80" i="17"/>
  <c r="J80" i="17"/>
  <c r="B80" i="17"/>
  <c r="AP79" i="17"/>
  <c r="AH79" i="17"/>
  <c r="Z79" i="17"/>
  <c r="R79" i="17"/>
  <c r="J79" i="17"/>
  <c r="B79" i="17"/>
  <c r="AP78" i="17"/>
  <c r="AH78" i="17"/>
  <c r="Z78" i="17"/>
  <c r="R78" i="17"/>
  <c r="J78" i="17"/>
  <c r="B78" i="17"/>
  <c r="AP77" i="17"/>
  <c r="AH77" i="17"/>
  <c r="Z77" i="17"/>
  <c r="R77" i="17"/>
  <c r="J77" i="17"/>
  <c r="B77" i="17"/>
  <c r="AP76" i="17"/>
  <c r="AH76" i="17"/>
  <c r="Z76" i="17"/>
  <c r="R76" i="17"/>
  <c r="J76" i="17"/>
  <c r="B76" i="17"/>
  <c r="AP75" i="17"/>
  <c r="AH75" i="17"/>
  <c r="Z75" i="17"/>
  <c r="R75" i="17"/>
  <c r="J75" i="17"/>
  <c r="B75" i="17"/>
  <c r="AP74" i="17"/>
  <c r="AH74" i="17"/>
  <c r="Z74" i="17"/>
  <c r="R74" i="17"/>
  <c r="J74" i="17"/>
  <c r="B74" i="17"/>
  <c r="AP73" i="17"/>
  <c r="AH73" i="17"/>
  <c r="Z73" i="17"/>
  <c r="R73" i="17"/>
  <c r="J73" i="17"/>
  <c r="B73" i="17"/>
  <c r="AP72" i="17"/>
  <c r="AH72" i="17"/>
  <c r="Z72" i="17"/>
  <c r="R72" i="17"/>
  <c r="J72" i="17"/>
  <c r="B72" i="17"/>
  <c r="AP71" i="17"/>
  <c r="AH71" i="17"/>
  <c r="Z71" i="17"/>
  <c r="R71" i="17"/>
  <c r="J71" i="17"/>
  <c r="B71" i="17"/>
  <c r="AP70" i="17"/>
  <c r="AH70" i="17"/>
  <c r="Z70" i="17"/>
  <c r="R70" i="17"/>
  <c r="J70" i="17"/>
  <c r="B70" i="17"/>
  <c r="AP69" i="17"/>
  <c r="AH69" i="17"/>
  <c r="Z69" i="17"/>
  <c r="R69" i="17"/>
  <c r="J69" i="17"/>
  <c r="B69" i="17"/>
  <c r="AP68" i="17"/>
  <c r="AH68" i="17"/>
  <c r="Z68" i="17"/>
  <c r="R68" i="17"/>
  <c r="J68" i="17"/>
  <c r="B68" i="17"/>
  <c r="AP67" i="17"/>
  <c r="AH67" i="17"/>
  <c r="Z67" i="17"/>
  <c r="R67" i="17"/>
  <c r="J67" i="17"/>
  <c r="B67" i="17"/>
  <c r="AP66" i="17"/>
  <c r="AH66" i="17"/>
  <c r="Z66" i="17"/>
  <c r="R66" i="17"/>
  <c r="J66" i="17"/>
  <c r="B66" i="17"/>
  <c r="AP65" i="17"/>
  <c r="AH65" i="17"/>
  <c r="Z65" i="17"/>
  <c r="R65" i="17"/>
  <c r="J65" i="17"/>
  <c r="B65" i="17"/>
  <c r="AP64" i="17"/>
  <c r="AH64" i="17"/>
  <c r="Z64" i="17"/>
  <c r="R64" i="17"/>
  <c r="J64" i="17"/>
  <c r="B64" i="17"/>
  <c r="AP63" i="17"/>
  <c r="AH63" i="17"/>
  <c r="Z63" i="17"/>
  <c r="R63" i="17"/>
  <c r="J63" i="17"/>
  <c r="B63" i="17"/>
  <c r="AP62" i="17"/>
  <c r="AH62" i="17"/>
  <c r="Z62" i="17"/>
  <c r="R62" i="17"/>
  <c r="J62" i="17"/>
  <c r="B62" i="17"/>
  <c r="AP61" i="17"/>
  <c r="AH61" i="17"/>
  <c r="Z61" i="17"/>
  <c r="R61" i="17"/>
  <c r="J61" i="17"/>
  <c r="B61" i="17"/>
  <c r="AP60" i="17"/>
  <c r="AH60" i="17"/>
  <c r="Z60" i="17"/>
  <c r="R60" i="17"/>
  <c r="J60" i="17"/>
  <c r="B60" i="17"/>
  <c r="AP59" i="17"/>
  <c r="AH59" i="17"/>
  <c r="Z59" i="17"/>
  <c r="R59" i="17"/>
  <c r="J59" i="17"/>
  <c r="B59" i="17"/>
  <c r="AP58" i="17"/>
  <c r="AH58" i="17"/>
  <c r="Z58" i="17"/>
  <c r="R58" i="17"/>
  <c r="J58" i="17"/>
  <c r="B58" i="17"/>
  <c r="AP57" i="17"/>
  <c r="AH57" i="17"/>
  <c r="Z57" i="17"/>
  <c r="R57" i="17"/>
  <c r="J57" i="17"/>
  <c r="B57" i="17"/>
  <c r="AP56" i="17"/>
  <c r="AH56" i="17"/>
  <c r="Z56" i="17"/>
  <c r="R56" i="17"/>
  <c r="J56" i="17"/>
  <c r="B56" i="17"/>
  <c r="AP55" i="17"/>
  <c r="AH55" i="17"/>
  <c r="Z55" i="17"/>
  <c r="R55" i="17"/>
  <c r="J55" i="17"/>
  <c r="B55" i="17"/>
  <c r="AP54" i="17"/>
  <c r="AH54" i="17"/>
  <c r="Z54" i="17"/>
  <c r="R54" i="17"/>
  <c r="J54" i="17"/>
  <c r="B54" i="17"/>
  <c r="AP53" i="17"/>
  <c r="AH53" i="17"/>
  <c r="Z53" i="17"/>
  <c r="R53" i="17"/>
  <c r="J53" i="17"/>
  <c r="B53" i="17"/>
  <c r="AP52" i="17"/>
  <c r="AH52" i="17"/>
  <c r="Z52" i="17"/>
  <c r="R52" i="17"/>
  <c r="J52" i="17"/>
  <c r="B52" i="17"/>
  <c r="AP51" i="17"/>
  <c r="AH51" i="17"/>
  <c r="Z51" i="17"/>
  <c r="R51" i="17"/>
  <c r="J51" i="17"/>
  <c r="B51" i="17"/>
  <c r="AP50" i="17"/>
  <c r="AH50" i="17"/>
  <c r="Z50" i="17"/>
  <c r="R50" i="17"/>
  <c r="J50" i="17"/>
  <c r="B50" i="17"/>
  <c r="AP49" i="17"/>
  <c r="AH49" i="17"/>
  <c r="Z49" i="17"/>
  <c r="R49" i="17"/>
  <c r="J49" i="17"/>
  <c r="B49" i="17"/>
  <c r="AP48" i="17"/>
  <c r="AH48" i="17"/>
  <c r="Z48" i="17"/>
  <c r="R48" i="17"/>
  <c r="J48" i="17"/>
  <c r="B48" i="17"/>
  <c r="AP47" i="17"/>
  <c r="AH47" i="17"/>
  <c r="Z47" i="17"/>
  <c r="R47" i="17"/>
  <c r="J47" i="17"/>
  <c r="B47" i="17"/>
  <c r="AP46" i="17"/>
  <c r="AH46" i="17"/>
  <c r="Z46" i="17"/>
  <c r="R46" i="17"/>
  <c r="J46" i="17"/>
  <c r="B46" i="17"/>
  <c r="AP45" i="17"/>
  <c r="AH45" i="17"/>
  <c r="Z45" i="17"/>
  <c r="R45" i="17"/>
  <c r="J45" i="17"/>
  <c r="B45" i="17"/>
  <c r="AP44" i="17"/>
  <c r="AH44" i="17"/>
  <c r="Z44" i="17"/>
  <c r="R44" i="17"/>
  <c r="J44" i="17"/>
  <c r="B44" i="17"/>
  <c r="AP43" i="17"/>
  <c r="AH43" i="17"/>
  <c r="Z43" i="17"/>
  <c r="R43" i="17"/>
  <c r="J43" i="17"/>
  <c r="B43" i="17"/>
  <c r="AP42" i="17"/>
  <c r="AH42" i="17"/>
  <c r="Z42" i="17"/>
  <c r="R42" i="17"/>
  <c r="J42" i="17"/>
  <c r="B42" i="17"/>
  <c r="AP41" i="17"/>
  <c r="AH41" i="17"/>
  <c r="Z41" i="17"/>
  <c r="R41" i="17"/>
  <c r="J41" i="17"/>
  <c r="B41" i="17"/>
  <c r="AP40" i="17"/>
  <c r="AH40" i="17"/>
  <c r="Z40" i="17"/>
  <c r="R40" i="17"/>
  <c r="J40" i="17"/>
  <c r="B40" i="17"/>
  <c r="AP39" i="17"/>
  <c r="AH39" i="17"/>
  <c r="Z39" i="17"/>
  <c r="R39" i="17"/>
  <c r="J39" i="17"/>
  <c r="B39" i="17"/>
  <c r="AP38" i="17"/>
  <c r="AH38" i="17"/>
  <c r="Z38" i="17"/>
  <c r="R38" i="17"/>
  <c r="J38" i="17"/>
  <c r="B38" i="17"/>
  <c r="AP37" i="17"/>
  <c r="AH37" i="17"/>
  <c r="Z37" i="17"/>
  <c r="R37" i="17"/>
  <c r="J37" i="17"/>
  <c r="B37" i="17"/>
  <c r="AP36" i="17"/>
  <c r="AH36" i="17"/>
  <c r="Z36" i="17"/>
  <c r="R36" i="17"/>
  <c r="J36" i="17"/>
  <c r="B36" i="17"/>
  <c r="AP35" i="17"/>
  <c r="AH35" i="17"/>
  <c r="Z35" i="17"/>
  <c r="R35" i="17"/>
  <c r="J35" i="17"/>
  <c r="B35" i="17"/>
  <c r="AP34" i="17"/>
  <c r="AH34" i="17"/>
  <c r="Z34" i="17"/>
  <c r="R34" i="17"/>
  <c r="J34" i="17"/>
  <c r="B34" i="17"/>
  <c r="AP33" i="17"/>
  <c r="AH33" i="17"/>
  <c r="Z33" i="17"/>
  <c r="R33" i="17"/>
  <c r="J33" i="17"/>
  <c r="B33" i="17"/>
  <c r="AP32" i="17"/>
  <c r="AH32" i="17"/>
  <c r="Z32" i="17"/>
  <c r="R32" i="17"/>
  <c r="J32" i="17"/>
  <c r="B32" i="17"/>
  <c r="AP31" i="17"/>
  <c r="AH31" i="17"/>
  <c r="Z31" i="17"/>
  <c r="R31" i="17"/>
  <c r="J31" i="17"/>
  <c r="B31" i="17"/>
  <c r="AP30" i="17"/>
  <c r="AH30" i="17"/>
  <c r="Z30" i="17"/>
  <c r="R30" i="17"/>
  <c r="J30" i="17"/>
  <c r="B30" i="17"/>
  <c r="AP29" i="17"/>
  <c r="AH29" i="17"/>
  <c r="Z29" i="17"/>
  <c r="R29" i="17"/>
  <c r="J29" i="17"/>
  <c r="B29" i="17"/>
  <c r="AP28" i="17"/>
  <c r="AH28" i="17"/>
  <c r="Z28" i="17"/>
  <c r="R28" i="17"/>
  <c r="J28" i="17"/>
  <c r="B28" i="17"/>
  <c r="AP27" i="17"/>
  <c r="AH27" i="17"/>
  <c r="Z27" i="17"/>
  <c r="R27" i="17"/>
  <c r="J27" i="17"/>
  <c r="B27" i="17"/>
  <c r="AP26" i="17"/>
  <c r="AH26" i="17"/>
  <c r="Z26" i="17"/>
  <c r="R26" i="17"/>
  <c r="J26" i="17"/>
  <c r="B26" i="17"/>
  <c r="AP25" i="17"/>
  <c r="AH25" i="17"/>
  <c r="Z25" i="17"/>
  <c r="R25" i="17"/>
  <c r="J25" i="17"/>
  <c r="B25" i="17"/>
  <c r="AP24" i="17"/>
  <c r="AH24" i="17"/>
  <c r="Z24" i="17"/>
  <c r="R24" i="17"/>
  <c r="J24" i="17"/>
  <c r="B24" i="17"/>
  <c r="AP23" i="17"/>
  <c r="AH23" i="17"/>
  <c r="Z23" i="17"/>
  <c r="R23" i="17"/>
  <c r="J23" i="17"/>
  <c r="B23" i="17"/>
  <c r="AP22" i="17"/>
  <c r="AH22" i="17"/>
  <c r="Z22" i="17"/>
  <c r="R22" i="17"/>
  <c r="J22" i="17"/>
  <c r="B22" i="17"/>
  <c r="AP21" i="17"/>
  <c r="AH21" i="17"/>
  <c r="Z21" i="17"/>
  <c r="R21" i="17"/>
  <c r="J21" i="17"/>
  <c r="B21" i="17"/>
  <c r="AP20" i="17"/>
  <c r="AH20" i="17"/>
  <c r="Z20" i="17"/>
  <c r="R20" i="17"/>
  <c r="J20" i="17"/>
  <c r="B20" i="17"/>
  <c r="AP19" i="17"/>
  <c r="AH19" i="17"/>
  <c r="Z19" i="17"/>
  <c r="R19" i="17"/>
  <c r="J19" i="17"/>
  <c r="B19" i="17"/>
  <c r="AP18" i="17"/>
  <c r="AH18" i="17"/>
  <c r="Z18" i="17"/>
  <c r="R18" i="17"/>
  <c r="J18" i="17"/>
  <c r="B18" i="17"/>
  <c r="AP17" i="17"/>
  <c r="AH17" i="17"/>
  <c r="Z17" i="17"/>
  <c r="R17" i="17"/>
  <c r="J17" i="17"/>
  <c r="B17" i="17"/>
  <c r="AP16" i="17"/>
  <c r="AH16" i="17"/>
  <c r="Z16" i="17"/>
  <c r="R16" i="17"/>
  <c r="J16" i="17"/>
  <c r="B16" i="17"/>
  <c r="AP15" i="17"/>
  <c r="AH15" i="17"/>
  <c r="Z15" i="17"/>
  <c r="R15" i="17"/>
  <c r="J15" i="17"/>
  <c r="B15" i="17"/>
  <c r="AP14" i="17"/>
  <c r="AH14" i="17"/>
  <c r="Z14" i="17"/>
  <c r="R14" i="17"/>
  <c r="J14" i="17"/>
  <c r="B14" i="17"/>
  <c r="AP13" i="17"/>
  <c r="AH13" i="17"/>
  <c r="Z13" i="17"/>
  <c r="R13" i="17"/>
  <c r="J13" i="17"/>
  <c r="B13" i="17"/>
  <c r="AP12" i="17"/>
  <c r="AH12" i="17"/>
  <c r="Z12" i="17"/>
  <c r="R12" i="17"/>
  <c r="J12" i="17"/>
  <c r="B12" i="17"/>
  <c r="AP11" i="17"/>
  <c r="AH11" i="17"/>
  <c r="Z11" i="17"/>
  <c r="R11" i="17"/>
  <c r="J11" i="17"/>
  <c r="B11" i="17"/>
  <c r="AP10" i="17"/>
  <c r="AH10" i="17"/>
  <c r="Z10" i="17"/>
  <c r="R10" i="17"/>
  <c r="J10" i="17"/>
  <c r="B10" i="17"/>
  <c r="AP9" i="17"/>
  <c r="AH9" i="17"/>
  <c r="Z9" i="17"/>
  <c r="R9" i="17"/>
  <c r="J9" i="17"/>
  <c r="B9" i="17"/>
  <c r="AP8" i="17"/>
  <c r="AH8" i="17"/>
  <c r="Z8" i="17"/>
  <c r="R8" i="17"/>
  <c r="J8" i="17"/>
  <c r="B8" i="17"/>
  <c r="AP7" i="17"/>
  <c r="AH7" i="17"/>
  <c r="Z7" i="17"/>
  <c r="R7" i="17"/>
  <c r="J7" i="17"/>
  <c r="B7" i="17"/>
  <c r="AP6" i="17"/>
  <c r="AH6" i="17"/>
  <c r="Z6" i="17"/>
  <c r="R6" i="17"/>
  <c r="J6" i="17"/>
  <c r="B6" i="17"/>
  <c r="AP5" i="17"/>
  <c r="AH5" i="17"/>
  <c r="Z5" i="17"/>
  <c r="R5" i="17"/>
  <c r="J5" i="17"/>
  <c r="B5" i="17"/>
  <c r="AP4" i="17"/>
  <c r="AH4" i="17"/>
  <c r="Z4" i="17"/>
  <c r="R4" i="17"/>
  <c r="J4" i="17"/>
  <c r="B4" i="17"/>
  <c r="AP3" i="17"/>
  <c r="AH3" i="17"/>
  <c r="Z3" i="17"/>
  <c r="R3" i="17"/>
  <c r="J3" i="17"/>
  <c r="B3" i="17"/>
  <c r="E3" i="17" s="1"/>
  <c r="AP2" i="17"/>
  <c r="AH2" i="17"/>
  <c r="Z2" i="17"/>
  <c r="R2" i="17"/>
  <c r="J2" i="17"/>
  <c r="B2" i="17"/>
  <c r="AU1" i="17"/>
  <c r="AR149" i="17" s="1"/>
  <c r="AS149" i="17" s="1"/>
  <c r="AM1" i="17"/>
  <c r="AJ143" i="17" s="1"/>
  <c r="AK143" i="17" s="1"/>
  <c r="AE1" i="17"/>
  <c r="AB151" i="17" s="1"/>
  <c r="AC151" i="17" s="1"/>
  <c r="W1" i="17"/>
  <c r="T130" i="17" s="1"/>
  <c r="U130" i="17" s="1"/>
  <c r="O1" i="17"/>
  <c r="L150" i="17" s="1"/>
  <c r="M150" i="17" s="1"/>
  <c r="G1" i="17"/>
  <c r="B77" i="5"/>
  <c r="A77" i="5"/>
  <c r="B76" i="5"/>
  <c r="A76" i="5"/>
  <c r="B75" i="5"/>
  <c r="A75" i="5"/>
  <c r="B74" i="5"/>
  <c r="A74" i="5"/>
  <c r="B73" i="5"/>
  <c r="A73" i="5"/>
  <c r="A57" i="5"/>
  <c r="A56" i="5"/>
  <c r="A55" i="5"/>
  <c r="A54" i="5"/>
  <c r="A53" i="5"/>
  <c r="B69" i="9"/>
  <c r="B67" i="9"/>
  <c r="C64" i="9"/>
  <c r="F63" i="9"/>
  <c r="C63" i="9"/>
  <c r="A71" i="9"/>
  <c r="I51" i="9"/>
  <c r="E40" i="9"/>
  <c r="E39" i="9"/>
  <c r="C37" i="9"/>
  <c r="E34" i="9"/>
  <c r="C34" i="9"/>
  <c r="E33" i="9"/>
  <c r="C33" i="9"/>
  <c r="E32" i="9"/>
  <c r="I30" i="9"/>
  <c r="H30" i="9"/>
  <c r="G30" i="9"/>
  <c r="F30" i="9"/>
  <c r="E30" i="9"/>
  <c r="D30" i="9"/>
  <c r="J27" i="9"/>
  <c r="I27" i="9"/>
  <c r="H27" i="9"/>
  <c r="G27" i="9"/>
  <c r="F27" i="9"/>
  <c r="E27" i="9"/>
  <c r="D27" i="9"/>
  <c r="D24" i="9"/>
  <c r="B24" i="9"/>
  <c r="B23" i="9"/>
  <c r="D18" i="9"/>
  <c r="I23" i="9" s="1"/>
  <c r="C17" i="9"/>
  <c r="H12" i="9"/>
  <c r="H2" i="9"/>
  <c r="I78" i="14"/>
  <c r="K77" i="14"/>
  <c r="G77" i="14"/>
  <c r="A76" i="14"/>
  <c r="K73" i="14"/>
  <c r="K57" i="14"/>
  <c r="I57" i="14"/>
  <c r="H57" i="14"/>
  <c r="G57" i="14"/>
  <c r="F57" i="14"/>
  <c r="E57" i="14"/>
  <c r="J48" i="14"/>
  <c r="I48" i="14"/>
  <c r="H48" i="14"/>
  <c r="E48" i="14"/>
  <c r="C48" i="14"/>
  <c r="B48" i="14"/>
  <c r="J43" i="14"/>
  <c r="I43" i="14"/>
  <c r="H43" i="14"/>
  <c r="E43" i="14"/>
  <c r="C43" i="14"/>
  <c r="B43" i="14"/>
  <c r="J38" i="14"/>
  <c r="I38" i="14"/>
  <c r="H38" i="14"/>
  <c r="E38" i="14"/>
  <c r="C38" i="14"/>
  <c r="B38" i="14"/>
  <c r="J33" i="14"/>
  <c r="I33" i="14"/>
  <c r="H33" i="14"/>
  <c r="E33" i="14"/>
  <c r="C33" i="14"/>
  <c r="B33" i="14"/>
  <c r="J28" i="14"/>
  <c r="I28" i="14"/>
  <c r="H28" i="14"/>
  <c r="E28" i="14"/>
  <c r="C28" i="14"/>
  <c r="B28" i="14"/>
  <c r="J23" i="14"/>
  <c r="I23" i="14"/>
  <c r="H23" i="14"/>
  <c r="E23" i="14"/>
  <c r="C23" i="14"/>
  <c r="B23" i="14"/>
  <c r="E18" i="14"/>
  <c r="E16" i="14"/>
  <c r="K15" i="14"/>
  <c r="E15" i="14"/>
  <c r="E14" i="14"/>
  <c r="K13" i="14"/>
  <c r="E13" i="14"/>
  <c r="K12" i="14"/>
  <c r="E12" i="14"/>
  <c r="H7" i="11"/>
  <c r="H6" i="11"/>
  <c r="H5" i="11"/>
  <c r="H4" i="11"/>
  <c r="H3" i="11"/>
  <c r="E116" i="7"/>
  <c r="E85" i="14" s="1"/>
  <c r="X115" i="7"/>
  <c r="W115" i="7"/>
  <c r="U115" i="7"/>
  <c r="S115" i="7"/>
  <c r="Q115" i="7"/>
  <c r="O115" i="7"/>
  <c r="L108" i="7"/>
  <c r="K108" i="7"/>
  <c r="I108" i="7"/>
  <c r="H108" i="7"/>
  <c r="G108" i="7"/>
  <c r="F108" i="7"/>
  <c r="E108" i="7"/>
  <c r="L102" i="7"/>
  <c r="K102" i="7"/>
  <c r="I102" i="7"/>
  <c r="H102" i="7"/>
  <c r="G102" i="7"/>
  <c r="F102" i="7"/>
  <c r="L96" i="7"/>
  <c r="K96" i="7"/>
  <c r="I96" i="7"/>
  <c r="H96" i="7"/>
  <c r="G96" i="7"/>
  <c r="F96" i="7"/>
  <c r="E96" i="7"/>
  <c r="L90" i="7"/>
  <c r="K90" i="7"/>
  <c r="I90" i="7"/>
  <c r="H90" i="7"/>
  <c r="G90" i="7"/>
  <c r="F90" i="7"/>
  <c r="E90" i="7"/>
  <c r="L84" i="7"/>
  <c r="K84" i="7"/>
  <c r="I84" i="7"/>
  <c r="H84" i="7"/>
  <c r="G84" i="7"/>
  <c r="F84" i="7"/>
  <c r="E84" i="7"/>
  <c r="K82" i="14"/>
  <c r="I82" i="14"/>
  <c r="H82" i="14"/>
  <c r="E82" i="14"/>
  <c r="K81" i="7"/>
  <c r="K81" i="14" s="1"/>
  <c r="I81" i="7"/>
  <c r="I81" i="14" s="1"/>
  <c r="H81" i="7"/>
  <c r="H81" i="14" s="1"/>
  <c r="G81" i="7"/>
  <c r="F81" i="7"/>
  <c r="E81" i="7"/>
  <c r="K80" i="7"/>
  <c r="K80" i="14" s="1"/>
  <c r="I80" i="7"/>
  <c r="I80" i="14" s="1"/>
  <c r="H80" i="7"/>
  <c r="H80" i="14" s="1"/>
  <c r="G80" i="7"/>
  <c r="F80" i="7"/>
  <c r="E80" i="7"/>
  <c r="K79" i="7"/>
  <c r="K79" i="14" s="1"/>
  <c r="I79" i="7"/>
  <c r="I79" i="14" s="1"/>
  <c r="H79" i="7"/>
  <c r="H79" i="14" s="1"/>
  <c r="G79" i="7"/>
  <c r="F79" i="7"/>
  <c r="E79" i="7"/>
  <c r="E79" i="14" s="1"/>
  <c r="K78" i="14"/>
  <c r="K76" i="7"/>
  <c r="K76" i="14" s="1"/>
  <c r="I76" i="7"/>
  <c r="I76" i="14" s="1"/>
  <c r="H76" i="7"/>
  <c r="H76" i="14" s="1"/>
  <c r="G76" i="7"/>
  <c r="F76" i="7"/>
  <c r="E76" i="7"/>
  <c r="E76" i="14" s="1"/>
  <c r="K75" i="7"/>
  <c r="K75" i="14" s="1"/>
  <c r="I75" i="7"/>
  <c r="I75" i="14" s="1"/>
  <c r="H75" i="7"/>
  <c r="H75" i="14" s="1"/>
  <c r="G75" i="7"/>
  <c r="G75" i="14" s="1"/>
  <c r="F75" i="7"/>
  <c r="E75" i="7"/>
  <c r="K72" i="7"/>
  <c r="K72" i="14" s="1"/>
  <c r="I72" i="7"/>
  <c r="I72" i="14" s="1"/>
  <c r="H72" i="7"/>
  <c r="H72" i="14" s="1"/>
  <c r="G72" i="7"/>
  <c r="F72" i="7"/>
  <c r="E72" i="7"/>
  <c r="E72" i="14" s="1"/>
  <c r="K70" i="14"/>
  <c r="I70" i="14"/>
  <c r="H70" i="14"/>
  <c r="K69" i="14"/>
  <c r="I69" i="14"/>
  <c r="H69" i="14"/>
  <c r="G69" i="14"/>
  <c r="K68" i="7"/>
  <c r="I68" i="7"/>
  <c r="H68" i="7"/>
  <c r="H68" i="14" s="1"/>
  <c r="G68" i="7"/>
  <c r="E68" i="7"/>
  <c r="E68" i="14" s="1"/>
  <c r="K67" i="7"/>
  <c r="K67" i="14" s="1"/>
  <c r="I67" i="7"/>
  <c r="I67" i="14" s="1"/>
  <c r="H67" i="7"/>
  <c r="H67" i="14" s="1"/>
  <c r="G67" i="7"/>
  <c r="F67" i="7"/>
  <c r="E67" i="7"/>
  <c r="K66" i="7"/>
  <c r="K66" i="14" s="1"/>
  <c r="I66" i="7"/>
  <c r="I66" i="14" s="1"/>
  <c r="H66" i="7"/>
  <c r="H66" i="14" s="1"/>
  <c r="G66" i="7"/>
  <c r="F66" i="7"/>
  <c r="E66" i="7"/>
  <c r="E66" i="14" s="1"/>
  <c r="K65" i="7"/>
  <c r="K65" i="14" s="1"/>
  <c r="I65" i="7"/>
  <c r="I65" i="14" s="1"/>
  <c r="H65" i="7"/>
  <c r="H65" i="14" s="1"/>
  <c r="G65" i="7"/>
  <c r="G65" i="14" s="1"/>
  <c r="F65" i="7"/>
  <c r="E65" i="7"/>
  <c r="K64" i="7"/>
  <c r="K64" i="14" s="1"/>
  <c r="I64" i="7"/>
  <c r="I64" i="14" s="1"/>
  <c r="H64" i="7"/>
  <c r="H64" i="14" s="1"/>
  <c r="G64" i="7"/>
  <c r="F64" i="7"/>
  <c r="E64" i="7"/>
  <c r="E64" i="14" s="1"/>
  <c r="K63" i="7"/>
  <c r="K63" i="14" s="1"/>
  <c r="I63" i="7"/>
  <c r="I63" i="14" s="1"/>
  <c r="H63" i="7"/>
  <c r="H63" i="14" s="1"/>
  <c r="G63" i="7"/>
  <c r="F63" i="7"/>
  <c r="E63" i="7"/>
  <c r="K62" i="7"/>
  <c r="K62" i="14" s="1"/>
  <c r="I62" i="7"/>
  <c r="I62" i="14" s="1"/>
  <c r="H62" i="7"/>
  <c r="H62" i="14" s="1"/>
  <c r="G62" i="7"/>
  <c r="F62" i="7"/>
  <c r="E62" i="7"/>
  <c r="E62" i="14" s="1"/>
  <c r="K61" i="7"/>
  <c r="K61" i="14" s="1"/>
  <c r="I61" i="7"/>
  <c r="I61" i="14" s="1"/>
  <c r="H61" i="7"/>
  <c r="H61" i="14" s="1"/>
  <c r="G61" i="7"/>
  <c r="G61" i="14" s="1"/>
  <c r="F61" i="7"/>
  <c r="E61" i="7"/>
  <c r="K60" i="7"/>
  <c r="K60" i="14" s="1"/>
  <c r="I60" i="7"/>
  <c r="I60" i="14" s="1"/>
  <c r="H60" i="7"/>
  <c r="H60" i="14" s="1"/>
  <c r="G60" i="7"/>
  <c r="F60" i="7"/>
  <c r="E60" i="7"/>
  <c r="E60" i="14" s="1"/>
  <c r="K59" i="7"/>
  <c r="K59" i="14" s="1"/>
  <c r="I59" i="7"/>
  <c r="I59" i="14" s="1"/>
  <c r="H59" i="7"/>
  <c r="H59" i="14" s="1"/>
  <c r="G59" i="7"/>
  <c r="F59" i="7"/>
  <c r="E59" i="7"/>
  <c r="K58" i="7"/>
  <c r="K58" i="14" s="1"/>
  <c r="I58" i="7"/>
  <c r="I58" i="14" s="1"/>
  <c r="H58" i="7"/>
  <c r="H58" i="14" s="1"/>
  <c r="G58" i="7"/>
  <c r="F58" i="7"/>
  <c r="E58" i="7"/>
  <c r="E58" i="14" s="1"/>
  <c r="K52" i="7"/>
  <c r="K51" i="7"/>
  <c r="K50" i="7"/>
  <c r="K49" i="7"/>
  <c r="K48" i="7"/>
  <c r="E48" i="7"/>
  <c r="C48" i="7"/>
  <c r="K47" i="7"/>
  <c r="K46" i="7"/>
  <c r="K45" i="7"/>
  <c r="K44" i="7"/>
  <c r="K43" i="7"/>
  <c r="E43" i="7"/>
  <c r="C43" i="7"/>
  <c r="K42" i="7"/>
  <c r="K41" i="7"/>
  <c r="K40" i="7"/>
  <c r="K39" i="7"/>
  <c r="K38" i="7"/>
  <c r="E38" i="7"/>
  <c r="C38" i="7"/>
  <c r="K37" i="7"/>
  <c r="K36" i="7"/>
  <c r="K35" i="7"/>
  <c r="K34" i="7"/>
  <c r="K33" i="7"/>
  <c r="E33" i="7"/>
  <c r="C33" i="7"/>
  <c r="K32" i="7"/>
  <c r="K31" i="7"/>
  <c r="K30" i="7"/>
  <c r="K29" i="7"/>
  <c r="K28" i="7"/>
  <c r="E28" i="7"/>
  <c r="C28" i="7"/>
  <c r="K27" i="7"/>
  <c r="K26" i="7"/>
  <c r="K25" i="7"/>
  <c r="K24" i="7"/>
  <c r="K23" i="7"/>
  <c r="E23" i="7"/>
  <c r="C23" i="7"/>
  <c r="E19" i="7"/>
  <c r="E19" i="14" s="1"/>
  <c r="E18" i="7"/>
  <c r="E16" i="7"/>
  <c r="E15" i="7"/>
  <c r="K14" i="14"/>
  <c r="E14" i="7"/>
  <c r="K13" i="7"/>
  <c r="E13" i="7"/>
  <c r="K12" i="7"/>
  <c r="E12" i="7"/>
  <c r="M3" i="1"/>
  <c r="K3" i="1"/>
  <c r="I3" i="1"/>
  <c r="G3" i="1"/>
  <c r="E3" i="1"/>
  <c r="E102" i="7"/>
  <c r="C66" i="19"/>
  <c r="F65" i="19"/>
  <c r="C65" i="19"/>
  <c r="C64" i="19"/>
  <c r="E63" i="19"/>
  <c r="C63" i="19"/>
  <c r="C61" i="19"/>
  <c r="F60" i="19"/>
  <c r="I55" i="19"/>
  <c r="A73" i="19" s="1"/>
  <c r="I54" i="19"/>
  <c r="B54" i="19"/>
  <c r="I53" i="19"/>
  <c r="I51" i="19"/>
  <c r="E43" i="19"/>
  <c r="E42" i="19"/>
  <c r="B42" i="19"/>
  <c r="G41" i="19"/>
  <c r="C41" i="19"/>
  <c r="B41" i="19"/>
  <c r="G40" i="19"/>
  <c r="E40" i="19"/>
  <c r="C40" i="19"/>
  <c r="B40" i="19"/>
  <c r="E37" i="19"/>
  <c r="C37" i="19"/>
  <c r="E36" i="19"/>
  <c r="C36" i="19"/>
  <c r="C35" i="19"/>
  <c r="E35" i="19" s="1"/>
  <c r="I32" i="19"/>
  <c r="H32" i="19"/>
  <c r="G32" i="19"/>
  <c r="F32" i="19"/>
  <c r="E32" i="19"/>
  <c r="I31" i="19"/>
  <c r="H31" i="19"/>
  <c r="G31" i="19"/>
  <c r="F31" i="19"/>
  <c r="E31" i="19"/>
  <c r="D31" i="19"/>
  <c r="J29" i="19"/>
  <c r="I29" i="19"/>
  <c r="H29" i="19"/>
  <c r="G29" i="19"/>
  <c r="F29" i="19"/>
  <c r="E29" i="19"/>
  <c r="J28" i="19"/>
  <c r="I28" i="19"/>
  <c r="H28" i="19"/>
  <c r="G28" i="19"/>
  <c r="F28" i="19"/>
  <c r="E28" i="19"/>
  <c r="D28" i="19"/>
  <c r="C28" i="19"/>
  <c r="B28" i="19"/>
  <c r="D25" i="19"/>
  <c r="B25" i="19"/>
  <c r="D24" i="19"/>
  <c r="B24" i="19"/>
  <c r="C19" i="19"/>
  <c r="J18" i="19"/>
  <c r="D18" i="19"/>
  <c r="J11" i="19" s="1"/>
  <c r="C17" i="19"/>
  <c r="C16" i="19"/>
  <c r="C15" i="19"/>
  <c r="C14" i="19"/>
  <c r="C13" i="19"/>
  <c r="H12" i="19"/>
  <c r="H4" i="19"/>
  <c r="H3" i="19"/>
  <c r="H2" i="19"/>
  <c r="AR17" i="17" l="1"/>
  <c r="AR39" i="17"/>
  <c r="AS39" i="17" s="1"/>
  <c r="AR105" i="17"/>
  <c r="AS105" i="17" s="1"/>
  <c r="AR34" i="17"/>
  <c r="AS34" i="17" s="1"/>
  <c r="AR38" i="17"/>
  <c r="AS38" i="17" s="1"/>
  <c r="AR57" i="17"/>
  <c r="AS57" i="17" s="1"/>
  <c r="AR64" i="17"/>
  <c r="AS64" i="17" s="1"/>
  <c r="AR71" i="17"/>
  <c r="AS71" i="17" s="1"/>
  <c r="AR83" i="17"/>
  <c r="AS83" i="17" s="1"/>
  <c r="AR95" i="17"/>
  <c r="AS95" i="17" s="1"/>
  <c r="AR147" i="17"/>
  <c r="AS147" i="17" s="1"/>
  <c r="AR4" i="17"/>
  <c r="AR28" i="17"/>
  <c r="AS28" i="17" s="1"/>
  <c r="AR48" i="17"/>
  <c r="AS48" i="17" s="1"/>
  <c r="AR49" i="17"/>
  <c r="AS49" i="17" s="1"/>
  <c r="AR55" i="17"/>
  <c r="AS55" i="17" s="1"/>
  <c r="AR56" i="17"/>
  <c r="AS56" i="17" s="1"/>
  <c r="AR70" i="17"/>
  <c r="AS70" i="17" s="1"/>
  <c r="AR76" i="17"/>
  <c r="AS76" i="17" s="1"/>
  <c r="AR125" i="17"/>
  <c r="AS125" i="17" s="1"/>
  <c r="AR15" i="17"/>
  <c r="AR46" i="17"/>
  <c r="AS46" i="17" s="1"/>
  <c r="AR47" i="17"/>
  <c r="AS47" i="17" s="1"/>
  <c r="AR54" i="17"/>
  <c r="AS54" i="17" s="1"/>
  <c r="AR62" i="17"/>
  <c r="AS62" i="17" s="1"/>
  <c r="AR69" i="17"/>
  <c r="AS69" i="17" s="1"/>
  <c r="AR81" i="17"/>
  <c r="AS81" i="17" s="1"/>
  <c r="AR88" i="17"/>
  <c r="AS88" i="17" s="1"/>
  <c r="AR103" i="17"/>
  <c r="AS103" i="17" s="1"/>
  <c r="AR2" i="17"/>
  <c r="AS2" i="17" s="1"/>
  <c r="AR21" i="17"/>
  <c r="AR44" i="17"/>
  <c r="AS44" i="17" s="1"/>
  <c r="AR45" i="17"/>
  <c r="AS45" i="17" s="1"/>
  <c r="AR53" i="17"/>
  <c r="AS53" i="17" s="1"/>
  <c r="AR93" i="17"/>
  <c r="AS93" i="17" s="1"/>
  <c r="AR145" i="17"/>
  <c r="AS145" i="17" s="1"/>
  <c r="AR13" i="17"/>
  <c r="AR42" i="17"/>
  <c r="AS42" i="17" s="1"/>
  <c r="AR43" i="17"/>
  <c r="AS43" i="17" s="1"/>
  <c r="AR74" i="17"/>
  <c r="AS74" i="17" s="1"/>
  <c r="AR86" i="17"/>
  <c r="AS86" i="17" s="1"/>
  <c r="AR123" i="17"/>
  <c r="AS123" i="17" s="1"/>
  <c r="AR7" i="17"/>
  <c r="AR12" i="17"/>
  <c r="AR19" i="17"/>
  <c r="AR25" i="17"/>
  <c r="AR67" i="17"/>
  <c r="AS67" i="17" s="1"/>
  <c r="AR79" i="17"/>
  <c r="AS79" i="17" s="1"/>
  <c r="AR97" i="17"/>
  <c r="AS97" i="17" s="1"/>
  <c r="AR11" i="17"/>
  <c r="AR40" i="17"/>
  <c r="AS40" i="17" s="1"/>
  <c r="AR51" i="17"/>
  <c r="AS51" i="17" s="1"/>
  <c r="AR59" i="17"/>
  <c r="AS59" i="17" s="1"/>
  <c r="AR66" i="17"/>
  <c r="AS66" i="17" s="1"/>
  <c r="AR78" i="17"/>
  <c r="AS78" i="17" s="1"/>
  <c r="AR91" i="17"/>
  <c r="AS91" i="17" s="1"/>
  <c r="AR143" i="17"/>
  <c r="AS143" i="17" s="1"/>
  <c r="AJ146" i="17"/>
  <c r="AK146" i="17" s="1"/>
  <c r="AJ49" i="17"/>
  <c r="AK49" i="17" s="1"/>
  <c r="AJ97" i="17"/>
  <c r="AK97" i="17" s="1"/>
  <c r="AJ102" i="17"/>
  <c r="AK102" i="17" s="1"/>
  <c r="AJ116" i="17"/>
  <c r="AK116" i="17" s="1"/>
  <c r="AJ130" i="17"/>
  <c r="AK130" i="17" s="1"/>
  <c r="AJ139" i="17"/>
  <c r="AK139" i="17" s="1"/>
  <c r="AJ35" i="17"/>
  <c r="AK35" i="17" s="1"/>
  <c r="AJ88" i="17"/>
  <c r="AK88" i="17" s="1"/>
  <c r="AJ149" i="17"/>
  <c r="AK149" i="17" s="1"/>
  <c r="AJ2" i="17"/>
  <c r="AK2" i="17" s="1"/>
  <c r="AJ40" i="17"/>
  <c r="AK40" i="17" s="1"/>
  <c r="AJ94" i="17"/>
  <c r="AK94" i="17" s="1"/>
  <c r="AJ100" i="17"/>
  <c r="AK100" i="17" s="1"/>
  <c r="AJ128" i="17"/>
  <c r="AK128" i="17" s="1"/>
  <c r="AJ133" i="17"/>
  <c r="AK133" i="17" s="1"/>
  <c r="AJ14" i="17"/>
  <c r="AJ21" i="17"/>
  <c r="AJ32" i="17"/>
  <c r="AK32" i="17" s="1"/>
  <c r="AJ85" i="17"/>
  <c r="AK85" i="17" s="1"/>
  <c r="AJ109" i="17"/>
  <c r="AK109" i="17" s="1"/>
  <c r="AJ118" i="17"/>
  <c r="AK118" i="17" s="1"/>
  <c r="G78" i="14"/>
  <c r="G68" i="14"/>
  <c r="F11" i="18"/>
  <c r="F12" i="18"/>
  <c r="F13" i="18" s="1"/>
  <c r="F14" i="18" s="1"/>
  <c r="F15" i="18" s="1"/>
  <c r="F16" i="18" s="1"/>
  <c r="F17" i="18" s="1"/>
  <c r="G80" i="14"/>
  <c r="G74" i="14"/>
  <c r="G63" i="14"/>
  <c r="G67" i="14"/>
  <c r="G70" i="14"/>
  <c r="G59" i="14"/>
  <c r="E75" i="14"/>
  <c r="E61" i="14"/>
  <c r="E65" i="14"/>
  <c r="E81" i="14"/>
  <c r="G82" i="14"/>
  <c r="E71" i="14"/>
  <c r="G58" i="14"/>
  <c r="G62" i="14"/>
  <c r="G79" i="14"/>
  <c r="F68" i="14"/>
  <c r="G73" i="14"/>
  <c r="G66" i="14"/>
  <c r="G76" i="14"/>
  <c r="E59" i="14"/>
  <c r="G60" i="14"/>
  <c r="E63" i="14"/>
  <c r="G64" i="14"/>
  <c r="E67" i="14"/>
  <c r="E70" i="14"/>
  <c r="G72" i="14"/>
  <c r="E80" i="14"/>
  <c r="G81" i="14"/>
  <c r="E74" i="14"/>
  <c r="G71" i="14"/>
  <c r="AB41" i="17"/>
  <c r="AC41" i="17" s="1"/>
  <c r="T3" i="17"/>
  <c r="U3" i="17" s="1"/>
  <c r="T5" i="17"/>
  <c r="U5" i="17" s="1"/>
  <c r="T68" i="17"/>
  <c r="T80" i="17"/>
  <c r="U80" i="17" s="1"/>
  <c r="T82" i="17"/>
  <c r="U82" i="17" s="1"/>
  <c r="T103" i="17"/>
  <c r="U103" i="17" s="1"/>
  <c r="T104" i="17"/>
  <c r="U104" i="17" s="1"/>
  <c r="T113" i="17"/>
  <c r="U113" i="17" s="1"/>
  <c r="T141" i="17"/>
  <c r="U141" i="17" s="1"/>
  <c r="T19" i="17"/>
  <c r="U19" i="17" s="1"/>
  <c r="T24" i="17"/>
  <c r="U24" i="17" s="1"/>
  <c r="T25" i="17"/>
  <c r="U25" i="17" s="1"/>
  <c r="T27" i="17"/>
  <c r="U27" i="17" s="1"/>
  <c r="T64" i="17"/>
  <c r="T93" i="17"/>
  <c r="U93" i="17" s="1"/>
  <c r="T94" i="17"/>
  <c r="U94" i="17" s="1"/>
  <c r="T95" i="17"/>
  <c r="U95" i="17" s="1"/>
  <c r="T112" i="17"/>
  <c r="U112" i="17" s="1"/>
  <c r="T127" i="17"/>
  <c r="U127" i="17" s="1"/>
  <c r="T140" i="17"/>
  <c r="U140" i="17" s="1"/>
  <c r="T13" i="17"/>
  <c r="U13" i="17" s="1"/>
  <c r="T21" i="17"/>
  <c r="U21" i="17" s="1"/>
  <c r="T26" i="17"/>
  <c r="U26" i="17" s="1"/>
  <c r="T63" i="17"/>
  <c r="T92" i="17"/>
  <c r="U92" i="17" s="1"/>
  <c r="T111" i="17"/>
  <c r="U111" i="17" s="1"/>
  <c r="T125" i="17"/>
  <c r="U125" i="17" s="1"/>
  <c r="T126" i="17"/>
  <c r="U126" i="17" s="1"/>
  <c r="T11" i="17"/>
  <c r="U11" i="17" s="1"/>
  <c r="T14" i="17"/>
  <c r="U14" i="17" s="1"/>
  <c r="T20" i="17"/>
  <c r="U20" i="17" s="1"/>
  <c r="T38" i="17"/>
  <c r="T41" i="17"/>
  <c r="T42" i="17"/>
  <c r="T88" i="17"/>
  <c r="U88" i="17" s="1"/>
  <c r="T109" i="17"/>
  <c r="U109" i="17" s="1"/>
  <c r="T110" i="17"/>
  <c r="U110" i="17" s="1"/>
  <c r="T124" i="17"/>
  <c r="U124" i="17" s="1"/>
  <c r="T138" i="17"/>
  <c r="U138" i="17" s="1"/>
  <c r="T151" i="17"/>
  <c r="U151" i="17" s="1"/>
  <c r="T10" i="17"/>
  <c r="U10" i="17" s="1"/>
  <c r="T15" i="17"/>
  <c r="U15" i="17" s="1"/>
  <c r="T16" i="17"/>
  <c r="U16" i="17" s="1"/>
  <c r="T22" i="17"/>
  <c r="U22" i="17" s="1"/>
  <c r="T35" i="17"/>
  <c r="T37" i="17"/>
  <c r="T43" i="17"/>
  <c r="T45" i="17"/>
  <c r="T53" i="17"/>
  <c r="T54" i="17"/>
  <c r="T56" i="17"/>
  <c r="T74" i="17"/>
  <c r="T75" i="17"/>
  <c r="T90" i="17"/>
  <c r="U90" i="17" s="1"/>
  <c r="T108" i="17"/>
  <c r="U108" i="17" s="1"/>
  <c r="T131" i="17"/>
  <c r="U131" i="17" s="1"/>
  <c r="T137" i="17"/>
  <c r="U137" i="17" s="1"/>
  <c r="T149" i="17"/>
  <c r="U149" i="17" s="1"/>
  <c r="T150" i="17"/>
  <c r="U150" i="17" s="1"/>
  <c r="T8" i="17"/>
  <c r="U8" i="17" s="1"/>
  <c r="T9" i="17"/>
  <c r="U9" i="17" s="1"/>
  <c r="T36" i="17"/>
  <c r="T46" i="17"/>
  <c r="T52" i="17"/>
  <c r="T57" i="17"/>
  <c r="T59" i="17"/>
  <c r="T73" i="17"/>
  <c r="T89" i="17"/>
  <c r="U89" i="17" s="1"/>
  <c r="T99" i="17"/>
  <c r="U99" i="17" s="1"/>
  <c r="T122" i="17"/>
  <c r="U122" i="17" s="1"/>
  <c r="T136" i="17"/>
  <c r="U136" i="17" s="1"/>
  <c r="T145" i="17"/>
  <c r="U145" i="17" s="1"/>
  <c r="T146" i="17"/>
  <c r="U146" i="17" s="1"/>
  <c r="T147" i="17"/>
  <c r="U147" i="17" s="1"/>
  <c r="T148" i="17"/>
  <c r="U148" i="17" s="1"/>
  <c r="T32" i="17"/>
  <c r="T58" i="17"/>
  <c r="T115" i="17"/>
  <c r="U115" i="17" s="1"/>
  <c r="T121" i="17"/>
  <c r="U121" i="17" s="1"/>
  <c r="T135" i="17"/>
  <c r="U135" i="17" s="1"/>
  <c r="T143" i="17"/>
  <c r="U143" i="17" s="1"/>
  <c r="T144" i="17"/>
  <c r="U144" i="17" s="1"/>
  <c r="T4" i="17"/>
  <c r="U4" i="17" s="1"/>
  <c r="T6" i="17"/>
  <c r="U6" i="17" s="1"/>
  <c r="T29" i="17"/>
  <c r="T30" i="17"/>
  <c r="T31" i="17"/>
  <c r="T47" i="17"/>
  <c r="T48" i="17"/>
  <c r="T67" i="17"/>
  <c r="T69" i="17"/>
  <c r="T70" i="17"/>
  <c r="T79" i="17"/>
  <c r="U79" i="17" s="1"/>
  <c r="T81" i="17"/>
  <c r="U81" i="17" s="1"/>
  <c r="T83" i="17"/>
  <c r="U83" i="17" s="1"/>
  <c r="T105" i="17"/>
  <c r="U105" i="17" s="1"/>
  <c r="T106" i="17"/>
  <c r="U106" i="17" s="1"/>
  <c r="T114" i="17"/>
  <c r="U114" i="17" s="1"/>
  <c r="T120" i="17"/>
  <c r="U120" i="17" s="1"/>
  <c r="T142" i="17"/>
  <c r="U142" i="17" s="1"/>
  <c r="K48" i="14"/>
  <c r="F6" i="18"/>
  <c r="F7" i="18" s="1"/>
  <c r="F8" i="18" s="1"/>
  <c r="F9" i="18" s="1"/>
  <c r="F10" i="18" s="1"/>
  <c r="L49" i="17"/>
  <c r="L72" i="17"/>
  <c r="L27" i="17"/>
  <c r="L95" i="17"/>
  <c r="M95" i="17" s="1"/>
  <c r="L44" i="17"/>
  <c r="L84" i="17"/>
  <c r="M84" i="17" s="1"/>
  <c r="L28" i="17"/>
  <c r="L29" i="17"/>
  <c r="L55" i="17"/>
  <c r="F60" i="14"/>
  <c r="F64" i="14"/>
  <c r="F71" i="14"/>
  <c r="F58" i="14"/>
  <c r="F66" i="14"/>
  <c r="F70" i="14"/>
  <c r="F77" i="14"/>
  <c r="F62" i="14"/>
  <c r="F76" i="14"/>
  <c r="F72" i="14"/>
  <c r="F73" i="14"/>
  <c r="F78" i="14"/>
  <c r="F69" i="14"/>
  <c r="F79" i="14"/>
  <c r="F82" i="14"/>
  <c r="F81" i="14"/>
  <c r="F80" i="14"/>
  <c r="F75" i="14"/>
  <c r="F59" i="14"/>
  <c r="F63" i="14"/>
  <c r="F67" i="14"/>
  <c r="F74" i="14"/>
  <c r="F61" i="14"/>
  <c r="F65" i="14"/>
  <c r="L123" i="17"/>
  <c r="M123" i="17" s="1"/>
  <c r="L124" i="17"/>
  <c r="M124" i="17" s="1"/>
  <c r="L127" i="17"/>
  <c r="M127" i="17" s="1"/>
  <c r="L128" i="17"/>
  <c r="M128" i="17" s="1"/>
  <c r="L31" i="17"/>
  <c r="L32" i="17"/>
  <c r="L35" i="17"/>
  <c r="L45" i="17"/>
  <c r="L56" i="17"/>
  <c r="L96" i="17"/>
  <c r="M96" i="17" s="1"/>
  <c r="L120" i="17"/>
  <c r="M120" i="17" s="1"/>
  <c r="L143" i="17"/>
  <c r="M143" i="17" s="1"/>
  <c r="L15" i="17"/>
  <c r="L19" i="17"/>
  <c r="L33" i="17"/>
  <c r="L119" i="17"/>
  <c r="M119" i="17" s="1"/>
  <c r="L139" i="17"/>
  <c r="M139" i="17" s="1"/>
  <c r="L140" i="17"/>
  <c r="M140" i="17" s="1"/>
  <c r="L144" i="17"/>
  <c r="M144" i="17" s="1"/>
  <c r="L16" i="17"/>
  <c r="L17" i="17"/>
  <c r="L36" i="17"/>
  <c r="L37" i="17"/>
  <c r="L39" i="17"/>
  <c r="L40" i="17"/>
  <c r="L57" i="17"/>
  <c r="L135" i="17"/>
  <c r="M135" i="17" s="1"/>
  <c r="L136" i="17"/>
  <c r="M136" i="17" s="1"/>
  <c r="L147" i="17"/>
  <c r="M147" i="17" s="1"/>
  <c r="L59" i="17"/>
  <c r="L63" i="17"/>
  <c r="L64" i="17"/>
  <c r="L67" i="17"/>
  <c r="L79" i="17"/>
  <c r="M79" i="17" s="1"/>
  <c r="L115" i="17"/>
  <c r="M115" i="17" s="1"/>
  <c r="L116" i="17"/>
  <c r="M116" i="17" s="1"/>
  <c r="L3" i="17"/>
  <c r="M3" i="17" s="1"/>
  <c r="L20" i="17"/>
  <c r="L21" i="17"/>
  <c r="L41" i="17"/>
  <c r="L47" i="17"/>
  <c r="L61" i="17"/>
  <c r="L88" i="17"/>
  <c r="M88" i="17" s="1"/>
  <c r="L103" i="17"/>
  <c r="M103" i="17" s="1"/>
  <c r="L108" i="17"/>
  <c r="M108" i="17" s="1"/>
  <c r="L111" i="17"/>
  <c r="M111" i="17" s="1"/>
  <c r="L112" i="17"/>
  <c r="M112" i="17" s="1"/>
  <c r="L4" i="17"/>
  <c r="L7" i="17"/>
  <c r="L8" i="17"/>
  <c r="L11" i="17"/>
  <c r="L24" i="17"/>
  <c r="L48" i="17"/>
  <c r="L60" i="17"/>
  <c r="L65" i="17"/>
  <c r="L68" i="17"/>
  <c r="L69" i="17"/>
  <c r="L80" i="17"/>
  <c r="M80" i="17" s="1"/>
  <c r="L83" i="17"/>
  <c r="M83" i="17" s="1"/>
  <c r="L87" i="17"/>
  <c r="M87" i="17" s="1"/>
  <c r="L104" i="17"/>
  <c r="M104" i="17" s="1"/>
  <c r="L107" i="17"/>
  <c r="M107" i="17" s="1"/>
  <c r="L131" i="17"/>
  <c r="M131" i="17" s="1"/>
  <c r="L132" i="17"/>
  <c r="M132" i="17" s="1"/>
  <c r="L5" i="17"/>
  <c r="L9" i="17"/>
  <c r="L12" i="17"/>
  <c r="L13" i="17"/>
  <c r="L23" i="17"/>
  <c r="L25" i="17"/>
  <c r="L43" i="17"/>
  <c r="L51" i="17"/>
  <c r="L52" i="17"/>
  <c r="M52" i="17" s="1"/>
  <c r="L53" i="17"/>
  <c r="M53" i="17" s="1"/>
  <c r="L71" i="17"/>
  <c r="L73" i="17"/>
  <c r="L75" i="17"/>
  <c r="L76" i="17"/>
  <c r="L91" i="17"/>
  <c r="M91" i="17" s="1"/>
  <c r="L92" i="17"/>
  <c r="M92" i="17" s="1"/>
  <c r="L99" i="17"/>
  <c r="M99" i="17" s="1"/>
  <c r="L100" i="17"/>
  <c r="M100" i="17" s="1"/>
  <c r="D151" i="17"/>
  <c r="E151" i="17" s="1"/>
  <c r="D139" i="17"/>
  <c r="E139" i="17" s="1"/>
  <c r="D133" i="17"/>
  <c r="E133" i="17" s="1"/>
  <c r="D128" i="17"/>
  <c r="E128" i="17" s="1"/>
  <c r="D124" i="17"/>
  <c r="E124" i="17" s="1"/>
  <c r="D119" i="17"/>
  <c r="E119" i="17" s="1"/>
  <c r="D113" i="17"/>
  <c r="E113" i="17" s="1"/>
  <c r="D109" i="17"/>
  <c r="E109" i="17" s="1"/>
  <c r="D84" i="17"/>
  <c r="E84" i="17" s="1"/>
  <c r="D81" i="17"/>
  <c r="E81" i="17" s="1"/>
  <c r="D72" i="17"/>
  <c r="D69" i="17"/>
  <c r="D65" i="17"/>
  <c r="D62" i="17"/>
  <c r="D44" i="17"/>
  <c r="D28" i="17"/>
  <c r="E28" i="17" s="1"/>
  <c r="D19" i="17"/>
  <c r="D18" i="17"/>
  <c r="D15" i="17"/>
  <c r="D2" i="17"/>
  <c r="E2" i="17" s="1"/>
  <c r="D127" i="17"/>
  <c r="E127" i="17" s="1"/>
  <c r="D104" i="17"/>
  <c r="E104" i="17" s="1"/>
  <c r="D60" i="17"/>
  <c r="D48" i="17"/>
  <c r="D150" i="17"/>
  <c r="E150" i="17" s="1"/>
  <c r="D146" i="17"/>
  <c r="E146" i="17" s="1"/>
  <c r="D143" i="17"/>
  <c r="E143" i="17" s="1"/>
  <c r="D138" i="17"/>
  <c r="E138" i="17" s="1"/>
  <c r="D118" i="17"/>
  <c r="E118" i="17" s="1"/>
  <c r="D117" i="17"/>
  <c r="E117" i="17" s="1"/>
  <c r="D100" i="17"/>
  <c r="E100" i="17" s="1"/>
  <c r="D92" i="17"/>
  <c r="E92" i="17" s="1"/>
  <c r="D76" i="17"/>
  <c r="D61" i="17"/>
  <c r="D52" i="17"/>
  <c r="D46" i="17"/>
  <c r="D41" i="17"/>
  <c r="D38" i="17"/>
  <c r="D35" i="17"/>
  <c r="D31" i="17"/>
  <c r="D21" i="17"/>
  <c r="D12" i="17"/>
  <c r="D142" i="17"/>
  <c r="E142" i="17" s="1"/>
  <c r="D137" i="17"/>
  <c r="E137" i="17" s="1"/>
  <c r="D132" i="17"/>
  <c r="E132" i="17" s="1"/>
  <c r="D123" i="17"/>
  <c r="E123" i="17" s="1"/>
  <c r="D95" i="17"/>
  <c r="E95" i="17" s="1"/>
  <c r="D80" i="17"/>
  <c r="E80" i="17" s="1"/>
  <c r="D68" i="17"/>
  <c r="D55" i="17"/>
  <c r="D27" i="17"/>
  <c r="E27" i="17" s="1"/>
  <c r="D24" i="17"/>
  <c r="D8" i="17"/>
  <c r="D14" i="17"/>
  <c r="D4" i="17"/>
  <c r="E4" i="17" s="1"/>
  <c r="D77" i="17"/>
  <c r="E77" i="17" s="1"/>
  <c r="D149" i="17"/>
  <c r="E149" i="17" s="1"/>
  <c r="D145" i="17"/>
  <c r="E145" i="17" s="1"/>
  <c r="D141" i="17"/>
  <c r="E141" i="17" s="1"/>
  <c r="D126" i="17"/>
  <c r="E126" i="17" s="1"/>
  <c r="D122" i="17"/>
  <c r="E122" i="17" s="1"/>
  <c r="D112" i="17"/>
  <c r="E112" i="17" s="1"/>
  <c r="D108" i="17"/>
  <c r="E108" i="17" s="1"/>
  <c r="D99" i="17"/>
  <c r="E99" i="17" s="1"/>
  <c r="D98" i="17"/>
  <c r="E98" i="17" s="1"/>
  <c r="D91" i="17"/>
  <c r="E91" i="17" s="1"/>
  <c r="D88" i="17"/>
  <c r="E88" i="17" s="1"/>
  <c r="D75" i="17"/>
  <c r="D71" i="17"/>
  <c r="D57" i="17"/>
  <c r="D51" i="17"/>
  <c r="D50" i="17"/>
  <c r="D43" i="17"/>
  <c r="D37" i="17"/>
  <c r="D34" i="17"/>
  <c r="D30" i="17"/>
  <c r="D26" i="17"/>
  <c r="D23" i="17"/>
  <c r="D20" i="17"/>
  <c r="D17" i="17"/>
  <c r="D148" i="17"/>
  <c r="E148" i="17" s="1"/>
  <c r="D131" i="17"/>
  <c r="E131" i="17" s="1"/>
  <c r="D121" i="17"/>
  <c r="E121" i="17" s="1"/>
  <c r="D116" i="17"/>
  <c r="E116" i="17" s="1"/>
  <c r="D107" i="17"/>
  <c r="E107" i="17" s="1"/>
  <c r="D94" i="17"/>
  <c r="E94" i="17" s="1"/>
  <c r="D90" i="17"/>
  <c r="E90" i="17" s="1"/>
  <c r="D87" i="17"/>
  <c r="E87" i="17" s="1"/>
  <c r="D83" i="17"/>
  <c r="E83" i="17" s="1"/>
  <c r="D64" i="17"/>
  <c r="D54" i="17"/>
  <c r="D33" i="17"/>
  <c r="D22" i="17"/>
  <c r="D11" i="17"/>
  <c r="D7" i="17"/>
  <c r="D136" i="17"/>
  <c r="E136" i="17" s="1"/>
  <c r="D130" i="17"/>
  <c r="E130" i="17" s="1"/>
  <c r="D129" i="17"/>
  <c r="E129" i="17" s="1"/>
  <c r="D125" i="17"/>
  <c r="E125" i="17" s="1"/>
  <c r="D111" i="17"/>
  <c r="E111" i="17" s="1"/>
  <c r="D106" i="17"/>
  <c r="E106" i="17" s="1"/>
  <c r="D103" i="17"/>
  <c r="E103" i="17" s="1"/>
  <c r="D97" i="17"/>
  <c r="E97" i="17" s="1"/>
  <c r="D89" i="17"/>
  <c r="E89" i="17" s="1"/>
  <c r="D82" i="17"/>
  <c r="E82" i="17" s="1"/>
  <c r="D74" i="17"/>
  <c r="D70" i="17"/>
  <c r="D47" i="17"/>
  <c r="D45" i="17"/>
  <c r="D40" i="17"/>
  <c r="D36" i="17"/>
  <c r="D16" i="17"/>
  <c r="D10" i="17"/>
  <c r="D6" i="17"/>
  <c r="D3" i="17"/>
  <c r="D144" i="17"/>
  <c r="E144" i="17" s="1"/>
  <c r="D140" i="17"/>
  <c r="E140" i="17" s="1"/>
  <c r="D115" i="17"/>
  <c r="E115" i="17" s="1"/>
  <c r="D110" i="17"/>
  <c r="E110" i="17" s="1"/>
  <c r="D102" i="17"/>
  <c r="E102" i="17" s="1"/>
  <c r="D101" i="17"/>
  <c r="E101" i="17" s="1"/>
  <c r="D86" i="17"/>
  <c r="E86" i="17" s="1"/>
  <c r="D79" i="17"/>
  <c r="E79" i="17" s="1"/>
  <c r="D67" i="17"/>
  <c r="D63" i="17"/>
  <c r="D59" i="17"/>
  <c r="D49" i="17"/>
  <c r="D42" i="17"/>
  <c r="D29" i="17"/>
  <c r="D147" i="17"/>
  <c r="E147" i="17" s="1"/>
  <c r="D135" i="17"/>
  <c r="E135" i="17" s="1"/>
  <c r="D134" i="17"/>
  <c r="E134" i="17" s="1"/>
  <c r="D114" i="17"/>
  <c r="E114" i="17" s="1"/>
  <c r="D105" i="17"/>
  <c r="E105" i="17" s="1"/>
  <c r="D96" i="17"/>
  <c r="E96" i="17" s="1"/>
  <c r="D85" i="17"/>
  <c r="E85" i="17" s="1"/>
  <c r="D78" i="17"/>
  <c r="E78" i="17" s="1"/>
  <c r="D73" i="17"/>
  <c r="D93" i="17"/>
  <c r="E93" i="17" s="1"/>
  <c r="D120" i="17"/>
  <c r="E120" i="17" s="1"/>
  <c r="D39" i="17"/>
  <c r="D25" i="17"/>
  <c r="D56" i="17"/>
  <c r="D66" i="17"/>
  <c r="D5" i="17"/>
  <c r="D9" i="17"/>
  <c r="D13" i="17"/>
  <c r="D32" i="17"/>
  <c r="D53" i="17"/>
  <c r="D58" i="17"/>
  <c r="K23" i="14"/>
  <c r="AR10" i="17"/>
  <c r="AR14" i="17"/>
  <c r="AR16" i="17"/>
  <c r="AR41" i="17"/>
  <c r="AS41" i="17" s="1"/>
  <c r="AR52" i="17"/>
  <c r="AS52" i="17" s="1"/>
  <c r="AR61" i="17"/>
  <c r="AS61" i="17" s="1"/>
  <c r="AR68" i="17"/>
  <c r="AS68" i="17" s="1"/>
  <c r="AR75" i="17"/>
  <c r="AS75" i="17" s="1"/>
  <c r="AR80" i="17"/>
  <c r="AS80" i="17" s="1"/>
  <c r="AR85" i="17"/>
  <c r="AS85" i="17" s="1"/>
  <c r="AR94" i="17"/>
  <c r="AS94" i="17" s="1"/>
  <c r="AR96" i="17"/>
  <c r="AS96" i="17" s="1"/>
  <c r="AR101" i="17"/>
  <c r="AS101" i="17" s="1"/>
  <c r="AR114" i="17"/>
  <c r="AS114" i="17" s="1"/>
  <c r="AR130" i="17"/>
  <c r="AS130" i="17" s="1"/>
  <c r="AR132" i="17"/>
  <c r="AS132" i="17" s="1"/>
  <c r="AR139" i="17"/>
  <c r="AS139" i="17" s="1"/>
  <c r="AR141" i="17"/>
  <c r="AS141" i="17" s="1"/>
  <c r="AR6" i="17"/>
  <c r="AR8" i="17"/>
  <c r="AR23" i="17"/>
  <c r="AR27" i="17"/>
  <c r="AS27" i="17" s="1"/>
  <c r="AR29" i="17"/>
  <c r="AS29" i="17" s="1"/>
  <c r="AR31" i="17"/>
  <c r="AS31" i="17" s="1"/>
  <c r="AR33" i="17"/>
  <c r="AS33" i="17" s="1"/>
  <c r="AR35" i="17"/>
  <c r="AS35" i="17" s="1"/>
  <c r="AR37" i="17"/>
  <c r="AS37" i="17" s="1"/>
  <c r="AR50" i="17"/>
  <c r="AS50" i="17" s="1"/>
  <c r="AR73" i="17"/>
  <c r="AS73" i="17" s="1"/>
  <c r="AR90" i="17"/>
  <c r="AS90" i="17" s="1"/>
  <c r="AR92" i="17"/>
  <c r="AS92" i="17" s="1"/>
  <c r="AR99" i="17"/>
  <c r="AS99" i="17" s="1"/>
  <c r="AR110" i="17"/>
  <c r="AS110" i="17" s="1"/>
  <c r="AR116" i="17"/>
  <c r="AS116" i="17" s="1"/>
  <c r="AR119" i="17"/>
  <c r="AS119" i="17" s="1"/>
  <c r="AR121" i="17"/>
  <c r="AS121" i="17" s="1"/>
  <c r="AR135" i="17"/>
  <c r="AS135" i="17" s="1"/>
  <c r="AR137" i="17"/>
  <c r="AS137" i="17" s="1"/>
  <c r="AR150" i="17"/>
  <c r="AS150" i="17" s="1"/>
  <c r="AR106" i="17"/>
  <c r="AS106" i="17" s="1"/>
  <c r="AR108" i="17"/>
  <c r="AS108" i="17" s="1"/>
  <c r="AR112" i="17"/>
  <c r="AS112" i="17" s="1"/>
  <c r="AR126" i="17"/>
  <c r="AS126" i="17" s="1"/>
  <c r="AR148" i="17"/>
  <c r="AS148" i="17" s="1"/>
  <c r="AR102" i="17"/>
  <c r="AS102" i="17" s="1"/>
  <c r="AR117" i="17"/>
  <c r="AS117" i="17" s="1"/>
  <c r="AR128" i="17"/>
  <c r="AS128" i="17" s="1"/>
  <c r="AR133" i="17"/>
  <c r="AS133" i="17" s="1"/>
  <c r="AR142" i="17"/>
  <c r="AS142" i="17" s="1"/>
  <c r="AR146" i="17"/>
  <c r="AS146" i="17" s="1"/>
  <c r="AR104" i="17"/>
  <c r="AS104" i="17" s="1"/>
  <c r="AR115" i="17"/>
  <c r="AS115" i="17" s="1"/>
  <c r="AR122" i="17"/>
  <c r="AS122" i="17" s="1"/>
  <c r="AR124" i="17"/>
  <c r="AS124" i="17" s="1"/>
  <c r="AR131" i="17"/>
  <c r="AS131" i="17" s="1"/>
  <c r="AR138" i="17"/>
  <c r="AS138" i="17" s="1"/>
  <c r="AR144" i="17"/>
  <c r="AS144" i="17" s="1"/>
  <c r="AR151" i="17"/>
  <c r="AS151" i="17" s="1"/>
  <c r="AR26" i="17"/>
  <c r="AR77" i="17"/>
  <c r="AS77" i="17" s="1"/>
  <c r="AR84" i="17"/>
  <c r="AS84" i="17" s="1"/>
  <c r="AR87" i="17"/>
  <c r="AS87" i="17" s="1"/>
  <c r="AR98" i="17"/>
  <c r="AS98" i="17" s="1"/>
  <c r="AR107" i="17"/>
  <c r="AS107" i="17" s="1"/>
  <c r="AR111" i="17"/>
  <c r="AS111" i="17" s="1"/>
  <c r="AR113" i="17"/>
  <c r="AS113" i="17" s="1"/>
  <c r="AR129" i="17"/>
  <c r="AS129" i="17" s="1"/>
  <c r="AR134" i="17"/>
  <c r="AS134" i="17" s="1"/>
  <c r="AR140" i="17"/>
  <c r="AS140" i="17" s="1"/>
  <c r="AR9" i="17"/>
  <c r="AR18" i="17"/>
  <c r="AR30" i="17"/>
  <c r="AS30" i="17" s="1"/>
  <c r="AR36" i="17"/>
  <c r="AS36" i="17" s="1"/>
  <c r="AR60" i="17"/>
  <c r="AS60" i="17" s="1"/>
  <c r="AR65" i="17"/>
  <c r="AS65" i="17" s="1"/>
  <c r="AR72" i="17"/>
  <c r="AS72" i="17" s="1"/>
  <c r="AR3" i="17"/>
  <c r="AR5" i="17"/>
  <c r="AR20" i="17"/>
  <c r="AR22" i="17"/>
  <c r="AR24" i="17"/>
  <c r="AR32" i="17"/>
  <c r="AS32" i="17" s="1"/>
  <c r="AR58" i="17"/>
  <c r="AS58" i="17" s="1"/>
  <c r="AR63" i="17"/>
  <c r="AS63" i="17" s="1"/>
  <c r="AR82" i="17"/>
  <c r="AS82" i="17" s="1"/>
  <c r="AR89" i="17"/>
  <c r="AS89" i="17" s="1"/>
  <c r="AR100" i="17"/>
  <c r="AS100" i="17" s="1"/>
  <c r="AR109" i="17"/>
  <c r="AS109" i="17" s="1"/>
  <c r="AR118" i="17"/>
  <c r="AS118" i="17" s="1"/>
  <c r="AR120" i="17"/>
  <c r="AS120" i="17" s="1"/>
  <c r="AR127" i="17"/>
  <c r="AS127" i="17" s="1"/>
  <c r="AR136" i="17"/>
  <c r="AS136" i="17" s="1"/>
  <c r="AJ10" i="17"/>
  <c r="AJ38" i="17"/>
  <c r="AK38" i="17" s="1"/>
  <c r="AJ58" i="17"/>
  <c r="AK58" i="17" s="1"/>
  <c r="AJ61" i="17"/>
  <c r="AK61" i="17" s="1"/>
  <c r="AJ82" i="17"/>
  <c r="AK82" i="17" s="1"/>
  <c r="AJ87" i="17"/>
  <c r="AK87" i="17" s="1"/>
  <c r="AJ3" i="17"/>
  <c r="AK3" i="17" s="1"/>
  <c r="AJ17" i="17"/>
  <c r="AJ24" i="17"/>
  <c r="AJ34" i="17"/>
  <c r="AK34" i="17" s="1"/>
  <c r="AJ45" i="17"/>
  <c r="AK45" i="17" s="1"/>
  <c r="AJ51" i="17"/>
  <c r="AK51" i="17" s="1"/>
  <c r="AJ64" i="17"/>
  <c r="AK64" i="17" s="1"/>
  <c r="AJ67" i="17"/>
  <c r="AK67" i="17" s="1"/>
  <c r="AJ79" i="17"/>
  <c r="AK79" i="17" s="1"/>
  <c r="AJ121" i="17"/>
  <c r="AK121" i="17" s="1"/>
  <c r="AJ136" i="17"/>
  <c r="AK136" i="17" s="1"/>
  <c r="AJ142" i="17"/>
  <c r="AK142" i="17" s="1"/>
  <c r="AJ6" i="17"/>
  <c r="AJ13" i="17"/>
  <c r="AJ20" i="17"/>
  <c r="AJ23" i="17"/>
  <c r="AJ27" i="17"/>
  <c r="AK27" i="17" s="1"/>
  <c r="AJ31" i="17"/>
  <c r="AK31" i="17" s="1"/>
  <c r="AJ41" i="17"/>
  <c r="AK41" i="17" s="1"/>
  <c r="AJ44" i="17"/>
  <c r="AK44" i="17" s="1"/>
  <c r="AJ54" i="17"/>
  <c r="AK54" i="17" s="1"/>
  <c r="AJ66" i="17"/>
  <c r="AK66" i="17" s="1"/>
  <c r="AJ70" i="17"/>
  <c r="AK70" i="17" s="1"/>
  <c r="AJ73" i="17"/>
  <c r="AK73" i="17" s="1"/>
  <c r="AJ76" i="17"/>
  <c r="AK76" i="17" s="1"/>
  <c r="AJ78" i="17"/>
  <c r="AK78" i="17" s="1"/>
  <c r="AJ90" i="17"/>
  <c r="AK90" i="17" s="1"/>
  <c r="AJ99" i="17"/>
  <c r="AK99" i="17" s="1"/>
  <c r="AJ105" i="17"/>
  <c r="AK105" i="17" s="1"/>
  <c r="AJ112" i="17"/>
  <c r="AK112" i="17" s="1"/>
  <c r="AJ115" i="17"/>
  <c r="AK115" i="17" s="1"/>
  <c r="AJ124" i="17"/>
  <c r="AK124" i="17" s="1"/>
  <c r="AJ127" i="17"/>
  <c r="AK127" i="17" s="1"/>
  <c r="AJ135" i="17"/>
  <c r="AK135" i="17" s="1"/>
  <c r="AJ151" i="17"/>
  <c r="AK151" i="17" s="1"/>
  <c r="AJ48" i="17"/>
  <c r="AK48" i="17" s="1"/>
  <c r="AJ63" i="17"/>
  <c r="AK63" i="17" s="1"/>
  <c r="AJ93" i="17"/>
  <c r="AK93" i="17" s="1"/>
  <c r="AJ108" i="17"/>
  <c r="AK108" i="17" s="1"/>
  <c r="AJ111" i="17"/>
  <c r="AK111" i="17" s="1"/>
  <c r="AJ123" i="17"/>
  <c r="AK123" i="17" s="1"/>
  <c r="AJ138" i="17"/>
  <c r="AK138" i="17" s="1"/>
  <c r="AJ145" i="17"/>
  <c r="AK145" i="17" s="1"/>
  <c r="AJ148" i="17"/>
  <c r="AK148" i="17" s="1"/>
  <c r="AJ9" i="17"/>
  <c r="AJ12" i="17"/>
  <c r="AJ16" i="17"/>
  <c r="AJ19" i="17"/>
  <c r="AJ26" i="17"/>
  <c r="AJ30" i="17"/>
  <c r="AK30" i="17" s="1"/>
  <c r="AJ37" i="17"/>
  <c r="AK37" i="17" s="1"/>
  <c r="AJ50" i="17"/>
  <c r="AK50" i="17" s="1"/>
  <c r="AJ57" i="17"/>
  <c r="AK57" i="17" s="1"/>
  <c r="AJ60" i="17"/>
  <c r="AK60" i="17" s="1"/>
  <c r="AJ72" i="17"/>
  <c r="AK72" i="17" s="1"/>
  <c r="AJ81" i="17"/>
  <c r="AK81" i="17" s="1"/>
  <c r="AJ84" i="17"/>
  <c r="AK84" i="17" s="1"/>
  <c r="AJ86" i="17"/>
  <c r="AK86" i="17" s="1"/>
  <c r="AJ96" i="17"/>
  <c r="AK96" i="17" s="1"/>
  <c r="AJ98" i="17"/>
  <c r="AK98" i="17" s="1"/>
  <c r="AJ101" i="17"/>
  <c r="AK101" i="17" s="1"/>
  <c r="AJ107" i="17"/>
  <c r="AK107" i="17" s="1"/>
  <c r="AJ114" i="17"/>
  <c r="AK114" i="17" s="1"/>
  <c r="AJ117" i="17"/>
  <c r="AK117" i="17" s="1"/>
  <c r="AJ120" i="17"/>
  <c r="AK120" i="17" s="1"/>
  <c r="AJ126" i="17"/>
  <c r="AK126" i="17" s="1"/>
  <c r="AJ129" i="17"/>
  <c r="AK129" i="17" s="1"/>
  <c r="AJ132" i="17"/>
  <c r="AK132" i="17" s="1"/>
  <c r="AJ134" i="17"/>
  <c r="AK134" i="17" s="1"/>
  <c r="AJ141" i="17"/>
  <c r="AK141" i="17" s="1"/>
  <c r="AJ18" i="17"/>
  <c r="AJ53" i="17"/>
  <c r="AK53" i="17" s="1"/>
  <c r="AJ110" i="17"/>
  <c r="AK110" i="17" s="1"/>
  <c r="AJ119" i="17"/>
  <c r="AK119" i="17" s="1"/>
  <c r="AJ150" i="17"/>
  <c r="AK150" i="17" s="1"/>
  <c r="AJ5" i="17"/>
  <c r="AJ22" i="17"/>
  <c r="AJ33" i="17"/>
  <c r="AK33" i="17" s="1"/>
  <c r="AJ43" i="17"/>
  <c r="AK43" i="17" s="1"/>
  <c r="AJ47" i="17"/>
  <c r="AK47" i="17" s="1"/>
  <c r="AJ62" i="17"/>
  <c r="AK62" i="17" s="1"/>
  <c r="AJ69" i="17"/>
  <c r="AK69" i="17" s="1"/>
  <c r="AJ75" i="17"/>
  <c r="AK75" i="17" s="1"/>
  <c r="AJ89" i="17"/>
  <c r="AK89" i="17" s="1"/>
  <c r="AJ104" i="17"/>
  <c r="AK104" i="17" s="1"/>
  <c r="AJ8" i="17"/>
  <c r="AJ15" i="17"/>
  <c r="AJ29" i="17"/>
  <c r="AK29" i="17" s="1"/>
  <c r="AJ36" i="17"/>
  <c r="AK36" i="17" s="1"/>
  <c r="AJ39" i="17"/>
  <c r="AK39" i="17" s="1"/>
  <c r="AJ56" i="17"/>
  <c r="AK56" i="17" s="1"/>
  <c r="AJ65" i="17"/>
  <c r="AK65" i="17" s="1"/>
  <c r="AJ77" i="17"/>
  <c r="AK77" i="17" s="1"/>
  <c r="AJ92" i="17"/>
  <c r="AK92" i="17" s="1"/>
  <c r="AJ95" i="17"/>
  <c r="AK95" i="17" s="1"/>
  <c r="AJ103" i="17"/>
  <c r="AK103" i="17" s="1"/>
  <c r="AJ122" i="17"/>
  <c r="AK122" i="17" s="1"/>
  <c r="AJ131" i="17"/>
  <c r="AK131" i="17" s="1"/>
  <c r="AJ137" i="17"/>
  <c r="AK137" i="17" s="1"/>
  <c r="AJ144" i="17"/>
  <c r="AK144" i="17" s="1"/>
  <c r="AJ147" i="17"/>
  <c r="AK147" i="17" s="1"/>
  <c r="K43" i="14"/>
  <c r="AJ4" i="17"/>
  <c r="AJ7" i="17"/>
  <c r="AJ11" i="17"/>
  <c r="AJ25" i="17"/>
  <c r="AJ28" i="17"/>
  <c r="AK28" i="17" s="1"/>
  <c r="AJ42" i="17"/>
  <c r="AK42" i="17" s="1"/>
  <c r="AJ46" i="17"/>
  <c r="AK46" i="17" s="1"/>
  <c r="AJ52" i="17"/>
  <c r="AK52" i="17" s="1"/>
  <c r="AJ55" i="17"/>
  <c r="AK55" i="17" s="1"/>
  <c r="AJ59" i="17"/>
  <c r="AK59" i="17" s="1"/>
  <c r="AJ68" i="17"/>
  <c r="AK68" i="17" s="1"/>
  <c r="AJ71" i="17"/>
  <c r="AK71" i="17" s="1"/>
  <c r="AJ74" i="17"/>
  <c r="AK74" i="17" s="1"/>
  <c r="AJ80" i="17"/>
  <c r="AK80" i="17" s="1"/>
  <c r="AJ83" i="17"/>
  <c r="AK83" i="17" s="1"/>
  <c r="AJ91" i="17"/>
  <c r="AK91" i="17" s="1"/>
  <c r="AJ106" i="17"/>
  <c r="AK106" i="17" s="1"/>
  <c r="AJ113" i="17"/>
  <c r="AK113" i="17" s="1"/>
  <c r="AJ125" i="17"/>
  <c r="AK125" i="17" s="1"/>
  <c r="AJ140" i="17"/>
  <c r="AK140" i="17" s="1"/>
  <c r="AB40" i="17"/>
  <c r="AC40" i="17" s="1"/>
  <c r="AB17" i="17"/>
  <c r="K38" i="14"/>
  <c r="AB23" i="17"/>
  <c r="AB27" i="17"/>
  <c r="AC27" i="17" s="1"/>
  <c r="AB30" i="17"/>
  <c r="AC30" i="17" s="1"/>
  <c r="AB31" i="17"/>
  <c r="AC31" i="17" s="1"/>
  <c r="AB62" i="17"/>
  <c r="AC62" i="17" s="1"/>
  <c r="AB64" i="17"/>
  <c r="AC64" i="17" s="1"/>
  <c r="AB18" i="17"/>
  <c r="AB22" i="17"/>
  <c r="AB24" i="17"/>
  <c r="AB25" i="17"/>
  <c r="AB44" i="17"/>
  <c r="AC44" i="17" s="1"/>
  <c r="AB49" i="17"/>
  <c r="AC49" i="17" s="1"/>
  <c r="AB76" i="17"/>
  <c r="AC76" i="17" s="1"/>
  <c r="AB85" i="17"/>
  <c r="AB97" i="17"/>
  <c r="AB107" i="17"/>
  <c r="AB109" i="17"/>
  <c r="AB112" i="17"/>
  <c r="AB122" i="17"/>
  <c r="AB124" i="17"/>
  <c r="AB133" i="17"/>
  <c r="AC133" i="17" s="1"/>
  <c r="AB149" i="17"/>
  <c r="AC149" i="17" s="1"/>
  <c r="AB26" i="17"/>
  <c r="AB29" i="17"/>
  <c r="AC29" i="17" s="1"/>
  <c r="AB32" i="17"/>
  <c r="AC32" i="17" s="1"/>
  <c r="AB63" i="17"/>
  <c r="AC63" i="17" s="1"/>
  <c r="AB110" i="17"/>
  <c r="AB111" i="17"/>
  <c r="AB113" i="17"/>
  <c r="AB123" i="17"/>
  <c r="AB125" i="17"/>
  <c r="AB136" i="17"/>
  <c r="AC136" i="17" s="1"/>
  <c r="AB150" i="17"/>
  <c r="AC150" i="17" s="1"/>
  <c r="AB19" i="17"/>
  <c r="AB20" i="17"/>
  <c r="AB21" i="17"/>
  <c r="AB42" i="17"/>
  <c r="AC42" i="17" s="1"/>
  <c r="AB43" i="17"/>
  <c r="AC43" i="17" s="1"/>
  <c r="AB45" i="17"/>
  <c r="AC45" i="17" s="1"/>
  <c r="AB46" i="17"/>
  <c r="AC46" i="17" s="1"/>
  <c r="AB47" i="17"/>
  <c r="AC47" i="17" s="1"/>
  <c r="AB48" i="17"/>
  <c r="AC48" i="17" s="1"/>
  <c r="AB61" i="17"/>
  <c r="AC61" i="17" s="1"/>
  <c r="AB74" i="17"/>
  <c r="AC74" i="17" s="1"/>
  <c r="AB75" i="17"/>
  <c r="AC75" i="17" s="1"/>
  <c r="AB106" i="17"/>
  <c r="AB108" i="17"/>
  <c r="AB119" i="17"/>
  <c r="AB121" i="17"/>
  <c r="AB148" i="17"/>
  <c r="AC148" i="17" s="1"/>
  <c r="AB60" i="17"/>
  <c r="AC60" i="17" s="1"/>
  <c r="AB72" i="17"/>
  <c r="AC72" i="17" s="1"/>
  <c r="AB73" i="17"/>
  <c r="AC73" i="17" s="1"/>
  <c r="AB84" i="17"/>
  <c r="AB94" i="17"/>
  <c r="AB95" i="17"/>
  <c r="AB96" i="17"/>
  <c r="AB102" i="17"/>
  <c r="AB103" i="17"/>
  <c r="AB105" i="17"/>
  <c r="AB118" i="17"/>
  <c r="AB120" i="17"/>
  <c r="AB130" i="17"/>
  <c r="AC130" i="17" s="1"/>
  <c r="AB131" i="17"/>
  <c r="AC131" i="17" s="1"/>
  <c r="AB132" i="17"/>
  <c r="AC132" i="17" s="1"/>
  <c r="AB146" i="17"/>
  <c r="AC146" i="17" s="1"/>
  <c r="AB147" i="17"/>
  <c r="AC147" i="17" s="1"/>
  <c r="AB13" i="17"/>
  <c r="AB82" i="17"/>
  <c r="AB93" i="17"/>
  <c r="AB145" i="17"/>
  <c r="AC145" i="17" s="1"/>
  <c r="AB14" i="17"/>
  <c r="AB16" i="17"/>
  <c r="AB55" i="17"/>
  <c r="AC55" i="17" s="1"/>
  <c r="AB83" i="17"/>
  <c r="AB104" i="17"/>
  <c r="AB143" i="17"/>
  <c r="AC143" i="17" s="1"/>
  <c r="AB7" i="17"/>
  <c r="AB10" i="17"/>
  <c r="AB11" i="17"/>
  <c r="AB34" i="17"/>
  <c r="AC34" i="17" s="1"/>
  <c r="AB38" i="17"/>
  <c r="AC38" i="17" s="1"/>
  <c r="AB54" i="17"/>
  <c r="AC54" i="17" s="1"/>
  <c r="AB56" i="17"/>
  <c r="AC56" i="17" s="1"/>
  <c r="AB57" i="17"/>
  <c r="AC57" i="17" s="1"/>
  <c r="AB66" i="17"/>
  <c r="AC66" i="17" s="1"/>
  <c r="AB70" i="17"/>
  <c r="AC70" i="17" s="1"/>
  <c r="AB78" i="17"/>
  <c r="AB81" i="17"/>
  <c r="AB90" i="17"/>
  <c r="AB92" i="17"/>
  <c r="AB101" i="17"/>
  <c r="AB117" i="17"/>
  <c r="AB129" i="17"/>
  <c r="AC129" i="17" s="1"/>
  <c r="AB139" i="17"/>
  <c r="AC139" i="17" s="1"/>
  <c r="AB141" i="17"/>
  <c r="AC141" i="17" s="1"/>
  <c r="AB144" i="17"/>
  <c r="AC144" i="17" s="1"/>
  <c r="AB15" i="17"/>
  <c r="AB59" i="17"/>
  <c r="AC59" i="17" s="1"/>
  <c r="AB142" i="17"/>
  <c r="AC142" i="17" s="1"/>
  <c r="AB6" i="17"/>
  <c r="AB8" i="17"/>
  <c r="AB9" i="17"/>
  <c r="AB35" i="17"/>
  <c r="AC35" i="17" s="1"/>
  <c r="AB36" i="17"/>
  <c r="AC36" i="17" s="1"/>
  <c r="AB37" i="17"/>
  <c r="AC37" i="17" s="1"/>
  <c r="AB51" i="17"/>
  <c r="AC51" i="17" s="1"/>
  <c r="AB52" i="17"/>
  <c r="AC52" i="17" s="1"/>
  <c r="AB53" i="17"/>
  <c r="AC53" i="17" s="1"/>
  <c r="AB67" i="17"/>
  <c r="AC67" i="17" s="1"/>
  <c r="AB68" i="17"/>
  <c r="AC68" i="17" s="1"/>
  <c r="AB69" i="17"/>
  <c r="AC69" i="17" s="1"/>
  <c r="AB79" i="17"/>
  <c r="AB80" i="17"/>
  <c r="AB87" i="17"/>
  <c r="AB89" i="17"/>
  <c r="AB138" i="17"/>
  <c r="AC138" i="17" s="1"/>
  <c r="AB140" i="17"/>
  <c r="AC140" i="17" s="1"/>
  <c r="AB12" i="17"/>
  <c r="AB39" i="17"/>
  <c r="AC39" i="17" s="1"/>
  <c r="AB58" i="17"/>
  <c r="AC58" i="17" s="1"/>
  <c r="AB71" i="17"/>
  <c r="AC71" i="17" s="1"/>
  <c r="AB91" i="17"/>
  <c r="AB2" i="17"/>
  <c r="AC2" i="17" s="1"/>
  <c r="AB3" i="17"/>
  <c r="AB4" i="17"/>
  <c r="AB5" i="17"/>
  <c r="AB28" i="17"/>
  <c r="AC28" i="17" s="1"/>
  <c r="AB33" i="17"/>
  <c r="AC33" i="17" s="1"/>
  <c r="AB50" i="17"/>
  <c r="AC50" i="17" s="1"/>
  <c r="AB65" i="17"/>
  <c r="AC65" i="17" s="1"/>
  <c r="AB77" i="17"/>
  <c r="AC77" i="17" s="1"/>
  <c r="AB86" i="17"/>
  <c r="AB88" i="17"/>
  <c r="AB98" i="17"/>
  <c r="AB99" i="17"/>
  <c r="AB100" i="17"/>
  <c r="AB114" i="17"/>
  <c r="AB115" i="17"/>
  <c r="AB116" i="17"/>
  <c r="AB126" i="17"/>
  <c r="AB127" i="17"/>
  <c r="AC127" i="17" s="1"/>
  <c r="AB128" i="17"/>
  <c r="AC128" i="17" s="1"/>
  <c r="AB134" i="17"/>
  <c r="AC134" i="17" s="1"/>
  <c r="AB135" i="17"/>
  <c r="AC135" i="17" s="1"/>
  <c r="AB137" i="17"/>
  <c r="AC137" i="17" s="1"/>
  <c r="K33" i="14"/>
  <c r="T2" i="17"/>
  <c r="U2" i="17" s="1"/>
  <c r="T12" i="17"/>
  <c r="U12" i="17" s="1"/>
  <c r="T23" i="17"/>
  <c r="U23" i="17" s="1"/>
  <c r="T33" i="17"/>
  <c r="T34" i="17"/>
  <c r="T44" i="17"/>
  <c r="T55" i="17"/>
  <c r="T65" i="17"/>
  <c r="T66" i="17"/>
  <c r="T76" i="17"/>
  <c r="T77" i="17"/>
  <c r="U77" i="17" s="1"/>
  <c r="T78" i="17"/>
  <c r="U78" i="17" s="1"/>
  <c r="T91" i="17"/>
  <c r="U91" i="17" s="1"/>
  <c r="T100" i="17"/>
  <c r="U100" i="17" s="1"/>
  <c r="T101" i="17"/>
  <c r="U101" i="17" s="1"/>
  <c r="T102" i="17"/>
  <c r="U102" i="17" s="1"/>
  <c r="T123" i="17"/>
  <c r="U123" i="17" s="1"/>
  <c r="T132" i="17"/>
  <c r="U132" i="17" s="1"/>
  <c r="T133" i="17"/>
  <c r="U133" i="17" s="1"/>
  <c r="T134" i="17"/>
  <c r="U134" i="17" s="1"/>
  <c r="T7" i="17"/>
  <c r="U7" i="17" s="1"/>
  <c r="T17" i="17"/>
  <c r="U17" i="17" s="1"/>
  <c r="T18" i="17"/>
  <c r="U18" i="17" s="1"/>
  <c r="T28" i="17"/>
  <c r="U28" i="17" s="1"/>
  <c r="T39" i="17"/>
  <c r="T49" i="17"/>
  <c r="T50" i="17"/>
  <c r="T60" i="17"/>
  <c r="T71" i="17"/>
  <c r="T84" i="17"/>
  <c r="U84" i="17" s="1"/>
  <c r="T85" i="17"/>
  <c r="U85" i="17" s="1"/>
  <c r="T86" i="17"/>
  <c r="U86" i="17" s="1"/>
  <c r="T107" i="17"/>
  <c r="U107" i="17" s="1"/>
  <c r="T116" i="17"/>
  <c r="U116" i="17" s="1"/>
  <c r="T117" i="17"/>
  <c r="U117" i="17" s="1"/>
  <c r="T118" i="17"/>
  <c r="U118" i="17" s="1"/>
  <c r="T139" i="17"/>
  <c r="U139" i="17" s="1"/>
  <c r="T40" i="17"/>
  <c r="T51" i="17"/>
  <c r="T61" i="17"/>
  <c r="T62" i="17"/>
  <c r="T72" i="17"/>
  <c r="T87" i="17"/>
  <c r="U87" i="17" s="1"/>
  <c r="T96" i="17"/>
  <c r="U96" i="17" s="1"/>
  <c r="T97" i="17"/>
  <c r="U97" i="17" s="1"/>
  <c r="T98" i="17"/>
  <c r="U98" i="17" s="1"/>
  <c r="T119" i="17"/>
  <c r="U119" i="17" s="1"/>
  <c r="T128" i="17"/>
  <c r="U128" i="17" s="1"/>
  <c r="T129" i="17"/>
  <c r="U129" i="17" s="1"/>
  <c r="K28" i="14"/>
  <c r="L151" i="17"/>
  <c r="M151" i="17" s="1"/>
  <c r="L148" i="17"/>
  <c r="M148" i="17" s="1"/>
  <c r="L149" i="17"/>
  <c r="M149" i="17" s="1"/>
  <c r="L81" i="17"/>
  <c r="M81" i="17" s="1"/>
  <c r="L93" i="17"/>
  <c r="M93" i="17" s="1"/>
  <c r="L97" i="17"/>
  <c r="M97" i="17" s="1"/>
  <c r="L109" i="17"/>
  <c r="M109" i="17" s="1"/>
  <c r="L77" i="17"/>
  <c r="M77" i="17" s="1"/>
  <c r="L85" i="17"/>
  <c r="M85" i="17" s="1"/>
  <c r="L89" i="17"/>
  <c r="M89" i="17" s="1"/>
  <c r="L101" i="17"/>
  <c r="M101" i="17" s="1"/>
  <c r="L105" i="17"/>
  <c r="M105" i="17" s="1"/>
  <c r="L113" i="17"/>
  <c r="M113" i="17" s="1"/>
  <c r="L117" i="17"/>
  <c r="M117" i="17" s="1"/>
  <c r="L121" i="17"/>
  <c r="M121" i="17" s="1"/>
  <c r="L125" i="17"/>
  <c r="M125" i="17" s="1"/>
  <c r="L129" i="17"/>
  <c r="M129" i="17" s="1"/>
  <c r="L133" i="17"/>
  <c r="M133" i="17" s="1"/>
  <c r="L137" i="17"/>
  <c r="M137" i="17" s="1"/>
  <c r="L141" i="17"/>
  <c r="M141" i="17" s="1"/>
  <c r="L145" i="17"/>
  <c r="M145" i="17" s="1"/>
  <c r="L2" i="17"/>
  <c r="M2" i="17" s="1"/>
  <c r="L6" i="17"/>
  <c r="L10" i="17"/>
  <c r="L14" i="17"/>
  <c r="L18" i="17"/>
  <c r="L22" i="17"/>
  <c r="L26" i="17"/>
  <c r="L30" i="17"/>
  <c r="L34" i="17"/>
  <c r="L38" i="17"/>
  <c r="L42" i="17"/>
  <c r="L46" i="17"/>
  <c r="L50" i="17"/>
  <c r="L54" i="17"/>
  <c r="L58" i="17"/>
  <c r="L62" i="17"/>
  <c r="L66" i="17"/>
  <c r="L70" i="17"/>
  <c r="L74" i="17"/>
  <c r="L78" i="17"/>
  <c r="M78" i="17" s="1"/>
  <c r="L82" i="17"/>
  <c r="M82" i="17" s="1"/>
  <c r="L86" i="17"/>
  <c r="M86" i="17" s="1"/>
  <c r="L90" i="17"/>
  <c r="M90" i="17" s="1"/>
  <c r="L94" i="17"/>
  <c r="M94" i="17" s="1"/>
  <c r="L98" i="17"/>
  <c r="M98" i="17" s="1"/>
  <c r="L102" i="17"/>
  <c r="M102" i="17" s="1"/>
  <c r="L106" i="17"/>
  <c r="M106" i="17" s="1"/>
  <c r="L110" i="17"/>
  <c r="M110" i="17" s="1"/>
  <c r="L114" i="17"/>
  <c r="M114" i="17" s="1"/>
  <c r="L118" i="17"/>
  <c r="M118" i="17" s="1"/>
  <c r="L122" i="17"/>
  <c r="M122" i="17" s="1"/>
  <c r="L126" i="17"/>
  <c r="M126" i="17" s="1"/>
  <c r="L130" i="17"/>
  <c r="M130" i="17" s="1"/>
  <c r="L134" i="17"/>
  <c r="M134" i="17" s="1"/>
  <c r="L138" i="17"/>
  <c r="M138" i="17" s="1"/>
  <c r="L142" i="17"/>
  <c r="M142" i="17" s="1"/>
  <c r="L146" i="17"/>
  <c r="M146" i="17" s="1"/>
  <c r="E24" i="19"/>
  <c r="E23" i="9"/>
  <c r="K54" i="7"/>
  <c r="J10" i="19"/>
  <c r="J12" i="19" s="1"/>
  <c r="J10" i="9"/>
  <c r="J11" i="9"/>
  <c r="AS3" i="17" l="1"/>
  <c r="AS4" i="17" s="1"/>
  <c r="AK4" i="17"/>
  <c r="AK5" i="17" s="1"/>
  <c r="G1" i="18"/>
  <c r="F1" i="9" s="1"/>
  <c r="M4" i="17"/>
  <c r="M5" i="17" s="1"/>
  <c r="M6" i="17" s="1"/>
  <c r="M7" i="17" s="1"/>
  <c r="M8" i="17" s="1"/>
  <c r="M9" i="17" s="1"/>
  <c r="M10" i="17" s="1"/>
  <c r="M11" i="17" s="1"/>
  <c r="M12" i="17" s="1"/>
  <c r="M13" i="17" s="1"/>
  <c r="M14" i="17" s="1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AC78" i="17"/>
  <c r="AC79" i="17" s="1"/>
  <c r="AC80" i="17" s="1"/>
  <c r="AC81" i="17" s="1"/>
  <c r="AC82" i="17" s="1"/>
  <c r="AC83" i="17" s="1"/>
  <c r="AC84" i="17" s="1"/>
  <c r="AC85" i="17" s="1"/>
  <c r="AC86" i="17" s="1"/>
  <c r="AC87" i="17" s="1"/>
  <c r="AC88" i="17" s="1"/>
  <c r="AC89" i="17" s="1"/>
  <c r="AC90" i="17" s="1"/>
  <c r="AC91" i="17" s="1"/>
  <c r="AC92" i="17" s="1"/>
  <c r="AC93" i="17" s="1"/>
  <c r="AC94" i="17" s="1"/>
  <c r="AC95" i="17" s="1"/>
  <c r="AC96" i="17" s="1"/>
  <c r="AC97" i="17" s="1"/>
  <c r="AC98" i="17" s="1"/>
  <c r="AC99" i="17" s="1"/>
  <c r="AC100" i="17" s="1"/>
  <c r="AC101" i="17" s="1"/>
  <c r="AC102" i="17"/>
  <c r="AC103" i="17" s="1"/>
  <c r="AC104" i="17" s="1"/>
  <c r="AC105" i="17" s="1"/>
  <c r="AC106" i="17" s="1"/>
  <c r="AC107" i="17" s="1"/>
  <c r="AC108" i="17" s="1"/>
  <c r="AC109" i="17" s="1"/>
  <c r="AC110" i="17" s="1"/>
  <c r="AC111" i="17" s="1"/>
  <c r="AC112" i="17" s="1"/>
  <c r="AC113" i="17" s="1"/>
  <c r="AC114" i="17" s="1"/>
  <c r="AC115" i="17" s="1"/>
  <c r="AC116" i="17" s="1"/>
  <c r="AC117" i="17" s="1"/>
  <c r="AC118" i="17" s="1"/>
  <c r="AC119" i="17" s="1"/>
  <c r="AC120" i="17" s="1"/>
  <c r="AC121" i="17" s="1"/>
  <c r="AC122" i="17" s="1"/>
  <c r="AC123" i="17" s="1"/>
  <c r="AC124" i="17" s="1"/>
  <c r="AC125" i="17" s="1"/>
  <c r="AC126" i="17" s="1"/>
  <c r="U29" i="17"/>
  <c r="U30" i="17" s="1"/>
  <c r="E5" i="17"/>
  <c r="E6" i="17" s="1"/>
  <c r="E7" i="17" s="1"/>
  <c r="E8" i="17" s="1"/>
  <c r="E9" i="17" s="1"/>
  <c r="E10" i="17" s="1"/>
  <c r="E11" i="17" s="1"/>
  <c r="E12" i="17" s="1"/>
  <c r="E13" i="17" s="1"/>
  <c r="E14" i="17" s="1"/>
  <c r="E15" i="17" s="1"/>
  <c r="E16" i="17" s="1"/>
  <c r="E17" i="17" s="1"/>
  <c r="E18" i="17" s="1"/>
  <c r="E19" i="17" s="1"/>
  <c r="E20" i="17" s="1"/>
  <c r="E21" i="17" s="1"/>
  <c r="E22" i="17" s="1"/>
  <c r="E23" i="17" s="1"/>
  <c r="E24" i="17" s="1"/>
  <c r="E25" i="17" s="1"/>
  <c r="E26" i="17" s="1"/>
  <c r="M54" i="17"/>
  <c r="M55" i="17" s="1"/>
  <c r="M56" i="17" s="1"/>
  <c r="E29" i="17"/>
  <c r="K54" i="14"/>
  <c r="AC3" i="17"/>
  <c r="AC4" i="17" s="1"/>
  <c r="AC5" i="17" s="1"/>
  <c r="J12" i="9"/>
  <c r="AT1" i="17" l="1"/>
  <c r="W10" i="14" s="1"/>
  <c r="AS5" i="17"/>
  <c r="AS6" i="17" s="1"/>
  <c r="AS7" i="17" s="1"/>
  <c r="AS8" i="17" s="1"/>
  <c r="AS9" i="17" s="1"/>
  <c r="AS10" i="17" s="1"/>
  <c r="AS11" i="17" s="1"/>
  <c r="AS12" i="17" s="1"/>
  <c r="AS13" i="17" s="1"/>
  <c r="AS14" i="17" s="1"/>
  <c r="AS15" i="17" s="1"/>
  <c r="AS16" i="17" s="1"/>
  <c r="AS17" i="17" s="1"/>
  <c r="AS18" i="17" s="1"/>
  <c r="AS19" i="17" s="1"/>
  <c r="AS20" i="17" s="1"/>
  <c r="AS21" i="17" s="1"/>
  <c r="AS22" i="17" s="1"/>
  <c r="AS23" i="17" s="1"/>
  <c r="AS24" i="17" s="1"/>
  <c r="AS25" i="17" s="1"/>
  <c r="AS26" i="17" s="1"/>
  <c r="AK6" i="17"/>
  <c r="AK7" i="17" s="1"/>
  <c r="AK8" i="17" s="1"/>
  <c r="AK9" i="17" s="1"/>
  <c r="AK10" i="17" s="1"/>
  <c r="AK11" i="17" s="1"/>
  <c r="AK12" i="17" s="1"/>
  <c r="AK13" i="17" s="1"/>
  <c r="AK14" i="17" s="1"/>
  <c r="AK15" i="17" s="1"/>
  <c r="AK16" i="17" s="1"/>
  <c r="AK17" i="17" s="1"/>
  <c r="AK18" i="17" s="1"/>
  <c r="AK19" i="17" s="1"/>
  <c r="AK20" i="17" s="1"/>
  <c r="AK21" i="17" s="1"/>
  <c r="AK22" i="17" s="1"/>
  <c r="AK23" i="17" s="1"/>
  <c r="AK24" i="17" s="1"/>
  <c r="AK25" i="17" s="1"/>
  <c r="AK26" i="17" s="1"/>
  <c r="AL1" i="17"/>
  <c r="U10" i="14" s="1"/>
  <c r="F1" i="19"/>
  <c r="U31" i="17"/>
  <c r="U32" i="17" s="1"/>
  <c r="U33" i="17" s="1"/>
  <c r="U34" i="17" s="1"/>
  <c r="U35" i="17" s="1"/>
  <c r="U36" i="17" s="1"/>
  <c r="U37" i="17" s="1"/>
  <c r="U38" i="17" s="1"/>
  <c r="U39" i="17" s="1"/>
  <c r="U40" i="17" s="1"/>
  <c r="U41" i="17" s="1"/>
  <c r="U42" i="17" s="1"/>
  <c r="U43" i="17" s="1"/>
  <c r="U44" i="17" s="1"/>
  <c r="U45" i="17" s="1"/>
  <c r="U46" i="17" s="1"/>
  <c r="U47" i="17" s="1"/>
  <c r="U48" i="17" s="1"/>
  <c r="U49" i="17" s="1"/>
  <c r="U50" i="17" s="1"/>
  <c r="U51" i="17" s="1"/>
  <c r="U52" i="17" s="1"/>
  <c r="U53" i="17" s="1"/>
  <c r="U54" i="17" s="1"/>
  <c r="U55" i="17" s="1"/>
  <c r="U56" i="17" s="1"/>
  <c r="U57" i="17" s="1"/>
  <c r="U58" i="17" s="1"/>
  <c r="U59" i="17" s="1"/>
  <c r="U60" i="17" s="1"/>
  <c r="U61" i="17" s="1"/>
  <c r="U62" i="17" s="1"/>
  <c r="U63" i="17" s="1"/>
  <c r="U64" i="17" s="1"/>
  <c r="U65" i="17" s="1"/>
  <c r="U66" i="17" s="1"/>
  <c r="U67" i="17" s="1"/>
  <c r="U68" i="17" s="1"/>
  <c r="U69" i="17" s="1"/>
  <c r="U70" i="17" s="1"/>
  <c r="U71" i="17" s="1"/>
  <c r="U72" i="17" s="1"/>
  <c r="U73" i="17" s="1"/>
  <c r="U74" i="17" s="1"/>
  <c r="U75" i="17" s="1"/>
  <c r="U76" i="17" s="1"/>
  <c r="V1" i="17"/>
  <c r="Q10" i="14" s="1"/>
  <c r="N1" i="17"/>
  <c r="O10" i="14" s="1"/>
  <c r="M57" i="17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E30" i="17"/>
  <c r="E31" i="17" s="1"/>
  <c r="E32" i="17" s="1"/>
  <c r="E33" i="17" s="1"/>
  <c r="E34" i="17" s="1"/>
  <c r="E35" i="17" s="1"/>
  <c r="E36" i="17" s="1"/>
  <c r="E37" i="17" s="1"/>
  <c r="E38" i="17" s="1"/>
  <c r="E39" i="17" s="1"/>
  <c r="E40" i="17" s="1"/>
  <c r="E41" i="17" s="1"/>
  <c r="E42" i="17" s="1"/>
  <c r="E43" i="17" s="1"/>
  <c r="E44" i="17" s="1"/>
  <c r="E45" i="17" s="1"/>
  <c r="E46" i="17" s="1"/>
  <c r="E47" i="17" s="1"/>
  <c r="E48" i="17" s="1"/>
  <c r="E49" i="17" s="1"/>
  <c r="E50" i="17" s="1"/>
  <c r="E51" i="17" s="1"/>
  <c r="E52" i="17" s="1"/>
  <c r="E53" i="17" s="1"/>
  <c r="E54" i="17" s="1"/>
  <c r="E55" i="17" s="1"/>
  <c r="E56" i="17" s="1"/>
  <c r="E57" i="17" s="1"/>
  <c r="E58" i="17" s="1"/>
  <c r="E59" i="17" s="1"/>
  <c r="E60" i="17" s="1"/>
  <c r="E61" i="17" s="1"/>
  <c r="E62" i="17" s="1"/>
  <c r="E63" i="17" s="1"/>
  <c r="E64" i="17" s="1"/>
  <c r="E65" i="17" s="1"/>
  <c r="E66" i="17" s="1"/>
  <c r="E67" i="17" s="1"/>
  <c r="E68" i="17" s="1"/>
  <c r="E69" i="17" s="1"/>
  <c r="E70" i="17" s="1"/>
  <c r="E71" i="17" s="1"/>
  <c r="E72" i="17" s="1"/>
  <c r="E73" i="17" s="1"/>
  <c r="E74" i="17" s="1"/>
  <c r="E75" i="17" s="1"/>
  <c r="E76" i="17" s="1"/>
  <c r="AC6" i="17"/>
  <c r="AC7" i="17" s="1"/>
  <c r="AC8" i="17" s="1"/>
  <c r="AC9" i="17" s="1"/>
  <c r="AC10" i="17" s="1"/>
  <c r="AC11" i="17" s="1"/>
  <c r="AC12" i="17" s="1"/>
  <c r="AC13" i="17" s="1"/>
  <c r="AC14" i="17" s="1"/>
  <c r="AC15" i="17" s="1"/>
  <c r="AC16" i="17" s="1"/>
  <c r="AC17" i="17" s="1"/>
  <c r="AC18" i="17" s="1"/>
  <c r="AC19" i="17" s="1"/>
  <c r="AC20" i="17" s="1"/>
  <c r="AC21" i="17" s="1"/>
  <c r="AC22" i="17" s="1"/>
  <c r="AC23" i="17" s="1"/>
  <c r="AC24" i="17" s="1"/>
  <c r="AC25" i="17" s="1"/>
  <c r="AC26" i="17" s="1"/>
  <c r="AD1" i="17"/>
  <c r="S10" i="14" s="1"/>
  <c r="F1" i="17" l="1"/>
  <c r="M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Maya1</author>
  </authors>
  <commentList>
    <comment ref="L2" authorId="0" shapeId="0" xr:uid="{88EBF42C-F761-41A3-B9D2-E2B581EF403A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EXCEL OLARAK KAYDET BUTONU OLACAK. MESELA EĞER 2 ÜRÜN VARSA ÜRÜN 1 İÇİN AYRI EXCEL OLARAK KAYDEDECEK. ÜRÜN 2 İÇİN AYRI EXCEL OLARAK KAYDEDECEK.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Maya1</author>
  </authors>
  <commentList>
    <comment ref="M9" authorId="0" shapeId="0" xr:uid="{63BCE3BF-301A-4918-A237-8B19AB67D7B5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MİKTAR 1 isimleri yerine direk sayı gelsin.
</t>
        </r>
      </text>
    </comment>
    <comment ref="M11" authorId="0" shapeId="0" xr:uid="{74D0130F-D18B-4760-B553-DDBF67190CC3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OPSİYON EKLE butonu olsun ve seçenekler buraya gelsin. Ve miktar ürün seçimiyle bağlantı olıcak.</t>
        </r>
      </text>
    </comment>
    <comment ref="O11" authorId="0" shapeId="0" xr:uid="{A04BF8F5-1AA3-47F1-A411-0A3300D3ED50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OPSİYON EKLE butonu olsun ve seçenekler buraya gelsin. Ve miktar ürün seçimiyle bağlantı olıcak.</t>
        </r>
      </text>
    </comment>
    <comment ref="Q11" authorId="0" shapeId="0" xr:uid="{7D54E8F9-A307-4F1C-A090-BF19FE6971A4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OPSİYON EKLE butonu olsun ve seçenekler buraya gelsin. Ve miktar ürün seçimiyle bağlantı olıcak.</t>
        </r>
      </text>
    </comment>
    <comment ref="S11" authorId="0" shapeId="0" xr:uid="{F34DE1AE-5B92-4D5A-8A93-14A33BD37217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OPSİYON EKLE butonu olsun ve seçenekler buraya gelsin. Ve miktar ürün seçimiyle bağlantı olıcak.</t>
        </r>
      </text>
    </comment>
    <comment ref="U11" authorId="0" shapeId="0" xr:uid="{8455E4D2-33E3-4C67-8FCC-6D16FF0874AE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OPSİYON EKLE butonu olsun ve seçenekler buraya gelsin. Ve miktar ürün seçimiyle bağlantı olıcak.</t>
        </r>
      </text>
    </comment>
    <comment ref="W11" authorId="0" shapeId="0" xr:uid="{73BDCD9F-A7BA-4868-A675-BF50645C45CA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OPSİYON EKLE butonu olsun ve seçenekler buraya gelsin. Ve miktar ürün seçimiyle bağlantı olıcak.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Maya1</author>
  </authors>
  <commentList>
    <comment ref="C1" authorId="0" shapeId="0" xr:uid="{465B1B9A-3AE4-4157-A843-276656626D71}">
      <text>
        <r>
          <rPr>
            <b/>
            <sz val="9"/>
            <color indexed="81"/>
            <rFont val="Tahoma"/>
            <family val="2"/>
            <charset val="162"/>
          </rPr>
          <t>Maya1:</t>
        </r>
        <r>
          <rPr>
            <sz val="9"/>
            <color indexed="81"/>
            <rFont val="Tahoma"/>
            <family val="2"/>
            <charset val="162"/>
          </rPr>
          <t xml:space="preserve">
Laminasyon içinde olsun
</t>
        </r>
      </text>
    </comment>
  </commentList>
</comments>
</file>

<file path=xl/sharedStrings.xml><?xml version="1.0" encoding="utf-8"?>
<sst xmlns="http://schemas.openxmlformats.org/spreadsheetml/2006/main" count="2843" uniqueCount="1133">
  <si>
    <t>İŞ GELİŞTİRME NO</t>
  </si>
  <si>
    <t>İP</t>
  </si>
  <si>
    <t>NAKLİYE TİPİ</t>
  </si>
  <si>
    <t>KURDELE</t>
  </si>
  <si>
    <t>SİPARİŞ MİKTARI</t>
  </si>
  <si>
    <t>TARİH</t>
  </si>
  <si>
    <t>MÜŞTERİ ADI</t>
  </si>
  <si>
    <t>MÜŞTERİ TEMSİLCİSİ</t>
  </si>
  <si>
    <t>HÜDA KAPLAN</t>
  </si>
  <si>
    <t>BASKI TİPİ</t>
  </si>
  <si>
    <t>AĞIZ TAKVİYESİ ÖZELLİĞİ</t>
  </si>
  <si>
    <t>DİP KARTON ÖZELLİĞİ</t>
  </si>
  <si>
    <t>TESLİMAT NOTLARI</t>
  </si>
  <si>
    <t>AYNI</t>
  </si>
  <si>
    <t>FARKLI</t>
  </si>
  <si>
    <t>YAN</t>
  </si>
  <si>
    <t>YAN DİP</t>
  </si>
  <si>
    <t>4 NOKTA KONİK</t>
  </si>
  <si>
    <t>6 NOKTA KONİK</t>
  </si>
  <si>
    <t>8 NOKTA KONİK</t>
  </si>
  <si>
    <t>10 NOKTA KONİK</t>
  </si>
  <si>
    <t>2 NOKTA KONİK</t>
  </si>
  <si>
    <t>DİP</t>
  </si>
  <si>
    <t>GOFRE</t>
  </si>
  <si>
    <t>YALDIZ</t>
  </si>
  <si>
    <t>GREN</t>
  </si>
  <si>
    <t>KADİFE SELEFON</t>
  </si>
  <si>
    <t>ÖN VE ARKA BASKI AYNI MI?</t>
  </si>
  <si>
    <t>BASKI TÜRÜ</t>
  </si>
  <si>
    <t>OFSET BASKI</t>
  </si>
  <si>
    <t>SERİGRAFİ BASKI</t>
  </si>
  <si>
    <t>DIGITAL BASKI</t>
  </si>
  <si>
    <t>EL GEÇME</t>
  </si>
  <si>
    <t>Seçiniz</t>
  </si>
  <si>
    <t>Düz lak</t>
  </si>
  <si>
    <t>Yüksek Lak</t>
  </si>
  <si>
    <t>OPSİYON 1</t>
  </si>
  <si>
    <t>OPSİYON 2</t>
  </si>
  <si>
    <t>OPSİYON 3</t>
  </si>
  <si>
    <t>E DALGA</t>
  </si>
  <si>
    <t>B DALGA</t>
  </si>
  <si>
    <t>F DALGA</t>
  </si>
  <si>
    <t>TSE KOMBİNASYONU</t>
  </si>
  <si>
    <t>BSE KOMBİNASYONU</t>
  </si>
  <si>
    <t>KSE KOMBİNASYONU</t>
  </si>
  <si>
    <t>KSK KOMBİNASYONU</t>
  </si>
  <si>
    <t>TST KOMBİNASYONU</t>
  </si>
  <si>
    <t>BSB KOMBİNASYONU</t>
  </si>
  <si>
    <t>OFSET BASKI+SERİGRAFİ BASKI</t>
  </si>
  <si>
    <t>UV OFSET BASKI</t>
  </si>
  <si>
    <t>UV OFSET BASKI+SERİGRAFİ BASKI</t>
  </si>
  <si>
    <t>BASKISIZ</t>
  </si>
  <si>
    <t>DİĞER</t>
  </si>
  <si>
    <t>SÜPER FLEXO BASKI</t>
  </si>
  <si>
    <t>FLEXO BASKI</t>
  </si>
  <si>
    <t>İÇ BASKI</t>
  </si>
  <si>
    <t>DIŞ BASKI</t>
  </si>
  <si>
    <t>İÇ + DIŞ BASKI</t>
  </si>
  <si>
    <t>EB DALGA</t>
  </si>
  <si>
    <t>BC DALGA</t>
  </si>
  <si>
    <t>MAT SELEFON</t>
  </si>
  <si>
    <t>PARLAK SELEFON</t>
  </si>
  <si>
    <t>MAT DİSPERSİYON LAK</t>
  </si>
  <si>
    <t>PARLAK DİSPERSİYON LAK</t>
  </si>
  <si>
    <t>PARLAK ÇİZİLMEZ SELEFON</t>
  </si>
  <si>
    <t>MAT ÇİZİLMEZ SELEFON</t>
  </si>
  <si>
    <t>METALİZE SELEFON</t>
  </si>
  <si>
    <t>MAT VERNİK</t>
  </si>
  <si>
    <t>PARLAK VERNİK</t>
  </si>
  <si>
    <t>BİO SELEFON</t>
  </si>
  <si>
    <t>DÜĞÜMLÜ</t>
  </si>
  <si>
    <t>PATCH YAPIŞTIRMA</t>
  </si>
  <si>
    <t>İÇTEN KESİK YAPIŞTIRMA</t>
  </si>
  <si>
    <t>DIŞTAN KESİK YAPIŞTIRMA</t>
  </si>
  <si>
    <t>PİLYAJDAN KESİK YAPIŞTIRMA</t>
  </si>
  <si>
    <t>METAL T KLİPSLİ</t>
  </si>
  <si>
    <t>PLASTİK T KLİPSLİ</t>
  </si>
  <si>
    <t>FLAT SAP</t>
  </si>
  <si>
    <t>BURGU SAP</t>
  </si>
  <si>
    <t>PATCH SAP</t>
  </si>
  <si>
    <t>OPSİYON 4</t>
  </si>
  <si>
    <t>OPSİYON 5</t>
  </si>
  <si>
    <t>KULP TAŞIMA SİSTEMİ</t>
  </si>
  <si>
    <t>KULP TAŞIMA TÜRÜ</t>
  </si>
  <si>
    <t>PLASTİK DÜZ KLİPSLİ DÜĞÜMLÜ(YARIM ASETAT)</t>
  </si>
  <si>
    <t>VARAK YALDIZ</t>
  </si>
  <si>
    <t>LOKAL LAK</t>
  </si>
  <si>
    <t>KUŞGÖZÜ</t>
  </si>
  <si>
    <t>PELUR</t>
  </si>
  <si>
    <t>PVC EURO KANCA</t>
  </si>
  <si>
    <t>KARTON EURO KANCA</t>
  </si>
  <si>
    <t>ÇİFT TARAFLI BANT</t>
  </si>
  <si>
    <t>ÜRÜN 1</t>
  </si>
  <si>
    <t>ÜRÜN 2</t>
  </si>
  <si>
    <t>ÜRÜN 3</t>
  </si>
  <si>
    <t>ÜRÜN 4</t>
  </si>
  <si>
    <t>ÜRÜN 5</t>
  </si>
  <si>
    <t>ÜRÜN 6</t>
  </si>
  <si>
    <t>MÜŞTERİNİN ÜLKESİ</t>
  </si>
  <si>
    <t xml:space="preserve"> </t>
  </si>
  <si>
    <t>CUSTOMER</t>
  </si>
  <si>
    <t>DATE</t>
  </si>
  <si>
    <t>ATTENTION</t>
  </si>
  <si>
    <t>PREPARED BY</t>
  </si>
  <si>
    <t>TELEPHONE</t>
  </si>
  <si>
    <t>REQUESTED</t>
  </si>
  <si>
    <t>E-MAIL</t>
  </si>
  <si>
    <t>REFERENCE</t>
  </si>
  <si>
    <t>WEBSITE</t>
  </si>
  <si>
    <t>PROJECT</t>
  </si>
  <si>
    <t>ADDRESS</t>
  </si>
  <si>
    <t>DELIVERED TO</t>
  </si>
  <si>
    <t>SIZE</t>
  </si>
  <si>
    <t>QUANTITY</t>
  </si>
  <si>
    <t>TOTAL</t>
  </si>
  <si>
    <t>DDP</t>
  </si>
  <si>
    <t>DESCRIPTION OF GOOD(S)</t>
  </si>
  <si>
    <t>PAPER MATERIAL</t>
  </si>
  <si>
    <t>PRINTING(OUTER)</t>
  </si>
  <si>
    <t>PRINTING(INNER)</t>
  </si>
  <si>
    <t>OUTER R/V</t>
  </si>
  <si>
    <t>REINF. TOP</t>
  </si>
  <si>
    <t>REINF. BOTTOM</t>
  </si>
  <si>
    <t>RIBBON</t>
  </si>
  <si>
    <t>HOT FOIL</t>
  </si>
  <si>
    <t>OPTIONAL APPLICATIONS</t>
  </si>
  <si>
    <t>PAYMENT TERM</t>
  </si>
  <si>
    <t>BENEFICIARY</t>
  </si>
  <si>
    <t>MAYA PACKINGDOM DISTRIBUTION GMBH</t>
  </si>
  <si>
    <t>BANK</t>
  </si>
  <si>
    <t>ZIRAAT BANK INTERNATIONAL AG</t>
  </si>
  <si>
    <t>IBAN</t>
  </si>
  <si>
    <t>DE55512207002000371563</t>
  </si>
  <si>
    <t>SWIFT CODE</t>
  </si>
  <si>
    <t>TCZBDEFF</t>
  </si>
  <si>
    <t>HS CODE</t>
  </si>
  <si>
    <t>4817.30.00.00.00</t>
  </si>
  <si>
    <t xml:space="preserve">ORIGIN OF PRODUCT </t>
  </si>
  <si>
    <t xml:space="preserve">Made in Istanbul, Turkey  </t>
  </si>
  <si>
    <t xml:space="preserve">TRANSIT TIME </t>
  </si>
  <si>
    <t xml:space="preserve">LAYOUT </t>
  </si>
  <si>
    <t xml:space="preserve">24 hours after receiving artwork  </t>
  </si>
  <si>
    <t>DELIVERY ADDRESS</t>
  </si>
  <si>
    <t>Above DELIVERED TO address</t>
  </si>
  <si>
    <t>DELIVERY TYPE</t>
  </si>
  <si>
    <t>DELIVERY NOTES</t>
  </si>
  <si>
    <t>* In case there is no (un)loading ramp or forklift in warehouse, up to 3 pallets 90,- Euro to be charged</t>
  </si>
  <si>
    <t>* If customs clearance is requested in a different place than we have determined, 90,- Euro T1 document fee and if</t>
  </si>
  <si>
    <t xml:space="preserve">    necessary local shipping fees to be charged</t>
  </si>
  <si>
    <t>* Special pallet lengths, cartons, packings and not stackable pallet requests, additional cost to be charged</t>
  </si>
  <si>
    <t>* In case your customs clearence process is not completed within a reasonable time and delivery confirmation is not given,</t>
  </si>
  <si>
    <t xml:space="preserve">    storage fees will occur</t>
  </si>
  <si>
    <t>* Despite the reservation, if the products are not uploaded and the vehicle is returned, 2. delivery difference and</t>
  </si>
  <si>
    <t xml:space="preserve">    succession may occur</t>
  </si>
  <si>
    <t>DELIVERY TOLERANCE</t>
  </si>
  <si>
    <t>ARTWORK</t>
  </si>
  <si>
    <t>We keep the right to change the prices after checking the order artwork.</t>
  </si>
  <si>
    <t xml:space="preserve"> Prices based on CMYK &amp; STANDARD PANTONE colours. For SPECIAL PANTONE  colours quotations to be changed</t>
  </si>
  <si>
    <t>SAMPLING DIGITAL</t>
  </si>
  <si>
    <t>1-2 days after receiving final instructions and artwork (Only if requested by customer)</t>
  </si>
  <si>
    <t xml:space="preserve">SAMPLING PREPROD. </t>
  </si>
  <si>
    <t>1 week after receiving final instructions and artwork (Only if requested by customer)</t>
  </si>
  <si>
    <t>PRODUCTION TIME</t>
  </si>
  <si>
    <t>SAMPLE DELIVERIES</t>
  </si>
  <si>
    <t>All sample delivery fees paid by customer or added to the order invoice</t>
  </si>
  <si>
    <t>DOCUMENTATION</t>
  </si>
  <si>
    <r>
      <rPr>
        <sz val="10"/>
        <color rgb="FF404040"/>
        <rFont val="Calibri"/>
        <family val="2"/>
        <charset val="162"/>
      </rPr>
      <t xml:space="preserve">Original Invoice, Original Packing List, B/L, </t>
    </r>
    <r>
      <rPr>
        <u/>
        <sz val="10"/>
        <color rgb="FF404040"/>
        <rFont val="Calibri"/>
        <family val="2"/>
        <charset val="162"/>
      </rPr>
      <t>ATR-1 (TAX FREE DOC.)</t>
    </r>
  </si>
  <si>
    <t xml:space="preserve">TESTING &amp;INSPECTION </t>
  </si>
  <si>
    <t>Testing, audit and inspection operation fees paid by customer or added to the order invoice</t>
  </si>
  <si>
    <t>PACKAGING</t>
  </si>
  <si>
    <t>Generally packed in 60*40*33,5 cm double layer kraft exctn, your shipping mark</t>
  </si>
  <si>
    <t>V.23.06.01</t>
  </si>
  <si>
    <t>VAR</t>
  </si>
  <si>
    <t>SEÇİNİZ</t>
  </si>
  <si>
    <t>YOK</t>
  </si>
  <si>
    <t>EVET</t>
  </si>
  <si>
    <t>MAT</t>
  </si>
  <si>
    <t>BRISTOL (AMERİKAN)</t>
  </si>
  <si>
    <t>PP</t>
  </si>
  <si>
    <t>Müşteri Temsilcisi</t>
  </si>
  <si>
    <t>KLİPSLİ</t>
  </si>
  <si>
    <t>HAYIR</t>
  </si>
  <si>
    <t>PARLAK</t>
  </si>
  <si>
    <t>BRISTOL (ÇİFT TARAFLI )</t>
  </si>
  <si>
    <t>PAMUK</t>
  </si>
  <si>
    <t>Müşteri Sipariş No.</t>
  </si>
  <si>
    <t>Müşteri Ürün No.</t>
  </si>
  <si>
    <t>1. HAMUR</t>
  </si>
  <si>
    <t>SATEN KURDELA</t>
  </si>
  <si>
    <t>Ana Sektör</t>
  </si>
  <si>
    <t>Alt Sektör</t>
  </si>
  <si>
    <t>YÜKLEME TARİHİ</t>
  </si>
  <si>
    <t>21.07.2023</t>
  </si>
  <si>
    <t>KAHVE KRAFT</t>
  </si>
  <si>
    <t>GROGREN</t>
  </si>
  <si>
    <t>TOP.</t>
  </si>
  <si>
    <t>ADRESE TESLİM</t>
  </si>
  <si>
    <t>DÜZ LAK</t>
  </si>
  <si>
    <t>KROME KARTON</t>
  </si>
  <si>
    <t>BİRİM TOP.</t>
  </si>
  <si>
    <t>GENEL TOP.</t>
  </si>
  <si>
    <t>Müşteri Adı</t>
  </si>
  <si>
    <t>KENDİSİ ALACAK</t>
  </si>
  <si>
    <t>MAT KUSE</t>
  </si>
  <si>
    <t>Müşteri Ülkesi</t>
  </si>
  <si>
    <t>İşin Adı</t>
  </si>
  <si>
    <t xml:space="preserve">ÇANTA ÖLÇÜSÜ </t>
  </si>
  <si>
    <t>BELİRSİZ</t>
  </si>
  <si>
    <t>PARLAK KUŞE</t>
  </si>
  <si>
    <t>işin Cinsi</t>
  </si>
  <si>
    <t>EN (W)</t>
  </si>
  <si>
    <t>KRK (D)</t>
  </si>
  <si>
    <t>BOY (H)</t>
  </si>
  <si>
    <t xml:space="preserve">KATLAMA </t>
  </si>
  <si>
    <t>FANTAZİ KAĞIT</t>
  </si>
  <si>
    <t>Diğer Tanım</t>
  </si>
  <si>
    <t>Miktarı</t>
  </si>
  <si>
    <t>Ödeme Şekli</t>
  </si>
  <si>
    <t xml:space="preserve">FULL PAYMENT 15 DAYS AFTER INVOICE DATE </t>
  </si>
  <si>
    <t>KOLİ</t>
  </si>
  <si>
    <t>ALTIN</t>
  </si>
  <si>
    <t xml:space="preserve">BASKI BİLGİSİ </t>
  </si>
  <si>
    <t>GÜMÜŞ</t>
  </si>
  <si>
    <t>BASKI ÖRNEĞİ / ONAY</t>
  </si>
  <si>
    <t>MAL FAZLASI</t>
  </si>
  <si>
    <t>4+ EXTRA</t>
  </si>
  <si>
    <t>ÜRÜN BİLGİSİ</t>
  </si>
  <si>
    <t>KAĞIT CİNSİ</t>
  </si>
  <si>
    <t>KAĞIT GR.</t>
  </si>
  <si>
    <t>TEK</t>
  </si>
  <si>
    <t>KULP ÇEŞİDİ</t>
  </si>
  <si>
    <t>SÜS KURDELE</t>
  </si>
  <si>
    <t>ORTA KURDELE DELİĞİ</t>
  </si>
  <si>
    <t>PVC</t>
  </si>
  <si>
    <t>ÜRETİM NOTU</t>
  </si>
  <si>
    <t>TESLİMAT  BİLGİLERİ</t>
  </si>
  <si>
    <t>PAKETLEME BİLGİSİ</t>
  </si>
  <si>
    <t xml:space="preserve">Teslimat Adresi Unvanı </t>
  </si>
  <si>
    <t>Paketleme Seçimi</t>
  </si>
  <si>
    <t>Özel Paketleme Talebi</t>
  </si>
  <si>
    <t>Teslimat Adresi</t>
  </si>
  <si>
    <t xml:space="preserve">Paket içi adet </t>
  </si>
  <si>
    <t>Koli içi adet</t>
  </si>
  <si>
    <t>Koli Adedi</t>
  </si>
  <si>
    <t>Palet Adedi</t>
  </si>
  <si>
    <t>Sevk Numunesi</t>
  </si>
  <si>
    <t>ETİKET BİLGİLERİ</t>
  </si>
  <si>
    <t>TESLİM ŞEKLİ</t>
  </si>
  <si>
    <t>ARAÇ SEÇİMİ</t>
  </si>
  <si>
    <t>SEVK ÜLKESİ</t>
  </si>
  <si>
    <t>POSTA KODU</t>
  </si>
  <si>
    <t>İrtibat / Yetkili İsmi</t>
  </si>
  <si>
    <t>SEVKİYAT NOTU</t>
  </si>
  <si>
    <t xml:space="preserve">İrtibat / Mail Adresi </t>
  </si>
  <si>
    <t>İrtibat / Telefon</t>
  </si>
  <si>
    <t>FATURA BİLGİLERİ</t>
  </si>
  <si>
    <t xml:space="preserve">Fatura Unvanı </t>
  </si>
  <si>
    <t>Fatura Adresi</t>
  </si>
  <si>
    <t xml:space="preserve"> GENEL NOT VE AÇIKLAMA</t>
  </si>
  <si>
    <t>1-</t>
  </si>
  <si>
    <t>2-</t>
  </si>
  <si>
    <t>3-</t>
  </si>
  <si>
    <t>4-</t>
  </si>
  <si>
    <t>5-</t>
  </si>
  <si>
    <t>6-</t>
  </si>
  <si>
    <t>PRODUCT NO / REFERENCE</t>
  </si>
  <si>
    <t>PRODUCT NO</t>
  </si>
  <si>
    <t>ÜRÜN SEÇİMİ</t>
  </si>
  <si>
    <t>ÖZEL POŞET VAR</t>
  </si>
  <si>
    <t>ÖZEL KOLİ VAR</t>
  </si>
  <si>
    <t>ÖZEL POŞET + KOLİ VAR</t>
  </si>
  <si>
    <t>EXTRA 1</t>
  </si>
  <si>
    <t>EXTRA 2</t>
  </si>
  <si>
    <t>EXTRA 3</t>
  </si>
  <si>
    <t>EXTRA 4</t>
  </si>
  <si>
    <t>EXTRA 5</t>
  </si>
  <si>
    <t>EXTRA 6</t>
  </si>
  <si>
    <t>EXTRA 7</t>
  </si>
  <si>
    <t>EXTRA 8</t>
  </si>
  <si>
    <t>EXTRA 9</t>
  </si>
  <si>
    <t>EXTRA 10</t>
  </si>
  <si>
    <t>Seçiniz.</t>
  </si>
  <si>
    <t>PET</t>
  </si>
  <si>
    <t>Çanta</t>
  </si>
  <si>
    <t>Kutu</t>
  </si>
  <si>
    <t>Ürün 2</t>
  </si>
  <si>
    <t>ÜRÜN TÜRÜ</t>
  </si>
  <si>
    <t>MÜŞTERİ BİLGİLERİ VE ÜRÜN TÜRÜ</t>
  </si>
  <si>
    <t>Ürün 1</t>
  </si>
  <si>
    <t>Ürün 3</t>
  </si>
  <si>
    <t>Ürün 4</t>
  </si>
  <si>
    <t>Ürün 5</t>
  </si>
  <si>
    <t>Ürün 6</t>
  </si>
  <si>
    <t>Özel Etiket Var / Yok</t>
  </si>
  <si>
    <t>Kara</t>
  </si>
  <si>
    <t>Kara Liftli</t>
  </si>
  <si>
    <t>Hava</t>
  </si>
  <si>
    <t>Deniz</t>
  </si>
  <si>
    <t>TEK DÜĞÜM</t>
  </si>
  <si>
    <t>Requested</t>
  </si>
  <si>
    <t>MATTE LAMINATION</t>
  </si>
  <si>
    <t>Different</t>
  </si>
  <si>
    <t>Same</t>
  </si>
  <si>
    <t>PROFORMA INVOICE</t>
  </si>
  <si>
    <t>MERCEK SELEFON</t>
  </si>
  <si>
    <t>Miktar 1</t>
  </si>
  <si>
    <t>Miktar 2</t>
  </si>
  <si>
    <t>Miktar 3</t>
  </si>
  <si>
    <t>Koli İçi Adet</t>
  </si>
  <si>
    <t>Miktar 5</t>
  </si>
  <si>
    <t>Miktar 4</t>
  </si>
  <si>
    <t>Ürün Adı</t>
  </si>
  <si>
    <t>Laminasyon</t>
  </si>
  <si>
    <t>Ürün Türü</t>
  </si>
  <si>
    <t>Proforma Invoice</t>
  </si>
  <si>
    <t>FULL PAYMENT WİTH ORDER CONFIRMATION</t>
  </si>
  <si>
    <t>%30 PRE-PAYMENT , BALANCE BEFORE SHIPMENT</t>
  </si>
  <si>
    <t>%50 PRE-PAYMENT , BALANCE BEFORE SHIPMENT</t>
  </si>
  <si>
    <t>%30 WITH ORDER CONFIRMATION + BALANCE 30 DAYS AFTER DELIVERY</t>
  </si>
  <si>
    <t>%30 WITH ORDER CONFIRMATION + BALANCE 60 DAYS AFTER DELIVERY</t>
  </si>
  <si>
    <t>%50 WITH ORDER CONFIRMATION + BALANCE 1 WEEK AFTER DELIVERY</t>
  </si>
  <si>
    <t>%50 WITH ORDER CONFIRMATION + BALANCE 30  DAYS  AFTER DELIVERY</t>
  </si>
  <si>
    <t>FULL PAYMENT BEFORE SHIPMENT</t>
  </si>
  <si>
    <t>%30 BEFORE SHPMENT + BALANCE 30 DAYS AFTER DELIVERY</t>
  </si>
  <si>
    <t>%30 BEFORE SHPMENT + BALANCE 60 DAYS AFTER DELIVERY</t>
  </si>
  <si>
    <t xml:space="preserve">%30 BEFORE SHIPMENT + BALANCE 60 DAYS AFTER INVOICE DATE </t>
  </si>
  <si>
    <t xml:space="preserve">FULL PAYMENT ONE WEEK AFTER DELIVERY </t>
  </si>
  <si>
    <t>FULL PAYMENT 8 DAYS AFTER DELIVERY</t>
  </si>
  <si>
    <t>FULL PAYMENT TWO WEEKS AFTER DELIVERY</t>
  </si>
  <si>
    <t>FULL PAYMENT 30 DAYS AFTER DELIVERY</t>
  </si>
  <si>
    <t>FULL PAYMENT 45 DAYS AFTER DELIVERY</t>
  </si>
  <si>
    <t>FULL PAYMENT 60 DAYS AFTER DELIVERY</t>
  </si>
  <si>
    <t xml:space="preserve">FULL PAYMENT 30 DAYS AFTER INVOICE DATE </t>
  </si>
  <si>
    <t xml:space="preserve">FULL PAYMENT 45 DAYS AFTER INVOICE DATE </t>
  </si>
  <si>
    <t xml:space="preserve">FULL PAYMENT 60 DAYS AFTER INVOICE DATE </t>
  </si>
  <si>
    <t xml:space="preserve">FREE OF CHARGE </t>
  </si>
  <si>
    <t>Elips</t>
  </si>
  <si>
    <t>Yuvarlak</t>
  </si>
  <si>
    <t xml:space="preserve">MATTE </t>
  </si>
  <si>
    <t>GLOSSY</t>
  </si>
  <si>
    <t>SOFT TOUCH</t>
  </si>
  <si>
    <t>LENS</t>
  </si>
  <si>
    <t>OTHER</t>
  </si>
  <si>
    <t>KNOTTED</t>
  </si>
  <si>
    <t>PATCH</t>
  </si>
  <si>
    <t>GLUED ON TOT (CREASE)</t>
  </si>
  <si>
    <t>GLUED ON TOT (INSIDE)</t>
  </si>
  <si>
    <t>GLUED ON TOT (OUTSIDE)</t>
  </si>
  <si>
    <t>METAL CLIPS</t>
  </si>
  <si>
    <t>PLASTIC CLIPS</t>
  </si>
  <si>
    <t>SATIN</t>
  </si>
  <si>
    <t>GROSGRAIN</t>
  </si>
  <si>
    <t>HERRINGBONE</t>
  </si>
  <si>
    <t>ORGANZA</t>
  </si>
  <si>
    <t>LINEN</t>
  </si>
  <si>
    <t>VELVET</t>
  </si>
  <si>
    <t>GLITTER</t>
  </si>
  <si>
    <t>TAFFETA</t>
  </si>
  <si>
    <t>SILK</t>
  </si>
  <si>
    <t>CORDED</t>
  </si>
  <si>
    <t>LACE</t>
  </si>
  <si>
    <t xml:space="preserve">METALIZED </t>
  </si>
  <si>
    <t>BIO</t>
  </si>
  <si>
    <t>MATTE ANTI SCRATCH</t>
  </si>
  <si>
    <t>GLOSSY ANTİ SCRATCH</t>
  </si>
  <si>
    <t>SINGLE NODE</t>
  </si>
  <si>
    <t>Albania</t>
  </si>
  <si>
    <t>Andorra</t>
  </si>
  <si>
    <t>Austria</t>
  </si>
  <si>
    <t>Belarus</t>
  </si>
  <si>
    <t>Belgium</t>
  </si>
  <si>
    <t>Bosnia and Herzegovina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</si>
  <si>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</si>
  <si>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</si>
  <si>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</si>
  <si>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</si>
  <si>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</si>
  <si>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</si>
  <si>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</si>
  <si>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</si>
  <si>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</si>
  <si>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</si>
  <si>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</si>
  <si>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</si>
  <si>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</si>
  <si>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</si>
  <si>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</si>
  <si>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</si>
  <si>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Liechtenstein</t>
  </si>
  <si>
    <t>Lithuania</t>
  </si>
  <si>
    <t>Luxembourg</t>
  </si>
  <si>
    <t>Malta</t>
  </si>
  <si>
    <t>Moldova</t>
  </si>
  <si>
    <t>Monaco</t>
  </si>
  <si>
    <t>Montenegro</t>
  </si>
  <si>
    <t>Netherlands</t>
  </si>
  <si>
    <t>North Macedonia</t>
  </si>
  <si>
    <t>Norway</t>
  </si>
  <si>
    <t>Poland</t>
  </si>
  <si>
    <t>Portugal</t>
  </si>
  <si>
    <t>Romania</t>
  </si>
  <si>
    <t>Russia</t>
  </si>
  <si>
    <t>San Marino</t>
  </si>
  <si>
    <t>Serbia</t>
  </si>
  <si>
    <t>Slovakia</t>
  </si>
  <si>
    <t>Slovenia</t>
  </si>
  <si>
    <t>Spain</t>
  </si>
  <si>
    <t>Sweden</t>
  </si>
  <si>
    <t>Switzerland</t>
  </si>
  <si>
    <t>Ukraine</t>
  </si>
  <si>
    <t>United Kingdom (UK)</t>
  </si>
  <si>
    <t>Arnavutluk</t>
  </si>
  <si>
    <t>Avusturya</t>
  </si>
  <si>
    <t>Beyaz Rusya (Belarus)</t>
  </si>
  <si>
    <t>Belçika</t>
  </si>
  <si>
    <t>Bosna-Hersek</t>
  </si>
  <si>
    <t>Bulgaristan</t>
  </si>
  <si>
    <t>Hırvatistan</t>
  </si>
  <si>
    <t>Kıbrıs</t>
  </si>
  <si>
    <t>Çek Cumhuriyeti</t>
  </si>
  <si>
    <t>Danimarka</t>
  </si>
  <si>
    <t>Estonya</t>
  </si>
  <si>
    <t>Finlandiya</t>
  </si>
  <si>
    <t>Fransa</t>
  </si>
  <si>
    <t>Almanya</t>
  </si>
  <si>
    <t>Yunanistan</t>
  </si>
  <si>
    <t>Macaristan</t>
  </si>
  <si>
    <t>İzlanda</t>
  </si>
  <si>
    <t>İrlanda</t>
  </si>
  <si>
    <t>İtalya</t>
  </si>
  <si>
    <t>Kosova</t>
  </si>
  <si>
    <t>Letonya</t>
  </si>
  <si>
    <t>Lihtenştayn</t>
  </si>
  <si>
    <t>Litvanya</t>
  </si>
  <si>
    <t>Lüksemburg</t>
  </si>
  <si>
    <t>Monako</t>
  </si>
  <si>
    <t>Karadağ (Montenegro)</t>
  </si>
  <si>
    <t>Hollanda</t>
  </si>
  <si>
    <t>Kuzey Makedonya</t>
  </si>
  <si>
    <t>Norveç</t>
  </si>
  <si>
    <t>Polonya</t>
  </si>
  <si>
    <t>Portekiz</t>
  </si>
  <si>
    <t>Romanya</t>
  </si>
  <si>
    <t>Rusya</t>
  </si>
  <si>
    <t>Sırbistan</t>
  </si>
  <si>
    <t>Slovakya</t>
  </si>
  <si>
    <t>Slovenya</t>
  </si>
  <si>
    <t>İspanya</t>
  </si>
  <si>
    <t>İsveç</t>
  </si>
  <si>
    <t>İsviçre</t>
  </si>
  <si>
    <t>Ukrayna</t>
  </si>
  <si>
    <t>Birleşik Krallık (UK)</t>
  </si>
  <si>
    <t xml:space="preserve">Vatikan Şehri </t>
  </si>
  <si>
    <t xml:space="preserve">Vatican City </t>
  </si>
  <si>
    <t>DÖKME</t>
  </si>
  <si>
    <t>BEYAZ KAGIT KUŞAK</t>
  </si>
  <si>
    <t>KAHVE KAGIT KUSAK</t>
  </si>
  <si>
    <t>LASTİK</t>
  </si>
  <si>
    <t>QUOTATION SHEET</t>
  </si>
  <si>
    <t>* In case your customs clearence process is not completed within a reasonable time and delivery confirmation is not Iiven,</t>
  </si>
  <si>
    <t>Original Invoice, Original Packing List, B/L, ATR-1 (TAX FREE DOC.)</t>
  </si>
  <si>
    <t>Ürün Seçimi 1</t>
  </si>
  <si>
    <t>Ürün Seçimi 2</t>
  </si>
  <si>
    <t>Ürün Seçimi 3</t>
  </si>
  <si>
    <t>Ürün Seçimi 4</t>
  </si>
  <si>
    <t>Ürün Seçimi 5</t>
  </si>
  <si>
    <t>Ürün Seçimi 6</t>
  </si>
  <si>
    <t>Miktar Seçimi 1</t>
  </si>
  <si>
    <t>Miktar Seçimi 2</t>
  </si>
  <si>
    <t>Miktar Seçimi 3</t>
  </si>
  <si>
    <t>Miktar Seçimi 4</t>
  </si>
  <si>
    <t>Miktar Seçimi 5</t>
  </si>
  <si>
    <t>Miktar Seçimi 6</t>
  </si>
  <si>
    <t>EMAIL</t>
  </si>
  <si>
    <t>LAMINATION - OUTER</t>
  </si>
  <si>
    <t>LAMINATION - INNER</t>
  </si>
  <si>
    <t>SINGLE</t>
  </si>
  <si>
    <t>DOUBLE</t>
  </si>
  <si>
    <t>ORGANZA SATIN</t>
  </si>
  <si>
    <t>SAME</t>
  </si>
  <si>
    <t>DIFFERENT</t>
  </si>
  <si>
    <t>EMBOSS</t>
  </si>
  <si>
    <t>EMBOSSED SPOT VARNISH</t>
  </si>
  <si>
    <t>DOUBLE-SIDED TAPE</t>
  </si>
  <si>
    <t>DEBOSS</t>
  </si>
  <si>
    <t xml:space="preserve">EMBOSS </t>
  </si>
  <si>
    <t>LAMİNASYON (DIŞ)</t>
  </si>
  <si>
    <t>LAMİNASYON (İÇ)</t>
  </si>
  <si>
    <t>4 DÜĞÜM</t>
  </si>
  <si>
    <t>SADECE DELME (KULP YOK)</t>
  </si>
  <si>
    <t>Paket Şekli (Paketleme seçimi)</t>
  </si>
  <si>
    <t>Paket içi adet</t>
  </si>
  <si>
    <t>STANDARD</t>
  </si>
  <si>
    <t>Koli Seçimi</t>
  </si>
  <si>
    <t>MATTE PROTECTIVE VARNISH</t>
  </si>
  <si>
    <t>GLOSSY PROTECTIVE VARNISH</t>
  </si>
  <si>
    <t>COTTON</t>
  </si>
  <si>
    <t>PAPER ROPE</t>
  </si>
  <si>
    <t>ÇİFT (GÖVDE + KATLAMA)</t>
  </si>
  <si>
    <t>MATTE VARNISH</t>
  </si>
  <si>
    <t>GLOSSY VARNISH</t>
  </si>
  <si>
    <t>SPOT UV</t>
  </si>
  <si>
    <t>STANDARD POŞET</t>
  </si>
  <si>
    <t>ÖZEL POŞET</t>
  </si>
  <si>
    <t>STANDARD KOLİ</t>
  </si>
  <si>
    <t>ÖZEL KOLİ</t>
  </si>
  <si>
    <t>İŞİN ADI</t>
  </si>
  <si>
    <t>LOGO</t>
  </si>
  <si>
    <t>VARAK</t>
  </si>
  <si>
    <t>VARAK BASKI</t>
  </si>
  <si>
    <t>ÇAPRAZ KESİM</t>
  </si>
  <si>
    <t>EMBOSSED HOT FOIL</t>
  </si>
  <si>
    <t>CROSS CUT</t>
  </si>
  <si>
    <t>EYELET</t>
  </si>
  <si>
    <t xml:space="preserve">EYELET </t>
  </si>
  <si>
    <t>PATTERN EMBOSS</t>
  </si>
  <si>
    <t>TISSUE PAPER</t>
  </si>
  <si>
    <t>PVC EURO HOOK</t>
  </si>
  <si>
    <t>CARDBOARD EURO HOOK</t>
  </si>
  <si>
    <t>UNIT PRICE</t>
  </si>
  <si>
    <t>ÇENTİK KLİPSLİ</t>
  </si>
  <si>
    <t>SÜS KURDELE UYGULAMASI 1</t>
  </si>
  <si>
    <t>SÜS KURDELE UYGULAMASI 2</t>
  </si>
  <si>
    <t>EMBOSSED HOT FOIL + CROSS CUT</t>
  </si>
  <si>
    <t>VARAK BASKI + ÇAPRAZ KESİM</t>
  </si>
  <si>
    <t>EXTRA 11</t>
  </si>
  <si>
    <t>PLASTIC CLIPS KNOTTED  (HALF ACETATE)</t>
  </si>
  <si>
    <t>HAND HOLE</t>
  </si>
  <si>
    <t>HOLE ONLY (NO HANDLE)</t>
  </si>
  <si>
    <t>NOTCH CLIPS</t>
  </si>
  <si>
    <t xml:space="preserve">Opsiyonlar - Seçim 1 </t>
  </si>
  <si>
    <t>Opsiyonlar - Seçim 2</t>
  </si>
  <si>
    <t xml:space="preserve">Opsiyonlar -Seçim 3 </t>
  </si>
  <si>
    <t xml:space="preserve">Opsiyonlar - Seçim 4 </t>
  </si>
  <si>
    <t xml:space="preserve">Opsiyonlar - Seçim 5 </t>
  </si>
  <si>
    <t xml:space="preserve">Opsiyonlar - Seçim 6 </t>
  </si>
  <si>
    <t>RIBBON  EXTRA APPLICATIONS</t>
  </si>
  <si>
    <t>ÜRÜN BİRİM FİYAT</t>
  </si>
  <si>
    <t>NAKLİYE BİRİM FİYAT</t>
  </si>
  <si>
    <t>DIŞ KAPLAMA</t>
  </si>
  <si>
    <t>İÇ KAPLAMA</t>
  </si>
  <si>
    <t>SATEN</t>
  </si>
  <si>
    <t>BALIK SIRTI</t>
  </si>
  <si>
    <t>ORGANZE</t>
  </si>
  <si>
    <t>KETEN</t>
  </si>
  <si>
    <t>KADİFE</t>
  </si>
  <si>
    <t>SİMLİ</t>
  </si>
  <si>
    <t>ORGANZE SATEN</t>
  </si>
  <si>
    <t>TAFTA</t>
  </si>
  <si>
    <t>İPEK</t>
  </si>
  <si>
    <t>İPLİ</t>
  </si>
  <si>
    <t>FİLE</t>
  </si>
  <si>
    <t>KAĞIT İP</t>
  </si>
  <si>
    <t>KARTON ÇANTA</t>
  </si>
  <si>
    <t>ZARF ÇANTA</t>
  </si>
  <si>
    <t>KURDELA</t>
  </si>
  <si>
    <t>ENVELOPE BAG</t>
  </si>
  <si>
    <t>HANDLE (ROPE)</t>
  </si>
  <si>
    <t>PAPER BAG</t>
  </si>
  <si>
    <t>ATTENTION (YETKİLİ KİŞİ)</t>
  </si>
  <si>
    <t>DIŞ BASKI RENGİ/ORANI</t>
  </si>
  <si>
    <t>İÇ BASKI RENGİ/ORANI</t>
  </si>
  <si>
    <t>HAMMADDE CİNSİ/AĞIRLIĞI</t>
  </si>
  <si>
    <t>AĞIZ TAKVİYESİ ÖZELLİĞİ/GRAMAJI</t>
  </si>
  <si>
    <t>SÜS KURDELE TÜRÜ/RENGİ + UZUNLUĞU</t>
  </si>
  <si>
    <t>İGNo.</t>
  </si>
  <si>
    <t>KULP TAŞIMA MATERYALİ/RENGİ +UZUNLUĞU</t>
  </si>
  <si>
    <t>INCOTERM</t>
  </si>
  <si>
    <t>NO PRINTING</t>
  </si>
  <si>
    <t>BASKI RENGİ VE ORANI</t>
  </si>
  <si>
    <t>ROPE</t>
  </si>
  <si>
    <t>FLAT HANDLE</t>
  </si>
  <si>
    <t>PATCH HANDLE</t>
  </si>
  <si>
    <t>TWISTED HANDLE</t>
  </si>
  <si>
    <t>KURDELE -&gt;</t>
  </si>
  <si>
    <t>İP-&gt;</t>
  </si>
  <si>
    <r>
      <t xml:space="preserve">EXTRA UYGULAMALAR 4 - </t>
    </r>
    <r>
      <rPr>
        <b/>
        <sz val="10"/>
        <color rgb="FFFF0000"/>
        <rFont val="Calibri"/>
        <family val="2"/>
        <charset val="162"/>
        <scheme val="minor"/>
      </rPr>
      <t>GREN</t>
    </r>
  </si>
  <si>
    <r>
      <t xml:space="preserve">EXTRA UYGULAMALAR 5 - </t>
    </r>
    <r>
      <rPr>
        <b/>
        <sz val="10"/>
        <color rgb="FFFF0000"/>
        <rFont val="Calibri"/>
        <family val="2"/>
        <charset val="162"/>
        <scheme val="minor"/>
      </rPr>
      <t>KUŞGÖZÜ</t>
    </r>
  </si>
  <si>
    <r>
      <t xml:space="preserve">EXTRA UYGULAMALAR 6 - </t>
    </r>
    <r>
      <rPr>
        <b/>
        <sz val="10"/>
        <color rgb="FFFF0000"/>
        <rFont val="Calibri"/>
        <family val="2"/>
        <charset val="162"/>
        <scheme val="minor"/>
      </rPr>
      <t>LOKAL LAK</t>
    </r>
  </si>
  <si>
    <r>
      <t xml:space="preserve">EXTRA UYGULAMALAR 9 - </t>
    </r>
    <r>
      <rPr>
        <b/>
        <sz val="10"/>
        <color rgb="FFFF0000"/>
        <rFont val="Calibri"/>
        <family val="2"/>
        <charset val="162"/>
        <scheme val="minor"/>
      </rPr>
      <t>KARTON EURO KANCA</t>
    </r>
  </si>
  <si>
    <r>
      <t xml:space="preserve">EXTRA UYGULAMALAR 10 - </t>
    </r>
    <r>
      <rPr>
        <b/>
        <sz val="10"/>
        <color rgb="FFFF0000"/>
        <rFont val="Calibri"/>
        <family val="2"/>
        <charset val="162"/>
        <scheme val="minor"/>
      </rPr>
      <t>ÇİFT TARAFLI BANT</t>
    </r>
  </si>
  <si>
    <r>
      <t xml:space="preserve">EXTRA UYGULAMALAR 11 - </t>
    </r>
    <r>
      <rPr>
        <b/>
        <sz val="10"/>
        <color rgb="FFFF0000"/>
        <rFont val="Calibri"/>
        <family val="2"/>
        <charset val="162"/>
        <scheme val="minor"/>
      </rPr>
      <t>PELUR</t>
    </r>
  </si>
  <si>
    <t>EKO ÇANTA</t>
  </si>
  <si>
    <t>ECO-FRIENDLY BAG</t>
  </si>
  <si>
    <t>HANDLE TECHNIQUE</t>
  </si>
  <si>
    <t>HANDLE TYPE &amp; MATERIAL</t>
  </si>
  <si>
    <t>OPTION 1</t>
  </si>
  <si>
    <t>OPTION 2</t>
  </si>
  <si>
    <t>OPTION 3</t>
  </si>
  <si>
    <t>OPTION 4</t>
  </si>
  <si>
    <t>OPTION 5</t>
  </si>
  <si>
    <t>SÜS KURDELE UYGULAMALARI</t>
  </si>
  <si>
    <t>LİFTLİ</t>
  </si>
  <si>
    <t>PRICE 1</t>
  </si>
  <si>
    <t>PRICE 2</t>
  </si>
  <si>
    <t>PRICE 3</t>
  </si>
  <si>
    <t>PRICE 4</t>
  </si>
  <si>
    <t>PRICE 5</t>
  </si>
  <si>
    <t>Dip Karton</t>
  </si>
  <si>
    <t>Diğer</t>
  </si>
  <si>
    <t>DİP KARTON KAĞIT ÖZELLİĞİ / GRAMAJI</t>
  </si>
  <si>
    <t>DİP KARTON BASKI SEÇİMİ /AÇIKLAMASI</t>
  </si>
  <si>
    <t>NOTE</t>
  </si>
  <si>
    <t>Devlet kurumları</t>
  </si>
  <si>
    <t>Kurumsal</t>
  </si>
  <si>
    <t>Siyasi Partiler</t>
  </si>
  <si>
    <t>İnşaat</t>
  </si>
  <si>
    <t>Finans</t>
  </si>
  <si>
    <t>Holding</t>
  </si>
  <si>
    <t>Dernekler</t>
  </si>
  <si>
    <t>Festivaller</t>
  </si>
  <si>
    <t>Eğlence</t>
  </si>
  <si>
    <t xml:space="preserve">TV Kanalları </t>
  </si>
  <si>
    <t xml:space="preserve">Spor Etkinlikleri </t>
  </si>
  <si>
    <t>Spor</t>
  </si>
  <si>
    <t xml:space="preserve">Spor Kulüpleri </t>
  </si>
  <si>
    <t>Restoran / Cafe</t>
  </si>
  <si>
    <t xml:space="preserve">Turizm </t>
  </si>
  <si>
    <t xml:space="preserve">Şehirler </t>
  </si>
  <si>
    <t>Konaklama</t>
  </si>
  <si>
    <t xml:space="preserve">Kargo </t>
  </si>
  <si>
    <t>Ulaştırma</t>
  </si>
  <si>
    <t>Telekominikasyon</t>
  </si>
  <si>
    <t>Havayolu</t>
  </si>
  <si>
    <t>Denizyolu</t>
  </si>
  <si>
    <t>Karayolu</t>
  </si>
  <si>
    <t>Sağlık Ekipmanları</t>
  </si>
  <si>
    <t xml:space="preserve">Sağlık </t>
  </si>
  <si>
    <t>Hastaneler</t>
  </si>
  <si>
    <t>İlaç</t>
  </si>
  <si>
    <t xml:space="preserve">Eğitim Kurumları </t>
  </si>
  <si>
    <t>Eğitim</t>
  </si>
  <si>
    <t>Müzeler</t>
  </si>
  <si>
    <t>Okullar</t>
  </si>
  <si>
    <t xml:space="preserve">Kitap </t>
  </si>
  <si>
    <t>Kırtasiye</t>
  </si>
  <si>
    <t>Tohumculuk</t>
  </si>
  <si>
    <t xml:space="preserve">Tarım </t>
  </si>
  <si>
    <t>Çiçekçilik</t>
  </si>
  <si>
    <t>Hayvan Yemi</t>
  </si>
  <si>
    <t>Tütün</t>
  </si>
  <si>
    <t>Alkol / Tütün</t>
  </si>
  <si>
    <t>Alkol</t>
  </si>
  <si>
    <t>Gıda</t>
  </si>
  <si>
    <t>Bakliyat</t>
  </si>
  <si>
    <t>Şarküteri</t>
  </si>
  <si>
    <t>Kahve</t>
  </si>
  <si>
    <t>İçecek</t>
  </si>
  <si>
    <t>Çikolata Ürünleri</t>
  </si>
  <si>
    <t>Şekerleme Ürünleri</t>
  </si>
  <si>
    <t>Pizza Ürünleri</t>
  </si>
  <si>
    <t>Sebze-Meyve kapları</t>
  </si>
  <si>
    <t xml:space="preserve">Servis ve Al Götür Ürünleri </t>
  </si>
  <si>
    <t xml:space="preserve">Pastane Ürünleri </t>
  </si>
  <si>
    <t>Mutfak Eşyası</t>
  </si>
  <si>
    <t>Züccaciye</t>
  </si>
  <si>
    <t>Süs Eşyası</t>
  </si>
  <si>
    <t xml:space="preserve">Elektronik </t>
  </si>
  <si>
    <t>Küçük Ev Aletleri</t>
  </si>
  <si>
    <t>Televizyon</t>
  </si>
  <si>
    <t>Bilgisayar</t>
  </si>
  <si>
    <t xml:space="preserve">Telefon </t>
  </si>
  <si>
    <t xml:space="preserve">Saat </t>
  </si>
  <si>
    <t>Bijuteri</t>
  </si>
  <si>
    <t>Mücevherat</t>
  </si>
  <si>
    <t>Kuyumculuk</t>
  </si>
  <si>
    <t>Moda</t>
  </si>
  <si>
    <t>Ev tekstili</t>
  </si>
  <si>
    <t>Gözlük</t>
  </si>
  <si>
    <t>Cüzdan</t>
  </si>
  <si>
    <t>Ayakkabı</t>
  </si>
  <si>
    <t xml:space="preserve">Giyim </t>
  </si>
  <si>
    <t xml:space="preserve">Kozmetik </t>
  </si>
  <si>
    <t>Makyaj Ürünleri</t>
  </si>
  <si>
    <t>Parfüm</t>
  </si>
  <si>
    <t xml:space="preserve">Cilt Bakım Ürünleri </t>
  </si>
  <si>
    <t xml:space="preserve">Kişisel Bakım </t>
  </si>
  <si>
    <t xml:space="preserve">Duş Ürünleri </t>
  </si>
  <si>
    <t>El-Ayak Bakım Ürünleri</t>
  </si>
  <si>
    <t>Saç Bakım Ürünleri</t>
  </si>
  <si>
    <t>Ağız Bakım Ürünleri</t>
  </si>
  <si>
    <t>Ana Sektörler</t>
  </si>
  <si>
    <t>Yedek Parça</t>
  </si>
  <si>
    <t>Other</t>
  </si>
  <si>
    <t>CARDBOARD</t>
  </si>
  <si>
    <t>CHROME CARTON</t>
  </si>
  <si>
    <t>FANTASY PAPER</t>
  </si>
  <si>
    <t>REINF. BOTTOM PRINTING</t>
  </si>
  <si>
    <t>MUKAVVA</t>
  </si>
  <si>
    <t>FANTEZİ KAĞIT</t>
  </si>
  <si>
    <t>AĞIZ TAKVİYESİ/GRAMAJI</t>
  </si>
  <si>
    <t>DİP KARTON ÖZELLİĞİ/GRAMAJI</t>
  </si>
  <si>
    <r>
      <t xml:space="preserve">EXTRA UYGULAMALAR 8 - </t>
    </r>
    <r>
      <rPr>
        <b/>
        <sz val="10"/>
        <color rgb="FFFF0000"/>
        <rFont val="Calibri"/>
        <family val="2"/>
        <charset val="162"/>
        <scheme val="minor"/>
      </rPr>
      <t>PVC EURO KANCA</t>
    </r>
  </si>
  <si>
    <t>ACETATE/PVC</t>
  </si>
  <si>
    <t>DİP YAPIŞTIRMA BASKI/AÇIKLAMA</t>
  </si>
  <si>
    <t>KURDELE YAPIŞTIRMA</t>
  </si>
  <si>
    <t>ORTA KURDELE İÇ ATMALI</t>
  </si>
  <si>
    <t>SADECE ORTA KURDELE DELİĞİ</t>
  </si>
  <si>
    <t>GLUED ON TOT</t>
  </si>
  <si>
    <t>CENTRAL RIBBON HOLE WITH INNER PLUG</t>
  </si>
  <si>
    <t>CENTRAL RIBBON HOLE ONLY</t>
  </si>
  <si>
    <r>
      <t xml:space="preserve">EXTRA UYGULAMALAR 7 - </t>
    </r>
    <r>
      <rPr>
        <b/>
        <sz val="10"/>
        <color rgb="FFFF0000"/>
        <rFont val="Calibri"/>
        <family val="2"/>
        <charset val="162"/>
        <scheme val="minor"/>
      </rPr>
      <t>YÜKSEK LAK</t>
    </r>
  </si>
  <si>
    <t>YÜKSEK LAK</t>
  </si>
  <si>
    <t>STANDARD (25)</t>
  </si>
  <si>
    <t>FREIGHT COST</t>
  </si>
  <si>
    <t>SEVKİYAT ŞEKLİ</t>
  </si>
  <si>
    <t>TALEP TEKNİK BİLGİ FORMU</t>
  </si>
  <si>
    <t xml:space="preserve">TALEP ÖLÇÜLERİ(Kapalı) </t>
  </si>
  <si>
    <t>TALEP SAYISINI SEÇİNİZ.</t>
  </si>
  <si>
    <t>TALEP CİNSİ</t>
  </si>
  <si>
    <t>(FOB) GEMİYE YÜKLENEREK TESLİM</t>
  </si>
  <si>
    <t xml:space="preserve">NAKLİYE TİPİ </t>
  </si>
  <si>
    <t>DIŞTAN DELİK YAPIŞTIRMA</t>
  </si>
  <si>
    <t>GLUED ON HOLE (OUTSIDE)</t>
  </si>
  <si>
    <t>Palet Ölçüsü</t>
  </si>
  <si>
    <r>
      <t xml:space="preserve">EXTRA UYGULAMALAR 1  - </t>
    </r>
    <r>
      <rPr>
        <b/>
        <sz val="10"/>
        <color rgb="FFFF0000"/>
        <rFont val="Calibri"/>
        <family val="2"/>
        <charset val="162"/>
        <scheme val="minor"/>
      </rPr>
      <t>VARAK</t>
    </r>
    <r>
      <rPr>
        <b/>
        <sz val="10"/>
        <rFont val="Calibri"/>
        <family val="2"/>
        <charset val="162"/>
        <scheme val="minor"/>
      </rPr>
      <t xml:space="preserve"> </t>
    </r>
    <r>
      <rPr>
        <b/>
        <sz val="10"/>
        <color rgb="FFFF0000"/>
        <rFont val="Calibri"/>
        <family val="2"/>
        <charset val="162"/>
        <scheme val="minor"/>
      </rPr>
      <t>YALDIZ/AÇIKLAMA</t>
    </r>
  </si>
  <si>
    <t>ASETAT (PVC) BİLGİSİ/ORAN</t>
  </si>
  <si>
    <t>FURKAN AYHAN</t>
  </si>
  <si>
    <t>(EXW) GÖNDERİCİNİN İŞYERİNDE TESLİM</t>
  </si>
  <si>
    <t>(FCA) NAKLİYECİNİN DEPOSUNDA TESLİM</t>
  </si>
  <si>
    <t>(DAP) ALICI ADRESİNE TESLİM - GÜMRÜK HARİÇ</t>
  </si>
  <si>
    <t>(DDP) ALICI ADRESİNE TESLİM - GÜMRÜK DAHİL</t>
  </si>
  <si>
    <t>PELURA SARMA</t>
  </si>
  <si>
    <t>WRAPPED WITH TISSUE PAPER</t>
  </si>
  <si>
    <t>PELUR PAKET</t>
  </si>
  <si>
    <t>TISSUE PAPER PACKAGE</t>
  </si>
  <si>
    <t>ÜRÜN BİLGİSİ VE EXTRA UYGULAMALAR</t>
  </si>
  <si>
    <t>KAĞIT</t>
  </si>
  <si>
    <t>PAPER</t>
  </si>
  <si>
    <t>AMERİKAN BRİSTOL</t>
  </si>
  <si>
    <t>AMERICAN BRISTOL</t>
  </si>
  <si>
    <t xml:space="preserve">BROWN CRAFT </t>
  </si>
  <si>
    <t>MUSTERI</t>
  </si>
  <si>
    <t>TELEFON NO</t>
  </si>
  <si>
    <t>ADRES</t>
  </si>
  <si>
    <t>BALADA</t>
  </si>
  <si>
    <t>GLORIA 7 PLANTA ENTLO 3a, 08902 / HOSPITALET (BARCELONA) - SPAIN</t>
  </si>
  <si>
    <t>baladapack@gmail.com</t>
  </si>
  <si>
    <t>www.baladapack.es</t>
  </si>
  <si>
    <t>BERNAR GARCIA</t>
  </si>
  <si>
    <t>F. ANTONIO CARAZO VILLAR, 13, 30006 / PUENTE TOCINOS (MURCIA) - SPAIN</t>
  </si>
  <si>
    <t>bernardgm@bernargarcia.com</t>
  </si>
  <si>
    <t>www.bernargarcia.com</t>
  </si>
  <si>
    <t>BRANDADDITION</t>
  </si>
  <si>
    <t>TRAFFORD WHARF ROAD, MANCHESTER / M17 1DD - UK</t>
  </si>
  <si>
    <t>M17 1DD</t>
  </si>
  <si>
    <t>laura.george@brandaddition.com</t>
  </si>
  <si>
    <t>www.brandaddition.com</t>
  </si>
  <si>
    <t>BRITISH TAGS</t>
  </si>
  <si>
    <t>UNIT 6, QUADRUM PARK, OLDSMOUTH ROAD, GUILDFORD / GU3 1LU - UK</t>
  </si>
  <si>
    <t>GU3 1LU</t>
  </si>
  <si>
    <t>Richard@britishtags.co.uk</t>
  </si>
  <si>
    <t>www.britishtags.com</t>
  </si>
  <si>
    <t>COMET</t>
  </si>
  <si>
    <t>28 MAIN STREET, BT24 7AA / SAINTFIELD - NORTHERN IRELAND (UK)</t>
  </si>
  <si>
    <t>BT24 7AA</t>
  </si>
  <si>
    <t>gareth.hunter@cometpackaging.co.uk</t>
  </si>
  <si>
    <t>www.cometpackaging.co.uk</t>
  </si>
  <si>
    <t>DUTCH-PROMO</t>
  </si>
  <si>
    <t>Stationsplein 99 - 256, 1703 WE / Heerhugowaard - Netherlands</t>
  </si>
  <si>
    <t>1703 WE</t>
  </si>
  <si>
    <t>marrie@dutchpromobags.nl</t>
  </si>
  <si>
    <t>www.dutchpromobags.nl</t>
  </si>
  <si>
    <t>FACTORY PACKAGING</t>
  </si>
  <si>
    <t>C/ TOMAS REDONDO, 3 2H, 28033 / MADRID - SPAIN</t>
  </si>
  <si>
    <t>28033</t>
  </si>
  <si>
    <t>comercial@factorybolsasmadrid.es</t>
  </si>
  <si>
    <t>www.factorybolsasmadrid.es</t>
  </si>
  <si>
    <t>FORMPAPER</t>
  </si>
  <si>
    <t>TONELEROS S/N, POL. IND., "EL MUGRON 3a FASE", 02640 / ALMANSA (ALBACETE) - SPAIN</t>
  </si>
  <si>
    <t>02640</t>
  </si>
  <si>
    <t>Fgonzalez@formpaper.es</t>
  </si>
  <si>
    <t>www.formpaper.es</t>
  </si>
  <si>
    <t>GRUPAK</t>
  </si>
  <si>
    <t>Pol. Ind. La Pedrosa, Ctra. Martorell-Capellades, 17, 08783/Masquefa(Barcelona) - Spain</t>
  </si>
  <si>
    <t>08783</t>
  </si>
  <si>
    <t>info@grupakbcn.com</t>
  </si>
  <si>
    <t>www.grupak.com</t>
  </si>
  <si>
    <t>HALLMARK</t>
  </si>
  <si>
    <t>UNIT 10, OAKWOOD HILL IND. EST, OAKWOOD HILL, LOUGHTON, ESSEX - UK</t>
  </si>
  <si>
    <t>IG10 3TZ</t>
  </si>
  <si>
    <t>kate@hallmarklabels.com</t>
  </si>
  <si>
    <t>www.hallmarklabels.com</t>
  </si>
  <si>
    <t>IBERISAC</t>
  </si>
  <si>
    <t>VELAZQUEZ MORENO 9, PLANTA BAJA, OFICINA 9, 36201/VIGO - SPAIN</t>
  </si>
  <si>
    <t>36201</t>
  </si>
  <si>
    <t>hola@iberisac.com</t>
  </si>
  <si>
    <t>www.iberisac.com</t>
  </si>
  <si>
    <t>INNOVISUAL</t>
  </si>
  <si>
    <t xml:space="preserve">C/ San Andrés, 139- 4º Izq - 15003 A Coruña - Spain           </t>
  </si>
  <si>
    <t>15003</t>
  </si>
  <si>
    <t>jaime@innovisual.es</t>
  </si>
  <si>
    <t>www.innovisual.es</t>
  </si>
  <si>
    <t>IPARNOR</t>
  </si>
  <si>
    <t>POL. ARTEAGOITI II, PAB. 19, 48970 / BASAURI (BIZKAIA) - SPAIN</t>
  </si>
  <si>
    <t>48970</t>
  </si>
  <si>
    <t>iparnor@iparnor.com</t>
  </si>
  <si>
    <t>www.iparnor.com</t>
  </si>
  <si>
    <t>LARACAT</t>
  </si>
  <si>
    <t>C/ AGRICULTURA, 11, POLIGON INDUSTRIAL EL PLA, 08980 / SANT FELIU DE LLOBREGAT (BARCELONA) - SPAIN</t>
  </si>
  <si>
    <t>08980</t>
  </si>
  <si>
    <t>ca50@laracat.com</t>
  </si>
  <si>
    <t>www.laracat.com</t>
  </si>
  <si>
    <t>MAS QUE BOLSAS</t>
  </si>
  <si>
    <t>C/ TEJERIAS no:11, 26140/LARDERO (LA RIOJA) - SPAIN</t>
  </si>
  <si>
    <t>26140</t>
  </si>
  <si>
    <t>info@masquebolsas.es</t>
  </si>
  <si>
    <t>www.masquebolsas.es</t>
  </si>
  <si>
    <t>OUTTARGET</t>
  </si>
  <si>
    <t>42 RUE THIMONNIER 42100 / SAINT-ETIENNE - FRANCE</t>
  </si>
  <si>
    <t>42100</t>
  </si>
  <si>
    <t>clement@outtarget.com</t>
  </si>
  <si>
    <t>www.outtarget.com</t>
  </si>
  <si>
    <t>PLASTIRAMA</t>
  </si>
  <si>
    <t>C/ ARCHENA, 20 - POL. IND. LA POLVORISTA, 30500 / MOLINA DE SEGURA (MURCIA) - SPAIN</t>
  </si>
  <si>
    <t>30500</t>
  </si>
  <si>
    <t>compras@plastirama.es</t>
  </si>
  <si>
    <t>www.plastirama.es</t>
  </si>
  <si>
    <t>PREMIUM PACK</t>
  </si>
  <si>
    <t>Av. S. Lourenço da Barrosa - Edificio Carmix - loja 1, São Sebastião,8500-510 Portimão | Portugal</t>
  </si>
  <si>
    <t>8500-510</t>
  </si>
  <si>
    <t>premium_pack@hotmail.com</t>
  </si>
  <si>
    <t>www.premiumpack.pt</t>
  </si>
  <si>
    <t>PUBLI BOLSA</t>
  </si>
  <si>
    <t>'Av. De Utrera, 3, Local 1, 41740 Lebrija (Sevilla) - Spain</t>
  </si>
  <si>
    <t>41740</t>
  </si>
  <si>
    <t>info@publibolsa.es</t>
  </si>
  <si>
    <t>www.publibolsa.es</t>
  </si>
  <si>
    <t>RDAMIANS</t>
  </si>
  <si>
    <t>AVD. 16 DE JULIO, 59. POL. SON CASTELLO, 07009 / PALMA DE MALLORCA (ISLAS BALEARES) - SPAIN</t>
  </si>
  <si>
    <t>07009</t>
  </si>
  <si>
    <t>comercial@rdamians.net</t>
  </si>
  <si>
    <t>www.rdamians.com</t>
  </si>
  <si>
    <t>SELECT BUSSINES</t>
  </si>
  <si>
    <t>Select Business Gifts | Stretton Way| Huyton Business Park | Liverpool | L36 6JF | UK</t>
  </si>
  <si>
    <t>L36 6JF</t>
  </si>
  <si>
    <t>ross@selectbusinessgifts.co.uk</t>
  </si>
  <si>
    <t>www.selectbusinessgifts.co.uk</t>
  </si>
  <si>
    <t>STEPHEN GOULD</t>
  </si>
  <si>
    <t>UNIT CLARNEY HOUSE, BALDONNELL BUSINESS PARK, BULDONNELL, CO DUBLIN, IRELAND / D22 Y3E55</t>
  </si>
  <si>
    <t>D22 Y3E55</t>
  </si>
  <si>
    <t>emurphy@stephengould.com</t>
  </si>
  <si>
    <t>gouldpackaging.ie</t>
  </si>
  <si>
    <t>WESTSTRATE</t>
  </si>
  <si>
    <t>HERCULESWEG 37, 4338 PL / MIDDLEBURG - NETHERLANDS</t>
  </si>
  <si>
    <t>4338 PL</t>
  </si>
  <si>
    <t>ronald.becks@weststrate.nl</t>
  </si>
  <si>
    <t>weststrate.nl</t>
  </si>
  <si>
    <t>ZNP PACKAGING</t>
  </si>
  <si>
    <t>'Alfred Nobelstraat 10-12, 2665 KZ Bleiswijk-Netherlands</t>
  </si>
  <si>
    <t>2665 KZ</t>
  </si>
  <si>
    <t>SKraag@znppackaging.com</t>
  </si>
  <si>
    <t>www.znppackaging.com</t>
  </si>
  <si>
    <t>COUNTRY</t>
  </si>
  <si>
    <t>UK</t>
  </si>
  <si>
    <t>MT ADI</t>
  </si>
  <si>
    <t>BINIS</t>
  </si>
  <si>
    <t>GONETSI, 19003 / MARKOPOULOU, MARKOPOULOU MOSEGEAS (ATHENS) - GREECE</t>
  </si>
  <si>
    <t>marketing@binis.com.gr</t>
  </si>
  <si>
    <t>www.binis.com.gr</t>
  </si>
  <si>
    <t>Abpack GmbH</t>
  </si>
  <si>
    <t>Untersammelsdorf 16, 9122 St. Kanzian am Klopeiner See</t>
  </si>
  <si>
    <t>A-9020</t>
  </si>
  <si>
    <t>office@abpack.at</t>
  </si>
  <si>
    <t>www.abpack.at</t>
  </si>
  <si>
    <t>Herr Alex</t>
  </si>
  <si>
    <t>Admixx GmbH Werbemittel Systemhaus</t>
  </si>
  <si>
    <t>Kißlingweg 69 Mühlacker</t>
  </si>
  <si>
    <t>D-75417</t>
  </si>
  <si>
    <t>simon.kretschmer@admixx.de</t>
  </si>
  <si>
    <t>www.admixx.de</t>
  </si>
  <si>
    <t>Simon Kretschmer</t>
  </si>
  <si>
    <t>Bbtrading Werbeartikel AG</t>
  </si>
  <si>
    <t>Bernstraße 90</t>
  </si>
  <si>
    <t>rebecca.zollinger@bbtrading.ch</t>
  </si>
  <si>
    <t>www.bbtrading.ch</t>
  </si>
  <si>
    <t>Rebecca Zollinger</t>
  </si>
  <si>
    <t>Bitsinmotion GmbH</t>
  </si>
  <si>
    <t>Nikolaus-Kopernikus-Straße 6, Mainz</t>
  </si>
  <si>
    <t>wollberg@bitsinmotion.de</t>
  </si>
  <si>
    <t>www.bitsinmotion.de</t>
  </si>
  <si>
    <t>Felix Wollberg</t>
  </si>
  <si>
    <t>C. Angerer &amp; Göschl Druckerei und Handels GesmbH</t>
  </si>
  <si>
    <t>Friedmanngasse 66/1, Eingang Deinhardsteingasse, Wien</t>
  </si>
  <si>
    <t>office@angerer-goeschl.at</t>
  </si>
  <si>
    <t>www.druck-tragtaschen-verpackung.at</t>
  </si>
  <si>
    <t>G. Stephan</t>
  </si>
  <si>
    <t>Chocolatier GmbH</t>
  </si>
  <si>
    <t>Industriestraße 10, Appenweier</t>
  </si>
  <si>
    <t>D-77767</t>
  </si>
  <si>
    <t>v.gmeiner@chocolatier.de</t>
  </si>
  <si>
    <t>www.chocolatier.de</t>
  </si>
  <si>
    <t>Volker Gmeiner</t>
  </si>
  <si>
    <t>Grimmer DisplayGround GmbH</t>
  </si>
  <si>
    <t>Eichstraße 22, Bad Dürkheim</t>
  </si>
  <si>
    <t>jens.pastyrik@display-ground.de</t>
  </si>
  <si>
    <t>www.display-ground.de</t>
  </si>
  <si>
    <t>Jens Pastyrik</t>
  </si>
  <si>
    <t>DocCards - Jump Sales &amp; Marketing Service GmbH</t>
  </si>
  <si>
    <t>Zollhäuslstraße 10, Freilassing</t>
  </si>
  <si>
    <t>D-83395</t>
  </si>
  <si>
    <t>info@doccards.com</t>
  </si>
  <si>
    <t>www.doccards.com</t>
  </si>
  <si>
    <t>Oliver Schally</t>
  </si>
  <si>
    <t>Ebets GmbH</t>
  </si>
  <si>
    <t>Schildorf 16, Kallham</t>
  </si>
  <si>
    <t>r.baumgartner@ebets.at</t>
  </si>
  <si>
    <t>www.ebets.at</t>
  </si>
  <si>
    <t>Romana Baumgartner</t>
  </si>
  <si>
    <t>Fantova Promotional Products</t>
  </si>
  <si>
    <t>Eisenbahnstraße 61 / Dachgeschoss</t>
  </si>
  <si>
    <t>pilar.fantova@fantova-pp.com</t>
  </si>
  <si>
    <t>www.fantova-pp.com</t>
  </si>
  <si>
    <t>Pilar Fantova</t>
  </si>
  <si>
    <t>Fast-Pack</t>
  </si>
  <si>
    <t>Industriestraße 16, Fürnitz</t>
  </si>
  <si>
    <t>info@fast-pack.at</t>
  </si>
  <si>
    <t>www.fast-pack.at</t>
  </si>
  <si>
    <t>Andreas Blüm</t>
  </si>
  <si>
    <t>Graphicube s.a.r.l.</t>
  </si>
  <si>
    <t>Lüxemburg</t>
  </si>
  <si>
    <t>22, Rue du 31 Aout 1942</t>
  </si>
  <si>
    <t>L-9516</t>
  </si>
  <si>
    <t>mireille@graphicube.lu</t>
  </si>
  <si>
    <t>www.graphicube.lu</t>
  </si>
  <si>
    <t>Mireille Georges</t>
  </si>
  <si>
    <t>HSI Promotion GmbH</t>
  </si>
  <si>
    <t>Klagenfurt am Wörthersee</t>
  </si>
  <si>
    <t>sales2@hsi-promotion.com</t>
  </si>
  <si>
    <t>www.hsi-promotion.com</t>
  </si>
  <si>
    <t>Chiara Micheutz</t>
  </si>
  <si>
    <t>Iba Hartmann GmbH</t>
  </si>
  <si>
    <t>Stätzlinger Straße 77, Augsburg</t>
  </si>
  <si>
    <t>D-86165</t>
  </si>
  <si>
    <t>samiram.makko@iba-hartmann.de</t>
  </si>
  <si>
    <t>www.logo.iba-hartmann.de</t>
  </si>
  <si>
    <t>Samiram Makko</t>
  </si>
  <si>
    <t>Istac Promotion GmbH</t>
  </si>
  <si>
    <t>Titanstraße 3, 4062 Kirchberg-Thening</t>
  </si>
  <si>
    <t>cbrandt@istac.at</t>
  </si>
  <si>
    <t>www.istac.at</t>
  </si>
  <si>
    <t>Christian Brandt</t>
  </si>
  <si>
    <t>Kartonwerk - BnB Packaging GmbH</t>
  </si>
  <si>
    <t>Andreas-Bauer-Straße 6, Waldbüttelbrunn</t>
  </si>
  <si>
    <t>D-97297</t>
  </si>
  <si>
    <t>hallo@kartonwerk.com</t>
  </si>
  <si>
    <t>www.kartonwerk.com</t>
  </si>
  <si>
    <t>Albert Johannes</t>
  </si>
  <si>
    <t>Meyer/Stemmle GmbH &amp; Co. KG</t>
  </si>
  <si>
    <t>Wannenäckerstraße 34, Heilbronn</t>
  </si>
  <si>
    <t>michael.herlitschka@meyerstemmle.de</t>
  </si>
  <si>
    <t>www.meyerstemmle.de</t>
  </si>
  <si>
    <t>Michael Herlitschka</t>
  </si>
  <si>
    <t>Mitraco GmbH</t>
  </si>
  <si>
    <t>Heiligenstädter Straße 51</t>
  </si>
  <si>
    <t>y.wang@mitraco.com</t>
  </si>
  <si>
    <t>www.mitraco.com</t>
  </si>
  <si>
    <t>Yan Wang</t>
  </si>
  <si>
    <t>Murr GmbH</t>
  </si>
  <si>
    <t>Im Husarenlager 6a, Karlsruhe</t>
  </si>
  <si>
    <t>info@werbeagentur-murr.de</t>
  </si>
  <si>
    <t>www.werbeagentur-murr.de</t>
  </si>
  <si>
    <t>Fabienne Dudley</t>
  </si>
  <si>
    <t>OMNI Druckproduktion &amp; Papiertaschen-shop</t>
  </si>
  <si>
    <t>Jörgestraße 54, Wien</t>
  </si>
  <si>
    <t>office@papiertaschen-shop.at</t>
  </si>
  <si>
    <t>www.papiertaschen-shop.at</t>
  </si>
  <si>
    <t>Mehmet Bayar</t>
  </si>
  <si>
    <t>Orcas Customized Products GmbH &amp; Co. KG</t>
  </si>
  <si>
    <t>Höchter Straße, 20, Groß-Umstadt</t>
  </si>
  <si>
    <t>malik@2orcas.com</t>
  </si>
  <si>
    <t>www.2orcas.com</t>
  </si>
  <si>
    <t>Christopher Malik</t>
  </si>
  <si>
    <t>Papi GmbH</t>
  </si>
  <si>
    <t>Poller Hauptstraße 25-27, Köln</t>
  </si>
  <si>
    <t>jan.fritz@pap-i.com</t>
  </si>
  <si>
    <t>www.papi.info</t>
  </si>
  <si>
    <t>Jan Fritz</t>
  </si>
  <si>
    <t>Papier-Mettler RP-Verpackung GmbH</t>
  </si>
  <si>
    <t>Barentsstraße 10, Euskirchen</t>
  </si>
  <si>
    <t>D-53881</t>
  </si>
  <si>
    <t>rebecca.schwarz@papier-mettler.com</t>
  </si>
  <si>
    <t>www.rp-verpackung.de</t>
  </si>
  <si>
    <t>Rebecca Schwarz</t>
  </si>
  <si>
    <t>Pema Verpackung</t>
  </si>
  <si>
    <t>Carl-Zeiß-Straße 10, Skye</t>
  </si>
  <si>
    <t>D-28857</t>
  </si>
  <si>
    <t>meyer@pema-verpackung.de</t>
  </si>
  <si>
    <t>www.pema-verpackung.de</t>
  </si>
  <si>
    <t>Melanie Meyer</t>
  </si>
  <si>
    <t>Premium team Handel &amp; Marketing e.U.</t>
  </si>
  <si>
    <t>Lindengasse 11, Wien</t>
  </si>
  <si>
    <t>michael@premiumteam.at</t>
  </si>
  <si>
    <t>www.premiumteam.at</t>
  </si>
  <si>
    <t>Michael Schellander</t>
  </si>
  <si>
    <t>Printmybag BCB Media GmbH</t>
  </si>
  <si>
    <t>Olgastraße 8, Tettnang</t>
  </si>
  <si>
    <t>murat@printmybag.com</t>
  </si>
  <si>
    <t>www.printmybag.com</t>
  </si>
  <si>
    <t>Murat Beceren</t>
  </si>
  <si>
    <t>Qubic Packaging GmbH</t>
  </si>
  <si>
    <t>Keltenweg 17, Gelterkinden</t>
  </si>
  <si>
    <t>061 971 80 46</t>
  </si>
  <si>
    <t>paul.schild@qubic.ch</t>
  </si>
  <si>
    <t>www.qubic.ch</t>
  </si>
  <si>
    <t>Paul Schild</t>
  </si>
  <si>
    <t>Sack Container AG</t>
  </si>
  <si>
    <t>Unterdorfstraße 26, Seengen</t>
  </si>
  <si>
    <t>lara.wieland@sackcontainer.ch</t>
  </si>
  <si>
    <t>www.sackcontainer.ch</t>
  </si>
  <si>
    <t>Lara Wieland</t>
  </si>
  <si>
    <t>Schrema</t>
  </si>
  <si>
    <t>Petersburg 53, Gladenbach</t>
  </si>
  <si>
    <t>r.riedel@schrema.de</t>
  </si>
  <si>
    <t>www.schrema.de</t>
  </si>
  <si>
    <t>Regina Riedel</t>
  </si>
  <si>
    <t>T.Ü.T.E. GmbH</t>
  </si>
  <si>
    <t>An der Sausweide 4, Dormagen</t>
  </si>
  <si>
    <t>gaby@tuete.com</t>
  </si>
  <si>
    <t>www.tuete.com</t>
  </si>
  <si>
    <t>Gaby Szymkowiak</t>
  </si>
  <si>
    <t>Team4you e.U.</t>
  </si>
  <si>
    <t>Römerstraße 90, Wels</t>
  </si>
  <si>
    <t>office@team4you.co.at</t>
  </si>
  <si>
    <t>www.team4you.co.at</t>
  </si>
  <si>
    <t>Karin Bauer</t>
  </si>
  <si>
    <t>TS Handelsagentur &amp; Werbeartikel GmbH</t>
  </si>
  <si>
    <t>Hauptstraße 73A, Katzelsdorf</t>
  </si>
  <si>
    <t>nicole.willander@werbegeschenke.cc</t>
  </si>
  <si>
    <t>www.werbegeschenke.cc</t>
  </si>
  <si>
    <t>Nicole Willander</t>
  </si>
  <si>
    <t>Werbezeichen AG</t>
  </si>
  <si>
    <t>Dachauer Straße 42, München</t>
  </si>
  <si>
    <t>patricia.thaler@werbezeichen.de</t>
  </si>
  <si>
    <t>www.werbezeichen.de</t>
  </si>
  <si>
    <t>Patricia Thaler</t>
  </si>
  <si>
    <t>Wipex Werbemittel AG</t>
  </si>
  <si>
    <t>Mühlentalstraße 272 PO Box 308, Schaffhausen</t>
  </si>
  <si>
    <t>CH-8201</t>
  </si>
  <si>
    <t>r.ferreira@wipex.ch</t>
  </si>
  <si>
    <t>www.wipex.ch</t>
  </si>
  <si>
    <t>Ricardo Ferreira</t>
  </si>
  <si>
    <t>49 7041 - 81099-37</t>
  </si>
  <si>
    <t>41 (0) 44 745 69 40</t>
  </si>
  <si>
    <t>49 6131 95053-16</t>
  </si>
  <si>
    <t>43 1 4858024</t>
  </si>
  <si>
    <t>49 7805-91697-0</t>
  </si>
  <si>
    <t>49 6322 - 958 193-16</t>
  </si>
  <si>
    <t>49 (0)8654 / 779283</t>
  </si>
  <si>
    <t>43 7733 7171 DW 0</t>
  </si>
  <si>
    <t>43 (0)664 375 72 73</t>
  </si>
  <si>
    <t>43 680/1253402</t>
  </si>
  <si>
    <t>352 471 19 79 02</t>
  </si>
  <si>
    <t>43 (0)463 338838</t>
  </si>
  <si>
    <t>49 (0)821 7 94 09-504</t>
  </si>
  <si>
    <t>43 7221 64600 - 85</t>
  </si>
  <si>
    <t>49 931 4 89 89</t>
  </si>
  <si>
    <t>49 (0) 7131 1506 11</t>
  </si>
  <si>
    <t>43 1 320 91 51 26</t>
  </si>
  <si>
    <t>49 721 5683000</t>
  </si>
  <si>
    <t>43 (1) 890 248 4060</t>
  </si>
  <si>
    <t>49 6078 782530</t>
  </si>
  <si>
    <t>49 (0) 2 21-9 83 85-0</t>
  </si>
  <si>
    <t>49 2251/14709-0</t>
  </si>
  <si>
    <t>49-4242-5393-24</t>
  </si>
  <si>
    <t>43-1-522 3002-12</t>
  </si>
  <si>
    <t>49 07542 947 8712</t>
  </si>
  <si>
    <t>41 62 849 02 00</t>
  </si>
  <si>
    <t>49 (0)6462 91430-0</t>
  </si>
  <si>
    <t>49(0)2133.97595-6</t>
  </si>
  <si>
    <t>43 (0) 7242 207447</t>
  </si>
  <si>
    <t>43 (0) 2622 87987 - 14</t>
  </si>
  <si>
    <t>49 89 79086086 - 48</t>
  </si>
  <si>
    <t>41 (0)52 630 20 25</t>
  </si>
  <si>
    <t>34934193587</t>
  </si>
  <si>
    <t>34670059620</t>
  </si>
  <si>
    <t>441617860225</t>
  </si>
  <si>
    <t>447780432043</t>
  </si>
  <si>
    <t>447880965319</t>
  </si>
  <si>
    <t>31725316181</t>
  </si>
  <si>
    <t>34665841310</t>
  </si>
  <si>
    <t>34610852682</t>
  </si>
  <si>
    <t>34937729071</t>
  </si>
  <si>
    <t>442085320620</t>
  </si>
  <si>
    <t>34663338806</t>
  </si>
  <si>
    <t>34881967726</t>
  </si>
  <si>
    <t>34678487306</t>
  </si>
  <si>
    <t>34607738750</t>
  </si>
  <si>
    <t>34630474062</t>
  </si>
  <si>
    <t>33477514048</t>
  </si>
  <si>
    <t>34602661628</t>
  </si>
  <si>
    <t>351969455400</t>
  </si>
  <si>
    <t>34 660 22 51 18</t>
  </si>
  <si>
    <t>34971432292</t>
  </si>
  <si>
    <t>44 (0)151 489 7575</t>
  </si>
  <si>
    <t>353876740690</t>
  </si>
  <si>
    <t>31118630030</t>
  </si>
  <si>
    <t>31 10 529 33 86</t>
  </si>
  <si>
    <t>302299063125</t>
  </si>
  <si>
    <t>ÜLKE</t>
  </si>
  <si>
    <t>ÖDEME ŞEKLİ</t>
  </si>
  <si>
    <t>MÜŞTERİ FATURA ADRESİ</t>
  </si>
  <si>
    <t>TESLİMAT ADETİ TOLERANSI (MAL FAZLASI ORANI)</t>
  </si>
  <si>
    <r>
      <t xml:space="preserve">EXTRA UYGULAMALAR 2 - </t>
    </r>
    <r>
      <rPr>
        <b/>
        <sz val="10"/>
        <color rgb="FFFF0000"/>
        <rFont val="Calibri"/>
        <family val="2"/>
        <charset val="162"/>
        <scheme val="minor"/>
      </rPr>
      <t>GOFRE/EMBOSS/ORAN</t>
    </r>
  </si>
  <si>
    <r>
      <t xml:space="preserve">EXTRA UYGULAMALAR 3 - </t>
    </r>
    <r>
      <rPr>
        <b/>
        <sz val="10"/>
        <color rgb="FFFF0000"/>
        <rFont val="Calibri"/>
        <family val="2"/>
        <charset val="162"/>
        <scheme val="minor"/>
      </rPr>
      <t>GOFRE/DEBOSS/ORAN</t>
    </r>
  </si>
  <si>
    <t>MAL FAZLASI (ADET)</t>
  </si>
  <si>
    <t>Ellipse (HOLE IN THE MIDDLE)</t>
  </si>
  <si>
    <t>Round (HOLE IN THE MIDDLE)</t>
  </si>
  <si>
    <t>PATCHLİ ÇANTA</t>
  </si>
  <si>
    <t>BAG WITH PATCH</t>
  </si>
  <si>
    <t>"</t>
  </si>
  <si>
    <t>30% ADVANCE, 70% AT SHIPMENT DATE</t>
  </si>
  <si>
    <t>50% ADVANCE, 50% AT SHIPMENT DATE</t>
  </si>
  <si>
    <t>100% ADVANCED PAYMENT</t>
  </si>
  <si>
    <t>FULL PAYMENT 30 DAYS AFTER INVOICE DATE</t>
  </si>
  <si>
    <t>FULL PAYMENT 45 DAYS AFTER INVOICE DATE</t>
  </si>
  <si>
    <t>FULL PAYMENT 60 DAYS AFTER INVOICE DATE</t>
  </si>
  <si>
    <t>FULL PAYMENT 15 DAYS AFTER INVOICE DATE</t>
  </si>
  <si>
    <t>30% ADVANCE, 15 DAYS AFTER INVOICE DATE</t>
  </si>
  <si>
    <t>30% ADVANCE, 30 DAYS AFTER INVOICE DATE</t>
  </si>
  <si>
    <t>30% ADVANCE, 45 DAYS AFTER INVOICE DATE</t>
  </si>
  <si>
    <t>30% ADVANCE, 60 DAYS AFTER INVOICE DATE</t>
  </si>
  <si>
    <t>50% ADVANCE, 15 DAYS AFTER INVOICE DATE</t>
  </si>
  <si>
    <t>50% ADVANCE, 30 DAYS AFTER INVOICE DATE</t>
  </si>
  <si>
    <t>50% ADVANCE, 45 DAYS AFTER INVOICE DATE</t>
  </si>
  <si>
    <t>50% ADVANCE, 60 DAYS AFTER INVOICE DATE</t>
  </si>
  <si>
    <t>€ EURO</t>
  </si>
  <si>
    <t>YUNUS BAĞRIAÇIK</t>
  </si>
  <si>
    <t>POLYESTER</t>
  </si>
  <si>
    <t>FARKETMEZ</t>
  </si>
  <si>
    <t>SEVK POSTA KODU</t>
  </si>
  <si>
    <t>INVOICE ADDRESS</t>
  </si>
  <si>
    <t>SEVK ÜLKESİ / ADRESİ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</si>
</sst>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[$-41F]dd/mm/yyyy"/>
    <numFmt numFmtId="165" formatCode="#,##0.000\ [$€-407]"/>
    <numFmt numFmtId="166" formatCode="%0"/>
    <numFmt numFmtId="167" formatCode="[$-F800]dddd\,\ mmmm\ dd\,\ yyyy"/>
    <numFmt numFmtId="168" formatCode="[$EUR]\ #,##0.000"/>
    <numFmt numFmtId="169" formatCode=";;;"/>
    <numFmt numFmtId="171" formatCode="0\%"/>
    <numFmt numFmtId="172" formatCode="\+\€0.000"/>
    <numFmt numFmtId="173" formatCode="0\ &quot;gsm&quot;"/>
    <numFmt numFmtId="174" formatCode="\+0"/>
    <numFmt numFmtId="175" formatCode="[$€-2]\ #,##0.00;[Red]\-[$€-2]\ #,##0.00"/>
    <numFmt numFmtId="176" formatCode="\€0.00"/>
    <numFmt numFmtId="177" formatCode="[$£-809]#,##0.00"/>
    <numFmt numFmtId="178" formatCode="[&lt;=9999999]###\-####;\(###\)\ ###\-####"/>
  </numFmts>
  <fonts count="112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0"/>
      <color rgb="FF000000"/>
      <name val="Calibri"/>
      <family val="2"/>
      <charset val="162"/>
    </font>
    <font>
      <b/>
      <sz val="11"/>
      <color rgb="FF000000"/>
      <name val="Calibri"/>
      <family val="2"/>
      <charset val="1"/>
    </font>
    <font>
      <sz val="11"/>
      <color rgb="FF404040"/>
      <name val="Calibri"/>
      <family val="2"/>
      <charset val="162"/>
    </font>
    <font>
      <u/>
      <sz val="11"/>
      <color rgb="FF0000FF"/>
      <name val="Calibri"/>
      <family val="2"/>
      <charset val="1"/>
    </font>
    <font>
      <sz val="11"/>
      <color rgb="FF404040"/>
      <name val="Calibri"/>
      <family val="2"/>
    </font>
    <font>
      <b/>
      <sz val="11"/>
      <color rgb="FF000000"/>
      <name val="Calibri"/>
      <family val="2"/>
      <charset val="162"/>
    </font>
    <font>
      <sz val="11"/>
      <color rgb="FF404040"/>
      <name val="Calibri"/>
      <family val="2"/>
      <charset val="1"/>
    </font>
    <font>
      <b/>
      <sz val="11"/>
      <color rgb="FFFF0000"/>
      <name val="Calibri"/>
      <family val="2"/>
      <charset val="162"/>
    </font>
    <font>
      <b/>
      <sz val="11"/>
      <color rgb="FF4F81BD"/>
      <name val="Calibri"/>
      <family val="2"/>
      <charset val="162"/>
    </font>
    <font>
      <b/>
      <sz val="11"/>
      <color rgb="FF404040"/>
      <name val="Calibri"/>
      <family val="2"/>
      <charset val="162"/>
    </font>
    <font>
      <sz val="11"/>
      <color rgb="FFFF0000"/>
      <name val="Calibri"/>
      <family val="2"/>
      <charset val="162"/>
    </font>
    <font>
      <sz val="11"/>
      <color rgb="FF000000"/>
      <name val="Calibri"/>
      <family val="2"/>
      <charset val="162"/>
    </font>
    <font>
      <sz val="10"/>
      <color rgb="FF404040"/>
      <name val="Calibri"/>
      <family val="2"/>
      <charset val="162"/>
    </font>
    <font>
      <b/>
      <sz val="10"/>
      <color rgb="FF404040"/>
      <name val="Calibri"/>
      <family val="2"/>
      <charset val="162"/>
    </font>
    <font>
      <sz val="10"/>
      <color rgb="FF0070C0"/>
      <name val="Calibri"/>
      <family val="2"/>
      <charset val="162"/>
    </font>
    <font>
      <sz val="10"/>
      <color rgb="FFFF0000"/>
      <name val="Calibri"/>
      <family val="2"/>
      <charset val="162"/>
    </font>
    <font>
      <u/>
      <sz val="10"/>
      <color rgb="FF404040"/>
      <name val="Calibri"/>
      <family val="2"/>
      <charset val="162"/>
    </font>
    <font>
      <sz val="11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b/>
      <sz val="14"/>
      <color rgb="FFFF0000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9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  <font>
      <b/>
      <sz val="12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u/>
      <sz val="16"/>
      <color theme="1"/>
      <name val="Calibri"/>
      <family val="2"/>
      <charset val="162"/>
      <scheme val="minor"/>
    </font>
    <font>
      <sz val="12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12"/>
      <color theme="1"/>
      <name val="FiraSans-Regular"/>
      <charset val="162"/>
    </font>
    <font>
      <b/>
      <sz val="14"/>
      <color theme="1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b/>
      <sz val="12"/>
      <color rgb="FF0D0D0D"/>
      <name val="Calibri"/>
      <family val="2"/>
      <charset val="162"/>
    </font>
    <font>
      <b/>
      <sz val="16"/>
      <color rgb="FF0D0D0D"/>
      <name val="Calibri"/>
      <family val="2"/>
      <charset val="162"/>
    </font>
    <font>
      <b/>
      <sz val="16"/>
      <color rgb="FF595959"/>
      <name val="Calibri"/>
      <family val="2"/>
      <charset val="16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</font>
    <font>
      <b/>
      <sz val="14"/>
      <color rgb="FF000000"/>
      <name val="Calibri"/>
      <family val="2"/>
      <charset val="162"/>
    </font>
    <font>
      <sz val="11"/>
      <color theme="0"/>
      <name val="Calibri"/>
      <family val="2"/>
      <charset val="162"/>
    </font>
    <font>
      <sz val="11"/>
      <color theme="0"/>
      <name val="Calibri"/>
      <family val="2"/>
    </font>
    <font>
      <sz val="8"/>
      <color theme="1"/>
      <name val="Calibri"/>
      <family val="2"/>
      <charset val="162"/>
      <scheme val="minor"/>
    </font>
    <font>
      <sz val="10"/>
      <color rgb="FF37415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2"/>
      <color rgb="FF000000"/>
      <name val="Calibri"/>
      <family val="2"/>
      <charset val="162"/>
    </font>
    <font>
      <sz val="9"/>
      <color theme="1"/>
      <name val="Calibri"/>
      <family val="2"/>
      <charset val="162"/>
      <scheme val="minor"/>
    </font>
    <font>
      <b/>
      <sz val="13"/>
      <color rgb="FF000000"/>
      <name val="Calibri"/>
      <family val="2"/>
      <charset val="162"/>
    </font>
    <font>
      <b/>
      <sz val="16"/>
      <name val="Calibri"/>
      <family val="2"/>
      <charset val="16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  <charset val="1"/>
    </font>
    <font>
      <b/>
      <sz val="16"/>
      <color rgb="FF000000"/>
      <name val="Calibri"/>
      <family val="2"/>
      <charset val="162"/>
    </font>
    <font>
      <b/>
      <sz val="16"/>
      <name val="Calibri"/>
      <family val="2"/>
      <charset val="16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5"/>
      <name val="Calibri"/>
      <family val="2"/>
      <scheme val="minor"/>
    </font>
    <font>
      <b/>
      <sz val="15"/>
      <color rgb="FFFF0000"/>
      <name val="Calibri"/>
      <family val="2"/>
      <charset val="162"/>
      <scheme val="minor"/>
    </font>
    <font>
      <b/>
      <u/>
      <sz val="15"/>
      <color theme="1"/>
      <name val="Calibri"/>
      <family val="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name val="Calibri"/>
      <family val="2"/>
      <charset val="162"/>
      <scheme val="minor"/>
    </font>
    <font>
      <sz val="15"/>
      <color theme="1"/>
      <name val="Calibri"/>
      <family val="2"/>
      <charset val="162"/>
      <scheme val="minor"/>
    </font>
    <font>
      <sz val="15"/>
      <color theme="1"/>
      <name val="FiraSans-Regular"/>
      <charset val="162"/>
    </font>
    <font>
      <sz val="15"/>
      <name val="Calibri"/>
      <family val="2"/>
      <charset val="162"/>
      <scheme val="minor"/>
    </font>
    <font>
      <u/>
      <sz val="15"/>
      <color theme="1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0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charset val="162"/>
      <scheme val="minor"/>
    </font>
    <font>
      <sz val="13"/>
      <color rgb="FF404040"/>
      <name val="Calibri"/>
      <family val="2"/>
    </font>
    <font>
      <b/>
      <sz val="14"/>
      <color rgb="FFFF0000"/>
      <name val="Calibri"/>
      <family val="2"/>
      <charset val="162"/>
    </font>
    <font>
      <b/>
      <sz val="13"/>
      <color rgb="FF404040"/>
      <name val="Calibri"/>
      <family val="2"/>
    </font>
    <font>
      <sz val="13"/>
      <color rgb="FFFF0000"/>
      <name val="Calibri"/>
      <family val="2"/>
    </font>
    <font>
      <sz val="13"/>
      <name val="Calibri"/>
      <family val="2"/>
    </font>
    <font>
      <sz val="13"/>
      <name val="Calibri"/>
      <family val="2"/>
      <scheme val="minor"/>
    </font>
    <font>
      <b/>
      <sz val="13"/>
      <color rgb="FF404040"/>
      <name val="Calibri"/>
      <family val="2"/>
      <charset val="162"/>
    </font>
    <font>
      <b/>
      <sz val="13"/>
      <color rgb="FF0D0D0D"/>
      <name val="Calibri"/>
      <family val="2"/>
      <charset val="162"/>
    </font>
    <font>
      <b/>
      <sz val="15"/>
      <color theme="1" tint="0.249977111117893"/>
      <name val="Calibri"/>
      <family val="2"/>
    </font>
    <font>
      <sz val="15"/>
      <name val="Calibri"/>
      <family val="2"/>
    </font>
    <font>
      <sz val="11"/>
      <color rgb="FF0070C0"/>
      <name val="Calibri"/>
      <family val="2"/>
      <charset val="16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rgb="FF404040"/>
      <name val="Calibri"/>
      <family val="2"/>
    </font>
    <font>
      <u/>
      <sz val="14"/>
      <color rgb="FF0000FF"/>
      <name val="Calibri"/>
      <family val="2"/>
    </font>
    <font>
      <sz val="14"/>
      <color theme="1" tint="0.249977111117893"/>
      <name val="Calibri"/>
      <family val="2"/>
    </font>
    <font>
      <sz val="14"/>
      <name val="Calibri"/>
      <family val="2"/>
    </font>
    <font>
      <sz val="14"/>
      <color rgb="FFFF0000"/>
      <name val="Calibri"/>
      <family val="2"/>
    </font>
    <font>
      <sz val="13"/>
      <color rgb="FFFF0000"/>
      <name val="Calibri"/>
      <family val="2"/>
      <charset val="162"/>
    </font>
    <font>
      <sz val="13"/>
      <name val="Calibri"/>
      <family val="2"/>
      <charset val="162"/>
    </font>
    <font>
      <sz val="13"/>
      <color rgb="FF404040"/>
      <name val="Calibri"/>
      <family val="2"/>
      <charset val="162"/>
    </font>
    <font>
      <sz val="11"/>
      <color rgb="FF000000"/>
      <name val="Calibri"/>
      <family val="2"/>
      <charset val="162"/>
      <scheme val="minor"/>
    </font>
    <font>
      <sz val="12"/>
      <color rgb="FF000000"/>
      <name val="Calibri"/>
      <family val="2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9E7E7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7F7F7F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6" fillId="0" borderId="0"/>
    <xf numFmtId="0" fontId="10" fillId="0" borderId="0" applyBorder="0" applyProtection="0"/>
  </cellStyleXfs>
  <cellXfs count="1037">
    <xf numFmtId="0" fontId="0" fillId="0" borderId="0" xfId="0"/>
    <xf numFmtId="0" fontId="6" fillId="0" borderId="0" xfId="3"/>
    <xf numFmtId="0" fontId="6" fillId="0" borderId="27" xfId="3" applyBorder="1"/>
    <xf numFmtId="0" fontId="8" fillId="0" borderId="0" xfId="3" applyFont="1" applyAlignment="1">
      <alignment horizontal="right" vertical="center"/>
    </xf>
    <xf numFmtId="0" fontId="6" fillId="0" borderId="4" xfId="3" applyBorder="1"/>
    <xf numFmtId="0" fontId="6" fillId="0" borderId="5" xfId="3" applyBorder="1"/>
    <xf numFmtId="3" fontId="14" fillId="0" borderId="0" xfId="3" applyNumberFormat="1" applyFont="1"/>
    <xf numFmtId="0" fontId="18" fillId="0" borderId="0" xfId="3" applyFont="1"/>
    <xf numFmtId="0" fontId="16" fillId="0" borderId="4" xfId="3" applyFont="1" applyBorder="1" applyAlignment="1">
      <alignment vertical="center"/>
    </xf>
    <xf numFmtId="0" fontId="16" fillId="0" borderId="5" xfId="3" applyFont="1" applyBorder="1" applyAlignment="1">
      <alignment vertical="center"/>
    </xf>
    <xf numFmtId="0" fontId="16" fillId="0" borderId="27" xfId="3" applyFont="1" applyBorder="1" applyAlignment="1">
      <alignment horizontal="right" vertical="center" wrapText="1"/>
    </xf>
    <xf numFmtId="0" fontId="16" fillId="0" borderId="0" xfId="3" applyFont="1" applyAlignment="1">
      <alignment horizontal="right" vertical="center" wrapText="1"/>
    </xf>
    <xf numFmtId="0" fontId="9" fillId="0" borderId="0" xfId="3" applyFont="1" applyAlignment="1">
      <alignment vertical="center"/>
    </xf>
    <xf numFmtId="0" fontId="19" fillId="0" borderId="0" xfId="3" applyFont="1" applyAlignment="1">
      <alignment horizontal="left" vertical="center"/>
    </xf>
    <xf numFmtId="0" fontId="19" fillId="0" borderId="28" xfId="3" applyFont="1" applyBorder="1" applyAlignment="1">
      <alignment horizontal="left" vertical="center"/>
    </xf>
    <xf numFmtId="0" fontId="9" fillId="0" borderId="5" xfId="3" applyFont="1" applyBorder="1"/>
    <xf numFmtId="0" fontId="0" fillId="0" borderId="0" xfId="0" applyAlignment="1">
      <alignment horizontal="center" vertical="center"/>
    </xf>
    <xf numFmtId="168" fontId="34" fillId="0" borderId="1" xfId="1" applyNumberFormat="1" applyFont="1" applyBorder="1" applyAlignment="1" applyProtection="1">
      <alignment horizontal="center" vertical="center"/>
      <protection locked="0"/>
    </xf>
    <xf numFmtId="168" fontId="34" fillId="0" borderId="43" xfId="1" applyNumberFormat="1" applyFont="1" applyBorder="1" applyAlignment="1" applyProtection="1">
      <alignment horizontal="center" vertical="center"/>
      <protection locked="0"/>
    </xf>
    <xf numFmtId="168" fontId="37" fillId="0" borderId="31" xfId="1" applyNumberFormat="1" applyFont="1" applyBorder="1" applyAlignment="1" applyProtection="1">
      <alignment horizontal="center" vertical="center"/>
      <protection locked="0"/>
    </xf>
    <xf numFmtId="167" fontId="34" fillId="0" borderId="45" xfId="1" applyNumberFormat="1" applyFont="1" applyBorder="1" applyAlignment="1" applyProtection="1">
      <alignment horizontal="center" vertical="center"/>
      <protection locked="0"/>
    </xf>
    <xf numFmtId="168" fontId="37" fillId="0" borderId="46" xfId="1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vertical="center"/>
    </xf>
    <xf numFmtId="0" fontId="39" fillId="0" borderId="39" xfId="0" applyFont="1" applyBorder="1"/>
    <xf numFmtId="0" fontId="0" fillId="0" borderId="39" xfId="0" applyBorder="1"/>
    <xf numFmtId="0" fontId="0" fillId="0" borderId="44" xfId="0" applyBorder="1"/>
    <xf numFmtId="0" fontId="0" fillId="0" borderId="10" xfId="0" applyBorder="1"/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1" fillId="0" borderId="43" xfId="0" applyFont="1" applyBorder="1" applyAlignment="1">
      <alignment horizontal="left" vertical="center"/>
    </xf>
    <xf numFmtId="0" fontId="27" fillId="0" borderId="39" xfId="0" applyFont="1" applyBorder="1" applyAlignment="1">
      <alignment horizontal="center" vertical="center"/>
    </xf>
    <xf numFmtId="0" fontId="39" fillId="10" borderId="39" xfId="0" applyFont="1" applyFill="1" applyBorder="1" applyAlignment="1">
      <alignment horizontal="center" vertical="center"/>
    </xf>
    <xf numFmtId="0" fontId="8" fillId="10" borderId="38" xfId="3" applyFont="1" applyFill="1" applyBorder="1" applyAlignment="1">
      <alignment horizontal="left" vertical="center"/>
    </xf>
    <xf numFmtId="0" fontId="8" fillId="10" borderId="42" xfId="3" applyFont="1" applyFill="1" applyBorder="1" applyAlignment="1">
      <alignment horizontal="left" vertical="center"/>
    </xf>
    <xf numFmtId="0" fontId="48" fillId="11" borderId="1" xfId="3" applyFont="1" applyFill="1" applyBorder="1" applyAlignment="1">
      <alignment horizontal="center" vertical="center"/>
    </xf>
    <xf numFmtId="0" fontId="16" fillId="11" borderId="1" xfId="3" applyFont="1" applyFill="1" applyBorder="1" applyAlignment="1">
      <alignment vertical="center"/>
    </xf>
    <xf numFmtId="0" fontId="56" fillId="0" borderId="0" xfId="3" applyFont="1"/>
    <xf numFmtId="0" fontId="57" fillId="0" borderId="0" xfId="3" applyFont="1"/>
    <xf numFmtId="0" fontId="58" fillId="0" borderId="2" xfId="0" applyFont="1" applyBorder="1"/>
    <xf numFmtId="0" fontId="59" fillId="0" borderId="0" xfId="0" applyFont="1" applyAlignment="1">
      <alignment horizontal="left" vertical="center" indent="1"/>
    </xf>
    <xf numFmtId="0" fontId="60" fillId="0" borderId="0" xfId="0" applyFont="1" applyAlignment="1">
      <alignment horizontal="left" vertical="top"/>
    </xf>
    <xf numFmtId="0" fontId="5" fillId="0" borderId="1" xfId="2" applyBorder="1" applyAlignment="1">
      <alignment horizontal="left" vertical="center"/>
    </xf>
    <xf numFmtId="0" fontId="29" fillId="0" borderId="1" xfId="1" applyFont="1" applyBorder="1" applyAlignment="1" applyProtection="1">
      <alignment horizontal="center" vertical="center"/>
      <protection locked="0"/>
    </xf>
    <xf numFmtId="0" fontId="29" fillId="0" borderId="31" xfId="1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center" vertical="center" wrapText="1"/>
    </xf>
    <xf numFmtId="0" fontId="50" fillId="0" borderId="22" xfId="0" applyFont="1" applyBorder="1" applyAlignment="1">
      <alignment horizontal="center" vertical="center" wrapText="1"/>
    </xf>
    <xf numFmtId="0" fontId="50" fillId="0" borderId="50" xfId="0" applyFont="1" applyBorder="1" applyAlignment="1">
      <alignment horizontal="center" vertical="center" wrapText="1"/>
    </xf>
    <xf numFmtId="0" fontId="50" fillId="0" borderId="34" xfId="0" applyFont="1" applyBorder="1" applyAlignment="1">
      <alignment horizontal="center" vertical="center" wrapText="1"/>
    </xf>
    <xf numFmtId="0" fontId="18" fillId="0" borderId="28" xfId="3" applyFont="1" applyBorder="1"/>
    <xf numFmtId="0" fontId="18" fillId="5" borderId="0" xfId="3" applyFont="1" applyFill="1"/>
    <xf numFmtId="0" fontId="18" fillId="0" borderId="0" xfId="3" applyFont="1" applyAlignment="1">
      <alignment vertical="center" wrapText="1"/>
    </xf>
    <xf numFmtId="0" fontId="46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31" fillId="0" borderId="32" xfId="1" applyFont="1" applyBorder="1" applyAlignment="1" applyProtection="1">
      <alignment horizontal="center" vertical="center" wrapText="1"/>
      <protection locked="0"/>
    </xf>
    <xf numFmtId="0" fontId="31" fillId="0" borderId="38" xfId="1" applyFont="1" applyBorder="1" applyAlignment="1" applyProtection="1">
      <alignment horizontal="center" vertical="center" wrapText="1"/>
      <protection locked="0"/>
    </xf>
    <xf numFmtId="0" fontId="36" fillId="0" borderId="31" xfId="1" applyFont="1" applyBorder="1" applyAlignment="1" applyProtection="1">
      <alignment horizontal="center" vertical="center"/>
      <protection locked="0"/>
    </xf>
    <xf numFmtId="0" fontId="27" fillId="0" borderId="51" xfId="1" applyFont="1" applyBorder="1" applyAlignment="1" applyProtection="1">
      <alignment horizontal="center" vertical="center"/>
      <protection locked="0"/>
    </xf>
    <xf numFmtId="0" fontId="27" fillId="0" borderId="43" xfId="1" applyFont="1" applyBorder="1" applyAlignment="1" applyProtection="1">
      <alignment horizontal="center" vertical="center"/>
      <protection locked="0"/>
    </xf>
    <xf numFmtId="0" fontId="27" fillId="0" borderId="44" xfId="1" applyFont="1" applyBorder="1" applyAlignment="1" applyProtection="1">
      <alignment horizontal="center" vertical="center"/>
      <protection locked="0"/>
    </xf>
    <xf numFmtId="0" fontId="27" fillId="0" borderId="31" xfId="1" applyFont="1" applyBorder="1" applyAlignment="1" applyProtection="1">
      <alignment horizontal="center" vertical="center"/>
      <protection locked="0"/>
    </xf>
    <xf numFmtId="0" fontId="29" fillId="0" borderId="16" xfId="1" applyFont="1" applyBorder="1" applyAlignment="1" applyProtection="1">
      <alignment horizontal="center" vertical="center"/>
      <protection locked="0"/>
    </xf>
    <xf numFmtId="0" fontId="29" fillId="0" borderId="17" xfId="1" applyFont="1" applyBorder="1" applyAlignment="1" applyProtection="1">
      <alignment horizontal="center" vertical="center"/>
      <protection locked="0"/>
    </xf>
    <xf numFmtId="0" fontId="27" fillId="0" borderId="1" xfId="1" applyFont="1" applyBorder="1" applyAlignment="1" applyProtection="1">
      <alignment horizontal="center" vertical="center"/>
      <protection locked="0"/>
    </xf>
    <xf numFmtId="0" fontId="46" fillId="0" borderId="39" xfId="1" applyFont="1" applyBorder="1" applyAlignment="1" applyProtection="1">
      <alignment horizontal="center" vertical="center" wrapText="1"/>
      <protection locked="0"/>
    </xf>
    <xf numFmtId="0" fontId="3" fillId="0" borderId="0" xfId="1" applyAlignment="1" applyProtection="1">
      <alignment horizontal="center" vertical="center"/>
      <protection locked="0"/>
    </xf>
    <xf numFmtId="0" fontId="41" fillId="0" borderId="1" xfId="1" applyFont="1" applyBorder="1" applyAlignment="1" applyProtection="1">
      <alignment horizontal="center" vertical="center"/>
      <protection locked="0"/>
    </xf>
    <xf numFmtId="0" fontId="3" fillId="0" borderId="1" xfId="1" applyBorder="1" applyAlignment="1" applyProtection="1">
      <alignment horizontal="center" vertical="center"/>
      <protection locked="0"/>
    </xf>
    <xf numFmtId="0" fontId="29" fillId="0" borderId="47" xfId="1" applyFont="1" applyBorder="1" applyAlignment="1" applyProtection="1">
      <alignment horizontal="center" vertical="center"/>
      <protection locked="0"/>
    </xf>
    <xf numFmtId="0" fontId="29" fillId="0" borderId="54" xfId="1" applyFont="1" applyBorder="1" applyAlignment="1" applyProtection="1">
      <alignment horizontal="center" vertical="center"/>
      <protection locked="0"/>
    </xf>
    <xf numFmtId="0" fontId="30" fillId="0" borderId="56" xfId="1" applyFont="1" applyBorder="1" applyAlignment="1" applyProtection="1">
      <alignment horizontal="center" vertical="center"/>
      <protection locked="0"/>
    </xf>
    <xf numFmtId="0" fontId="30" fillId="0" borderId="70" xfId="1" applyFont="1" applyBorder="1" applyAlignment="1" applyProtection="1">
      <alignment horizontal="center" vertical="center"/>
      <protection locked="0"/>
    </xf>
    <xf numFmtId="0" fontId="29" fillId="5" borderId="56" xfId="1" applyFont="1" applyFill="1" applyBorder="1" applyAlignment="1" applyProtection="1">
      <alignment horizontal="center" vertical="center"/>
      <protection locked="0"/>
    </xf>
    <xf numFmtId="0" fontId="27" fillId="3" borderId="31" xfId="1" applyFont="1" applyFill="1" applyBorder="1" applyAlignment="1">
      <alignment horizontal="center" vertical="center"/>
    </xf>
    <xf numFmtId="0" fontId="28" fillId="0" borderId="0" xfId="1" applyFont="1" applyAlignment="1" applyProtection="1">
      <alignment horizontal="center" vertical="center"/>
      <protection hidden="1"/>
    </xf>
    <xf numFmtId="0" fontId="29" fillId="0" borderId="0" xfId="1" applyFont="1" applyAlignment="1" applyProtection="1">
      <alignment horizontal="center" vertical="center"/>
      <protection locked="0"/>
    </xf>
    <xf numFmtId="0" fontId="3" fillId="5" borderId="6" xfId="1" applyFill="1" applyBorder="1" applyAlignment="1" applyProtection="1">
      <alignment horizontal="center" vertical="center"/>
      <protection locked="0"/>
    </xf>
    <xf numFmtId="0" fontId="3" fillId="5" borderId="7" xfId="1" applyFill="1" applyBorder="1" applyAlignment="1" applyProtection="1">
      <alignment horizontal="center" vertical="center"/>
      <protection locked="0"/>
    </xf>
    <xf numFmtId="0" fontId="3" fillId="5" borderId="8" xfId="1" applyFill="1" applyBorder="1" applyAlignment="1" applyProtection="1">
      <alignment horizontal="center" vertical="center"/>
      <protection locked="0"/>
    </xf>
    <xf numFmtId="0" fontId="3" fillId="0" borderId="7" xfId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3" fillId="5" borderId="9" xfId="1" applyFill="1" applyBorder="1" applyAlignment="1" applyProtection="1">
      <alignment horizontal="center" vertical="center"/>
      <protection locked="0"/>
    </xf>
    <xf numFmtId="0" fontId="3" fillId="5" borderId="0" xfId="1" applyFill="1" applyAlignment="1" applyProtection="1">
      <alignment horizontal="center" vertical="center"/>
      <protection locked="0"/>
    </xf>
    <xf numFmtId="0" fontId="3" fillId="5" borderId="10" xfId="1" applyFill="1" applyBorder="1" applyAlignment="1" applyProtection="1">
      <alignment horizontal="center" vertical="center"/>
      <protection locked="0"/>
    </xf>
    <xf numFmtId="0" fontId="3" fillId="5" borderId="11" xfId="1" applyFill="1" applyBorder="1" applyAlignment="1" applyProtection="1">
      <alignment horizontal="center" vertical="center"/>
      <protection locked="0"/>
    </xf>
    <xf numFmtId="0" fontId="3" fillId="5" borderId="12" xfId="1" applyFill="1" applyBorder="1" applyAlignment="1" applyProtection="1">
      <alignment horizontal="center" vertical="center"/>
      <protection locked="0"/>
    </xf>
    <xf numFmtId="0" fontId="3" fillId="5" borderId="13" xfId="1" applyFill="1" applyBorder="1" applyAlignment="1" applyProtection="1">
      <alignment horizontal="center" vertical="center"/>
      <protection locked="0"/>
    </xf>
    <xf numFmtId="168" fontId="33" fillId="0" borderId="38" xfId="1" applyNumberFormat="1" applyFont="1" applyBorder="1" applyAlignment="1" applyProtection="1">
      <alignment horizontal="center" vertical="center"/>
      <protection locked="0"/>
    </xf>
    <xf numFmtId="168" fontId="33" fillId="0" borderId="39" xfId="1" applyNumberFormat="1" applyFont="1" applyBorder="1" applyAlignment="1" applyProtection="1">
      <alignment horizontal="center" vertical="center"/>
      <protection locked="0"/>
    </xf>
    <xf numFmtId="168" fontId="33" fillId="0" borderId="42" xfId="1" applyNumberFormat="1" applyFont="1" applyBorder="1" applyAlignment="1" applyProtection="1">
      <alignment horizontal="center" vertical="center"/>
      <protection locked="0"/>
    </xf>
    <xf numFmtId="168" fontId="33" fillId="0" borderId="44" xfId="1" applyNumberFormat="1" applyFont="1" applyBorder="1" applyAlignment="1" applyProtection="1">
      <alignment horizontal="center" vertical="center"/>
      <protection locked="0"/>
    </xf>
    <xf numFmtId="0" fontId="30" fillId="0" borderId="0" xfId="1" applyFont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29" fillId="0" borderId="52" xfId="1" applyFont="1" applyBorder="1" applyAlignment="1" applyProtection="1">
      <alignment horizontal="center" vertical="center"/>
      <protection locked="0"/>
    </xf>
    <xf numFmtId="0" fontId="3" fillId="0" borderId="9" xfId="1" applyBorder="1" applyAlignment="1" applyProtection="1">
      <alignment horizontal="center" vertical="center"/>
      <protection locked="0"/>
    </xf>
    <xf numFmtId="0" fontId="3" fillId="0" borderId="10" xfId="1" applyBorder="1" applyAlignment="1" applyProtection="1">
      <alignment horizontal="center" vertical="center"/>
      <protection locked="0"/>
    </xf>
    <xf numFmtId="3" fontId="3" fillId="0" borderId="0" xfId="1" applyNumberFormat="1" applyAlignment="1" applyProtection="1">
      <alignment horizontal="center" vertical="center"/>
      <protection locked="0"/>
    </xf>
    <xf numFmtId="0" fontId="50" fillId="0" borderId="33" xfId="0" applyFont="1" applyBorder="1" applyAlignment="1">
      <alignment horizontal="center" vertical="center" wrapText="1"/>
    </xf>
    <xf numFmtId="0" fontId="3" fillId="5" borderId="21" xfId="1" applyFill="1" applyBorder="1" applyAlignment="1" applyProtection="1">
      <alignment horizontal="center" vertical="center"/>
      <protection locked="0"/>
    </xf>
    <xf numFmtId="0" fontId="3" fillId="5" borderId="1" xfId="1" applyFill="1" applyBorder="1" applyAlignment="1" applyProtection="1">
      <alignment horizontal="center" vertical="center"/>
      <protection locked="0"/>
    </xf>
    <xf numFmtId="0" fontId="29" fillId="0" borderId="32" xfId="1" applyFont="1" applyBorder="1" applyAlignment="1" applyProtection="1">
      <alignment horizontal="center" vertical="center"/>
      <protection locked="0"/>
    </xf>
    <xf numFmtId="0" fontId="27" fillId="0" borderId="53" xfId="1" applyFont="1" applyBorder="1" applyAlignment="1" applyProtection="1">
      <alignment horizontal="center" vertical="center"/>
      <protection locked="0"/>
    </xf>
    <xf numFmtId="0" fontId="29" fillId="0" borderId="42" xfId="1" applyFont="1" applyBorder="1" applyAlignment="1" applyProtection="1">
      <alignment horizontal="center" vertical="center"/>
      <protection locked="0"/>
    </xf>
    <xf numFmtId="0" fontId="27" fillId="0" borderId="24" xfId="1" applyFont="1" applyBorder="1" applyAlignment="1" applyProtection="1">
      <alignment horizontal="center" vertical="center"/>
      <protection locked="0"/>
    </xf>
    <xf numFmtId="0" fontId="29" fillId="5" borderId="9" xfId="1" applyFont="1" applyFill="1" applyBorder="1" applyAlignment="1" applyProtection="1">
      <alignment horizontal="center" vertical="center"/>
      <protection locked="0"/>
    </xf>
    <xf numFmtId="0" fontId="29" fillId="5" borderId="0" xfId="1" applyFont="1" applyFill="1" applyAlignment="1" applyProtection="1">
      <alignment horizontal="center" vertical="center"/>
      <protection locked="0"/>
    </xf>
    <xf numFmtId="0" fontId="27" fillId="5" borderId="0" xfId="1" applyFont="1" applyFill="1" applyAlignment="1" applyProtection="1">
      <alignment horizontal="center" vertical="center"/>
      <protection locked="0"/>
    </xf>
    <xf numFmtId="0" fontId="3" fillId="0" borderId="23" xfId="1" applyBorder="1" applyAlignment="1" applyProtection="1">
      <alignment horizontal="center" vertical="center"/>
      <protection locked="0"/>
    </xf>
    <xf numFmtId="0" fontId="3" fillId="0" borderId="15" xfId="1" applyBorder="1" applyAlignment="1" applyProtection="1">
      <alignment horizontal="center" vertical="center"/>
      <protection locked="0"/>
    </xf>
    <xf numFmtId="0" fontId="31" fillId="0" borderId="63" xfId="1" applyFont="1" applyBorder="1" applyAlignment="1" applyProtection="1">
      <alignment horizontal="center" vertical="center" wrapText="1"/>
      <protection locked="0"/>
    </xf>
    <xf numFmtId="0" fontId="31" fillId="0" borderId="42" xfId="1" applyFont="1" applyBorder="1" applyAlignment="1" applyProtection="1">
      <alignment horizontal="center" vertical="center" wrapText="1"/>
      <protection locked="0"/>
    </xf>
    <xf numFmtId="169" fontId="3" fillId="0" borderId="0" xfId="1" applyNumberFormat="1" applyAlignment="1" applyProtection="1">
      <alignment horizontal="center" vertical="center"/>
      <protection locked="0"/>
    </xf>
    <xf numFmtId="0" fontId="57" fillId="0" borderId="0" xfId="3" applyFont="1" applyProtection="1">
      <protection hidden="1"/>
    </xf>
    <xf numFmtId="0" fontId="18" fillId="0" borderId="0" xfId="3" applyFont="1" applyAlignment="1">
      <alignment horizontal="center" vertical="center" wrapText="1"/>
    </xf>
    <xf numFmtId="0" fontId="16" fillId="0" borderId="37" xfId="3" applyFont="1" applyBorder="1" applyAlignment="1">
      <alignment vertical="center"/>
    </xf>
    <xf numFmtId="165" fontId="6" fillId="0" borderId="0" xfId="3" applyNumberFormat="1"/>
    <xf numFmtId="0" fontId="12" fillId="0" borderId="0" xfId="3" applyFont="1" applyAlignment="1">
      <alignment wrapText="1"/>
    </xf>
    <xf numFmtId="165" fontId="18" fillId="0" borderId="0" xfId="3" applyNumberFormat="1" applyFont="1"/>
    <xf numFmtId="0" fontId="13" fillId="0" borderId="27" xfId="3" applyFont="1" applyBorder="1" applyAlignment="1">
      <alignment horizontal="center"/>
    </xf>
    <xf numFmtId="0" fontId="13" fillId="0" borderId="0" xfId="3" applyFont="1" applyAlignment="1">
      <alignment horizontal="center"/>
    </xf>
    <xf numFmtId="0" fontId="13" fillId="0" borderId="0" xfId="3" applyFont="1" applyAlignment="1">
      <alignment horizontal="center" wrapText="1"/>
    </xf>
    <xf numFmtId="0" fontId="27" fillId="5" borderId="35" xfId="1" applyFont="1" applyFill="1" applyBorder="1" applyAlignment="1" applyProtection="1">
      <alignment horizontal="center" vertical="center"/>
      <protection locked="0"/>
    </xf>
    <xf numFmtId="0" fontId="51" fillId="0" borderId="1" xfId="1" applyFont="1" applyBorder="1" applyAlignment="1" applyProtection="1">
      <alignment horizontal="center" vertical="center"/>
      <protection locked="0"/>
    </xf>
    <xf numFmtId="0" fontId="51" fillId="0" borderId="2" xfId="1" applyFont="1" applyBorder="1" applyAlignment="1" applyProtection="1">
      <alignment horizontal="center" vertical="center"/>
      <protection locked="0"/>
    </xf>
    <xf numFmtId="0" fontId="51" fillId="0" borderId="21" xfId="1" applyFont="1" applyBorder="1" applyAlignment="1" applyProtection="1">
      <alignment horizontal="center" vertical="center"/>
      <protection locked="0"/>
    </xf>
    <xf numFmtId="0" fontId="51" fillId="0" borderId="22" xfId="1" applyFont="1" applyBorder="1" applyAlignment="1" applyProtection="1">
      <alignment horizontal="center" vertical="center"/>
      <protection locked="0"/>
    </xf>
    <xf numFmtId="1" fontId="24" fillId="0" borderId="1" xfId="1" applyNumberFormat="1" applyFont="1" applyBorder="1" applyAlignment="1" applyProtection="1">
      <alignment horizontal="center" vertical="center"/>
      <protection locked="0"/>
    </xf>
    <xf numFmtId="1" fontId="29" fillId="0" borderId="1" xfId="1" applyNumberFormat="1" applyFont="1" applyBorder="1" applyAlignment="1" applyProtection="1">
      <alignment horizontal="center" vertical="center"/>
      <protection locked="0"/>
    </xf>
    <xf numFmtId="1" fontId="24" fillId="0" borderId="39" xfId="1" applyNumberFormat="1" applyFont="1" applyBorder="1" applyAlignment="1" applyProtection="1">
      <alignment horizontal="center" vertical="center"/>
      <protection locked="0"/>
    </xf>
    <xf numFmtId="0" fontId="29" fillId="0" borderId="39" xfId="1" applyFont="1" applyBorder="1" applyAlignment="1" applyProtection="1">
      <alignment horizontal="center" vertical="center"/>
      <protection locked="0"/>
    </xf>
    <xf numFmtId="0" fontId="51" fillId="0" borderId="39" xfId="1" applyFont="1" applyBorder="1" applyAlignment="1" applyProtection="1">
      <alignment horizontal="center" vertical="center"/>
      <protection locked="0"/>
    </xf>
    <xf numFmtId="0" fontId="50" fillId="0" borderId="4" xfId="0" applyFont="1" applyBorder="1" applyAlignment="1">
      <alignment horizontal="center" vertical="center" wrapText="1"/>
    </xf>
    <xf numFmtId="0" fontId="46" fillId="0" borderId="25" xfId="1" applyFont="1" applyBorder="1" applyAlignment="1" applyProtection="1">
      <alignment horizontal="center" vertical="center" wrapText="1"/>
      <protection locked="0"/>
    </xf>
    <xf numFmtId="0" fontId="3" fillId="0" borderId="39" xfId="1" applyBorder="1" applyAlignment="1" applyProtection="1">
      <alignment horizontal="center" vertical="center"/>
      <protection locked="0"/>
    </xf>
    <xf numFmtId="0" fontId="3" fillId="2" borderId="31" xfId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right"/>
    </xf>
    <xf numFmtId="172" fontId="18" fillId="0" borderId="0" xfId="3" applyNumberFormat="1" applyFont="1"/>
    <xf numFmtId="0" fontId="16" fillId="11" borderId="5" xfId="3" applyFont="1" applyFill="1" applyBorder="1" applyAlignment="1">
      <alignment vertical="center"/>
    </xf>
    <xf numFmtId="0" fontId="57" fillId="0" borderId="27" xfId="3" applyFont="1" applyBorder="1"/>
    <xf numFmtId="0" fontId="57" fillId="0" borderId="0" xfId="3" applyFont="1" applyAlignment="1">
      <alignment vertical="center" wrapText="1"/>
    </xf>
    <xf numFmtId="0" fontId="67" fillId="0" borderId="0" xfId="3" applyFont="1"/>
    <xf numFmtId="0" fontId="68" fillId="0" borderId="0" xfId="3" applyFont="1"/>
    <xf numFmtId="175" fontId="18" fillId="0" borderId="0" xfId="3" applyNumberFormat="1" applyFont="1"/>
    <xf numFmtId="0" fontId="27" fillId="0" borderId="29" xfId="1" applyFont="1" applyBorder="1" applyAlignment="1" applyProtection="1">
      <alignment horizontal="center" vertical="center"/>
      <protection locked="0"/>
    </xf>
    <xf numFmtId="176" fontId="15" fillId="0" borderId="0" xfId="3" applyNumberFormat="1" applyFont="1"/>
    <xf numFmtId="0" fontId="29" fillId="0" borderId="65" xfId="1" applyFont="1" applyBorder="1" applyAlignment="1" applyProtection="1">
      <alignment horizontal="center" vertical="center"/>
      <protection locked="0"/>
    </xf>
    <xf numFmtId="176" fontId="57" fillId="0" borderId="0" xfId="3" applyNumberFormat="1" applyFont="1"/>
    <xf numFmtId="0" fontId="18" fillId="0" borderId="0" xfId="0" applyFont="1" applyAlignment="1">
      <alignment horizontal="right" vertical="center"/>
    </xf>
    <xf numFmtId="0" fontId="27" fillId="0" borderId="0" xfId="0" applyFont="1"/>
    <xf numFmtId="0" fontId="24" fillId="5" borderId="0" xfId="0" applyFont="1" applyFill="1"/>
    <xf numFmtId="0" fontId="26" fillId="5" borderId="0" xfId="0" applyFont="1" applyFill="1"/>
    <xf numFmtId="0" fontId="24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71" fillId="3" borderId="31" xfId="1" applyFont="1" applyFill="1" applyBorder="1" applyAlignment="1">
      <alignment horizontal="center" vertical="center"/>
    </xf>
    <xf numFmtId="0" fontId="72" fillId="0" borderId="0" xfId="1" applyFont="1" applyAlignment="1" applyProtection="1">
      <alignment horizontal="center" vertical="center"/>
      <protection locked="0"/>
    </xf>
    <xf numFmtId="0" fontId="73" fillId="0" borderId="0" xfId="1" applyFont="1" applyAlignment="1" applyProtection="1">
      <alignment horizontal="center" vertical="center"/>
      <protection hidden="1"/>
    </xf>
    <xf numFmtId="0" fontId="72" fillId="5" borderId="6" xfId="1" applyFont="1" applyFill="1" applyBorder="1" applyAlignment="1" applyProtection="1">
      <alignment horizontal="center" vertical="center"/>
      <protection locked="0"/>
    </xf>
    <xf numFmtId="0" fontId="72" fillId="5" borderId="7" xfId="1" applyFont="1" applyFill="1" applyBorder="1" applyAlignment="1" applyProtection="1">
      <alignment horizontal="center" vertical="center"/>
      <protection locked="0"/>
    </xf>
    <xf numFmtId="0" fontId="72" fillId="5" borderId="8" xfId="1" applyFont="1" applyFill="1" applyBorder="1" applyAlignment="1" applyProtection="1">
      <alignment horizontal="center" vertical="center"/>
      <protection locked="0"/>
    </xf>
    <xf numFmtId="0" fontId="72" fillId="0" borderId="7" xfId="1" applyFont="1" applyBorder="1" applyAlignment="1" applyProtection="1">
      <alignment horizontal="center" vertical="center"/>
      <protection locked="0"/>
    </xf>
    <xf numFmtId="0" fontId="72" fillId="5" borderId="9" xfId="1" applyFont="1" applyFill="1" applyBorder="1" applyAlignment="1" applyProtection="1">
      <alignment horizontal="center" vertical="center"/>
      <protection locked="0"/>
    </xf>
    <xf numFmtId="0" fontId="72" fillId="5" borderId="0" xfId="1" applyFont="1" applyFill="1" applyAlignment="1" applyProtection="1">
      <alignment horizontal="center" vertical="center"/>
      <protection locked="0"/>
    </xf>
    <xf numFmtId="0" fontId="72" fillId="5" borderId="10" xfId="1" applyFont="1" applyFill="1" applyBorder="1" applyAlignment="1" applyProtection="1">
      <alignment horizontal="center" vertical="center"/>
      <protection locked="0"/>
    </xf>
    <xf numFmtId="0" fontId="72" fillId="5" borderId="11" xfId="1" applyFont="1" applyFill="1" applyBorder="1" applyAlignment="1" applyProtection="1">
      <alignment horizontal="center" vertical="center"/>
      <protection locked="0"/>
    </xf>
    <xf numFmtId="0" fontId="72" fillId="5" borderId="12" xfId="1" applyFont="1" applyFill="1" applyBorder="1" applyAlignment="1" applyProtection="1">
      <alignment horizontal="center" vertical="center"/>
      <protection locked="0"/>
    </xf>
    <xf numFmtId="0" fontId="72" fillId="5" borderId="13" xfId="1" applyFont="1" applyFill="1" applyBorder="1" applyAlignment="1" applyProtection="1">
      <alignment horizontal="center" vertical="center"/>
      <protection locked="0"/>
    </xf>
    <xf numFmtId="0" fontId="71" fillId="0" borderId="1" xfId="1" applyFont="1" applyBorder="1" applyAlignment="1" applyProtection="1">
      <alignment horizontal="center" vertical="center"/>
      <protection locked="0"/>
    </xf>
    <xf numFmtId="0" fontId="71" fillId="0" borderId="51" xfId="1" applyFont="1" applyBorder="1" applyAlignment="1" applyProtection="1">
      <alignment horizontal="center" vertical="center"/>
      <protection locked="0"/>
    </xf>
    <xf numFmtId="0" fontId="71" fillId="0" borderId="43" xfId="1" applyFont="1" applyBorder="1" applyAlignment="1" applyProtection="1">
      <alignment horizontal="center" vertical="center"/>
      <protection locked="0"/>
    </xf>
    <xf numFmtId="0" fontId="71" fillId="0" borderId="44" xfId="1" applyFont="1" applyBorder="1" applyAlignment="1" applyProtection="1">
      <alignment horizontal="center" vertical="center"/>
      <protection locked="0"/>
    </xf>
    <xf numFmtId="0" fontId="77" fillId="0" borderId="0" xfId="1" applyFont="1" applyAlignment="1" applyProtection="1">
      <alignment horizontal="center" vertical="center"/>
      <protection locked="0"/>
    </xf>
    <xf numFmtId="0" fontId="76" fillId="0" borderId="0" xfId="1" applyFont="1" applyAlignment="1" applyProtection="1">
      <alignment horizontal="center" vertical="center"/>
      <protection locked="0"/>
    </xf>
    <xf numFmtId="3" fontId="72" fillId="0" borderId="0" xfId="1" applyNumberFormat="1" applyFont="1" applyAlignment="1" applyProtection="1">
      <alignment horizontal="center" vertical="center"/>
      <protection locked="0"/>
    </xf>
    <xf numFmtId="0" fontId="71" fillId="0" borderId="31" xfId="1" applyFont="1" applyBorder="1" applyAlignment="1" applyProtection="1">
      <alignment horizontal="center" vertical="center"/>
      <protection locked="0"/>
    </xf>
    <xf numFmtId="0" fontId="72" fillId="2" borderId="31" xfId="1" applyFont="1" applyFill="1" applyBorder="1" applyAlignment="1" applyProtection="1">
      <alignment horizontal="center" vertical="center"/>
      <protection locked="0"/>
    </xf>
    <xf numFmtId="0" fontId="72" fillId="0" borderId="21" xfId="1" applyFont="1" applyBorder="1" applyAlignment="1" applyProtection="1">
      <alignment horizontal="center" vertical="center"/>
      <protection locked="0"/>
    </xf>
    <xf numFmtId="0" fontId="72" fillId="0" borderId="1" xfId="1" applyFont="1" applyBorder="1" applyAlignment="1" applyProtection="1">
      <alignment horizontal="center" vertical="center"/>
      <protection locked="0"/>
    </xf>
    <xf numFmtId="0" fontId="72" fillId="0" borderId="22" xfId="1" applyFont="1" applyBorder="1" applyAlignment="1" applyProtection="1">
      <alignment horizontal="center" vertical="center"/>
      <protection locked="0"/>
    </xf>
    <xf numFmtId="0" fontId="72" fillId="0" borderId="39" xfId="1" applyFont="1" applyBorder="1" applyAlignment="1" applyProtection="1">
      <alignment horizontal="center" vertical="center"/>
      <protection locked="0"/>
    </xf>
    <xf numFmtId="0" fontId="76" fillId="0" borderId="1" xfId="1" applyFont="1" applyBorder="1" applyAlignment="1" applyProtection="1">
      <alignment horizontal="center" vertical="center"/>
      <protection locked="0"/>
    </xf>
    <xf numFmtId="0" fontId="75" fillId="0" borderId="39" xfId="1" applyFont="1" applyBorder="1" applyAlignment="1" applyProtection="1">
      <alignment horizontal="center" vertical="center"/>
      <protection locked="0"/>
    </xf>
    <xf numFmtId="0" fontId="72" fillId="5" borderId="21" xfId="1" applyFont="1" applyFill="1" applyBorder="1" applyAlignment="1" applyProtection="1">
      <alignment horizontal="center" vertical="center"/>
      <protection locked="0"/>
    </xf>
    <xf numFmtId="0" fontId="77" fillId="5" borderId="56" xfId="1" applyFont="1" applyFill="1" applyBorder="1" applyAlignment="1" applyProtection="1">
      <alignment horizontal="center" vertical="center"/>
      <protection locked="0"/>
    </xf>
    <xf numFmtId="0" fontId="72" fillId="0" borderId="23" xfId="1" applyFont="1" applyBorder="1" applyAlignment="1" applyProtection="1">
      <alignment horizontal="center" vertical="center"/>
      <protection locked="0"/>
    </xf>
    <xf numFmtId="0" fontId="72" fillId="0" borderId="15" xfId="1" applyFont="1" applyBorder="1" applyAlignment="1" applyProtection="1">
      <alignment horizontal="center" vertical="center"/>
      <protection locked="0"/>
    </xf>
    <xf numFmtId="1" fontId="83" fillId="0" borderId="1" xfId="1" applyNumberFormat="1" applyFont="1" applyBorder="1" applyAlignment="1" applyProtection="1">
      <alignment horizontal="center" vertical="center"/>
      <protection locked="0"/>
    </xf>
    <xf numFmtId="1" fontId="77" fillId="0" borderId="1" xfId="1" applyNumberFormat="1" applyFont="1" applyBorder="1" applyAlignment="1" applyProtection="1">
      <alignment horizontal="center" vertical="center"/>
      <protection locked="0"/>
    </xf>
    <xf numFmtId="1" fontId="83" fillId="0" borderId="39" xfId="1" applyNumberFormat="1" applyFont="1" applyBorder="1" applyAlignment="1" applyProtection="1">
      <alignment horizontal="center" vertical="center"/>
      <protection locked="0"/>
    </xf>
    <xf numFmtId="169" fontId="72" fillId="0" borderId="0" xfId="1" applyNumberFormat="1" applyFont="1" applyAlignment="1" applyProtection="1">
      <alignment horizontal="center" vertical="center"/>
      <protection locked="0"/>
    </xf>
    <xf numFmtId="0" fontId="77" fillId="0" borderId="32" xfId="1" applyFont="1" applyBorder="1" applyAlignment="1" applyProtection="1">
      <alignment horizontal="left" vertical="center" wrapText="1"/>
      <protection locked="0"/>
    </xf>
    <xf numFmtId="0" fontId="77" fillId="0" borderId="38" xfId="1" applyFont="1" applyBorder="1" applyAlignment="1" applyProtection="1">
      <alignment horizontal="left" vertical="center" wrapText="1"/>
      <protection locked="0"/>
    </xf>
    <xf numFmtId="0" fontId="77" fillId="0" borderId="63" xfId="1" applyFont="1" applyBorder="1" applyAlignment="1" applyProtection="1">
      <alignment horizontal="left" vertical="center" wrapText="1"/>
      <protection locked="0"/>
    </xf>
    <xf numFmtId="0" fontId="77" fillId="0" borderId="42" xfId="1" applyFont="1" applyBorder="1" applyAlignment="1" applyProtection="1">
      <alignment horizontal="left" vertical="center" wrapText="1"/>
      <protection locked="0"/>
    </xf>
    <xf numFmtId="168" fontId="71" fillId="0" borderId="38" xfId="1" applyNumberFormat="1" applyFont="1" applyBorder="1" applyAlignment="1" applyProtection="1">
      <alignment horizontal="left" vertical="center"/>
      <protection locked="0"/>
    </xf>
    <xf numFmtId="168" fontId="71" fillId="0" borderId="1" xfId="1" applyNumberFormat="1" applyFont="1" applyBorder="1" applyAlignment="1" applyProtection="1">
      <alignment horizontal="left" vertical="center"/>
      <protection locked="0"/>
    </xf>
    <xf numFmtId="168" fontId="71" fillId="0" borderId="39" xfId="1" applyNumberFormat="1" applyFont="1" applyBorder="1" applyAlignment="1" applyProtection="1">
      <alignment horizontal="left" vertical="center"/>
      <protection locked="0"/>
    </xf>
    <xf numFmtId="168" fontId="71" fillId="0" borderId="42" xfId="1" applyNumberFormat="1" applyFont="1" applyBorder="1" applyAlignment="1" applyProtection="1">
      <alignment horizontal="left" vertical="center"/>
      <protection locked="0"/>
    </xf>
    <xf numFmtId="168" fontId="71" fillId="0" borderId="43" xfId="1" applyNumberFormat="1" applyFont="1" applyBorder="1" applyAlignment="1" applyProtection="1">
      <alignment horizontal="left" vertical="center"/>
      <protection locked="0"/>
    </xf>
    <xf numFmtId="168" fontId="71" fillId="0" borderId="44" xfId="1" applyNumberFormat="1" applyFont="1" applyBorder="1" applyAlignment="1" applyProtection="1">
      <alignment horizontal="left" vertical="center"/>
      <protection locked="0"/>
    </xf>
    <xf numFmtId="0" fontId="74" fillId="0" borderId="0" xfId="1" applyFont="1" applyAlignment="1" applyProtection="1">
      <alignment horizontal="left" vertical="center"/>
      <protection locked="0"/>
    </xf>
    <xf numFmtId="0" fontId="74" fillId="0" borderId="31" xfId="1" applyFont="1" applyBorder="1" applyAlignment="1" applyProtection="1">
      <alignment horizontal="left" vertical="center"/>
      <protection locked="0"/>
    </xf>
    <xf numFmtId="168" fontId="75" fillId="0" borderId="31" xfId="1" applyNumberFormat="1" applyFont="1" applyBorder="1" applyAlignment="1" applyProtection="1">
      <alignment horizontal="left" vertical="center"/>
      <protection locked="0"/>
    </xf>
    <xf numFmtId="167" fontId="71" fillId="0" borderId="45" xfId="1" applyNumberFormat="1" applyFont="1" applyBorder="1" applyAlignment="1" applyProtection="1">
      <alignment horizontal="left" vertical="center"/>
      <protection locked="0"/>
    </xf>
    <xf numFmtId="168" fontId="75" fillId="0" borderId="46" xfId="1" applyNumberFormat="1" applyFont="1" applyBorder="1" applyAlignment="1" applyProtection="1">
      <alignment horizontal="left" vertical="center"/>
      <protection locked="0"/>
    </xf>
    <xf numFmtId="0" fontId="71" fillId="0" borderId="1" xfId="1" applyFont="1" applyBorder="1" applyAlignment="1" applyProtection="1">
      <alignment horizontal="left" vertical="center"/>
      <protection locked="0"/>
    </xf>
    <xf numFmtId="0" fontId="75" fillId="0" borderId="54" xfId="1" applyFont="1" applyBorder="1" applyAlignment="1" applyProtection="1">
      <alignment horizontal="left" vertical="center"/>
      <protection locked="0"/>
    </xf>
    <xf numFmtId="0" fontId="75" fillId="0" borderId="35" xfId="1" applyFont="1" applyBorder="1" applyAlignment="1" applyProtection="1">
      <alignment horizontal="left" vertical="center"/>
      <protection locked="0"/>
    </xf>
    <xf numFmtId="0" fontId="75" fillId="0" borderId="52" xfId="1" applyFont="1" applyBorder="1" applyAlignment="1" applyProtection="1">
      <alignment horizontal="left" vertical="center"/>
      <protection locked="0"/>
    </xf>
    <xf numFmtId="0" fontId="85" fillId="12" borderId="16" xfId="1" applyFont="1" applyFill="1" applyBorder="1" applyAlignment="1" applyProtection="1">
      <alignment horizontal="center" vertical="center"/>
      <protection locked="0"/>
    </xf>
    <xf numFmtId="0" fontId="85" fillId="12" borderId="17" xfId="1" applyFont="1" applyFill="1" applyBorder="1" applyAlignment="1" applyProtection="1">
      <alignment horizontal="center" vertical="center"/>
      <protection locked="0"/>
    </xf>
    <xf numFmtId="0" fontId="85" fillId="12" borderId="34" xfId="0" applyFont="1" applyFill="1" applyBorder="1" applyAlignment="1">
      <alignment horizontal="center" vertical="center" wrapText="1"/>
    </xf>
    <xf numFmtId="0" fontId="85" fillId="12" borderId="33" xfId="0" applyFont="1" applyFill="1" applyBorder="1" applyAlignment="1">
      <alignment horizontal="center" vertical="center" wrapText="1"/>
    </xf>
    <xf numFmtId="0" fontId="85" fillId="12" borderId="1" xfId="1" applyFont="1" applyFill="1" applyBorder="1" applyAlignment="1" applyProtection="1">
      <alignment horizontal="center" vertical="center"/>
      <protection locked="0"/>
    </xf>
    <xf numFmtId="0" fontId="85" fillId="12" borderId="1" xfId="0" applyFont="1" applyFill="1" applyBorder="1" applyAlignment="1">
      <alignment horizontal="center" vertical="center" wrapText="1"/>
    </xf>
    <xf numFmtId="0" fontId="85" fillId="12" borderId="22" xfId="0" applyFont="1" applyFill="1" applyBorder="1" applyAlignment="1">
      <alignment horizontal="center" vertical="center" wrapText="1"/>
    </xf>
    <xf numFmtId="0" fontId="85" fillId="12" borderId="50" xfId="0" applyFont="1" applyFill="1" applyBorder="1" applyAlignment="1">
      <alignment horizontal="center" vertical="center" wrapText="1"/>
    </xf>
    <xf numFmtId="0" fontId="85" fillId="12" borderId="4" xfId="0" applyFont="1" applyFill="1" applyBorder="1" applyAlignment="1">
      <alignment horizontal="center" vertical="center" wrapText="1"/>
    </xf>
    <xf numFmtId="0" fontId="85" fillId="12" borderId="31" xfId="1" applyFont="1" applyFill="1" applyBorder="1" applyAlignment="1" applyProtection="1">
      <alignment horizontal="center" vertical="center"/>
      <protection locked="0"/>
    </xf>
    <xf numFmtId="0" fontId="85" fillId="12" borderId="0" xfId="1" applyFont="1" applyFill="1" applyAlignment="1" applyProtection="1">
      <alignment horizontal="center" vertical="center"/>
      <protection locked="0"/>
    </xf>
    <xf numFmtId="0" fontId="86" fillId="12" borderId="47" xfId="1" applyFont="1" applyFill="1" applyBorder="1" applyAlignment="1" applyProtection="1">
      <alignment horizontal="center" vertical="center"/>
      <protection locked="0"/>
    </xf>
    <xf numFmtId="0" fontId="86" fillId="12" borderId="32" xfId="1" applyFont="1" applyFill="1" applyBorder="1" applyAlignment="1" applyProtection="1">
      <alignment horizontal="center" vertical="center"/>
      <protection locked="0"/>
    </xf>
    <xf numFmtId="0" fontId="86" fillId="12" borderId="65" xfId="1" applyFont="1" applyFill="1" applyBorder="1" applyAlignment="1" applyProtection="1">
      <alignment horizontal="center" vertical="center"/>
      <protection locked="0"/>
    </xf>
    <xf numFmtId="0" fontId="86" fillId="12" borderId="42" xfId="1" applyFont="1" applyFill="1" applyBorder="1" applyAlignment="1" applyProtection="1">
      <alignment horizontal="center" vertical="center"/>
      <protection locked="0"/>
    </xf>
    <xf numFmtId="0" fontId="72" fillId="0" borderId="49" xfId="1" applyFont="1" applyBorder="1" applyAlignment="1" applyProtection="1">
      <alignment horizontal="center" vertical="center"/>
      <protection locked="0"/>
    </xf>
    <xf numFmtId="0" fontId="79" fillId="0" borderId="73" xfId="1" applyFont="1" applyBorder="1" applyAlignment="1" applyProtection="1">
      <alignment horizontal="left" vertical="center"/>
      <protection locked="0"/>
    </xf>
    <xf numFmtId="0" fontId="81" fillId="0" borderId="33" xfId="1" applyFont="1" applyBorder="1" applyAlignment="1" applyProtection="1">
      <alignment horizontal="left" vertical="center"/>
      <protection locked="0"/>
    </xf>
    <xf numFmtId="0" fontId="81" fillId="0" borderId="39" xfId="1" applyFont="1" applyBorder="1" applyAlignment="1" applyProtection="1">
      <alignment horizontal="left" vertical="center"/>
      <protection locked="0"/>
    </xf>
    <xf numFmtId="0" fontId="81" fillId="0" borderId="31" xfId="1" applyFont="1" applyBorder="1" applyAlignment="1" applyProtection="1">
      <alignment horizontal="center" vertical="center"/>
      <protection locked="0"/>
    </xf>
    <xf numFmtId="0" fontId="87" fillId="0" borderId="1" xfId="1" applyFont="1" applyBorder="1" applyAlignment="1" applyProtection="1">
      <alignment horizontal="center" vertical="center" wrapText="1"/>
      <protection locked="0"/>
    </xf>
    <xf numFmtId="0" fontId="87" fillId="0" borderId="39" xfId="1" applyFont="1" applyBorder="1" applyAlignment="1" applyProtection="1">
      <alignment horizontal="center" vertical="center" wrapText="1"/>
      <protection locked="0"/>
    </xf>
    <xf numFmtId="0" fontId="87" fillId="0" borderId="25" xfId="1" applyFont="1" applyBorder="1" applyAlignment="1" applyProtection="1">
      <alignment horizontal="center" vertical="center" wrapText="1"/>
      <protection locked="0"/>
    </xf>
    <xf numFmtId="0" fontId="87" fillId="0" borderId="21" xfId="1" applyFont="1" applyBorder="1" applyAlignment="1" applyProtection="1">
      <alignment horizontal="center" vertical="center"/>
      <protection locked="0"/>
    </xf>
    <xf numFmtId="0" fontId="87" fillId="0" borderId="25" xfId="1" applyFont="1" applyBorder="1" applyAlignment="1" applyProtection="1">
      <alignment horizontal="center" vertical="center"/>
      <protection locked="0"/>
    </xf>
    <xf numFmtId="0" fontId="88" fillId="0" borderId="56" xfId="1" applyFont="1" applyBorder="1" applyAlignment="1" applyProtection="1">
      <alignment horizontal="center" vertical="center"/>
      <protection locked="0"/>
    </xf>
    <xf numFmtId="0" fontId="88" fillId="0" borderId="70" xfId="1" applyFont="1" applyBorder="1" applyAlignment="1" applyProtection="1">
      <alignment horizontal="center" vertical="center"/>
      <protection locked="0"/>
    </xf>
    <xf numFmtId="0" fontId="9" fillId="0" borderId="0" xfId="3" applyFont="1" applyAlignment="1">
      <alignment horizontal="left" vertical="center"/>
    </xf>
    <xf numFmtId="177" fontId="90" fillId="11" borderId="1" xfId="3" applyNumberFormat="1" applyFont="1" applyFill="1" applyBorder="1" applyAlignment="1">
      <alignment horizontal="center" vertical="center"/>
    </xf>
    <xf numFmtId="0" fontId="90" fillId="11" borderId="1" xfId="3" applyFont="1" applyFill="1" applyBorder="1" applyAlignment="1">
      <alignment horizontal="center" vertical="center"/>
    </xf>
    <xf numFmtId="0" fontId="90" fillId="11" borderId="1" xfId="3" quotePrefix="1" applyFont="1" applyFill="1" applyBorder="1" applyAlignment="1">
      <alignment horizontal="center" vertical="center"/>
    </xf>
    <xf numFmtId="0" fontId="90" fillId="11" borderId="3" xfId="3" quotePrefix="1" applyFont="1" applyFill="1" applyBorder="1" applyAlignment="1">
      <alignment vertical="center"/>
    </xf>
    <xf numFmtId="0" fontId="91" fillId="11" borderId="0" xfId="3" applyFont="1" applyFill="1" applyAlignment="1">
      <alignment vertical="center"/>
    </xf>
    <xf numFmtId="0" fontId="92" fillId="11" borderId="21" xfId="3" applyFont="1" applyFill="1" applyBorder="1" applyAlignment="1">
      <alignment horizontal="center" vertical="center" wrapText="1"/>
    </xf>
    <xf numFmtId="0" fontId="91" fillId="11" borderId="27" xfId="3" applyFont="1" applyFill="1" applyBorder="1" applyAlignment="1">
      <alignment horizontal="right" vertical="center"/>
    </xf>
    <xf numFmtId="0" fontId="93" fillId="11" borderId="30" xfId="3" applyFont="1" applyFill="1" applyBorder="1" applyAlignment="1">
      <alignment horizontal="center" vertical="center" wrapText="1"/>
    </xf>
    <xf numFmtId="0" fontId="91" fillId="11" borderId="0" xfId="3" applyFont="1" applyFill="1" applyAlignment="1">
      <alignment horizontal="right" vertical="center"/>
    </xf>
    <xf numFmtId="0" fontId="89" fillId="11" borderId="0" xfId="3" applyFont="1" applyFill="1"/>
    <xf numFmtId="0" fontId="91" fillId="11" borderId="0" xfId="3" applyFont="1" applyFill="1" applyAlignment="1">
      <alignment horizontal="right" vertical="center" wrapText="1"/>
    </xf>
    <xf numFmtId="0" fontId="91" fillId="11" borderId="28" xfId="3" applyFont="1" applyFill="1" applyBorder="1" applyAlignment="1">
      <alignment vertical="center" wrapText="1"/>
    </xf>
    <xf numFmtId="0" fontId="91" fillId="11" borderId="0" xfId="3" applyFont="1" applyFill="1" applyAlignment="1">
      <alignment vertical="center" wrapText="1"/>
    </xf>
    <xf numFmtId="0" fontId="94" fillId="11" borderId="30" xfId="0" applyFont="1" applyFill="1" applyBorder="1" applyAlignment="1">
      <alignment horizontal="center" vertical="center" wrapText="1"/>
    </xf>
    <xf numFmtId="0" fontId="93" fillId="11" borderId="30" xfId="3" applyFont="1" applyFill="1" applyBorder="1" applyAlignment="1">
      <alignment horizontal="center" wrapText="1"/>
    </xf>
    <xf numFmtId="0" fontId="91" fillId="11" borderId="4" xfId="3" applyFont="1" applyFill="1" applyBorder="1" applyAlignment="1">
      <alignment horizontal="right" vertical="center"/>
    </xf>
    <xf numFmtId="0" fontId="93" fillId="11" borderId="22" xfId="3" applyFont="1" applyFill="1" applyBorder="1" applyAlignment="1">
      <alignment horizontal="center" vertical="center" wrapText="1"/>
    </xf>
    <xf numFmtId="0" fontId="95" fillId="11" borderId="1" xfId="3" applyFont="1" applyFill="1" applyBorder="1" applyAlignment="1">
      <alignment vertical="center"/>
    </xf>
    <xf numFmtId="0" fontId="96" fillId="11" borderId="1" xfId="3" applyFont="1" applyFill="1" applyBorder="1" applyAlignment="1">
      <alignment horizontal="center" vertical="center"/>
    </xf>
    <xf numFmtId="3" fontId="76" fillId="0" borderId="7" xfId="3" applyNumberFormat="1" applyFont="1" applyBorder="1" applyAlignment="1">
      <alignment horizontal="center" vertical="center" wrapText="1"/>
    </xf>
    <xf numFmtId="3" fontId="98" fillId="0" borderId="7" xfId="3" applyNumberFormat="1" applyFont="1" applyBorder="1" applyAlignment="1">
      <alignment horizontal="center" vertical="center"/>
    </xf>
    <xf numFmtId="3" fontId="76" fillId="0" borderId="0" xfId="3" applyNumberFormat="1" applyFont="1" applyAlignment="1">
      <alignment horizontal="center" vertical="center" wrapText="1"/>
    </xf>
    <xf numFmtId="3" fontId="98" fillId="0" borderId="0" xfId="3" applyNumberFormat="1" applyFont="1" applyAlignment="1">
      <alignment horizontal="center" vertical="center"/>
    </xf>
    <xf numFmtId="3" fontId="76" fillId="0" borderId="12" xfId="3" applyNumberFormat="1" applyFont="1" applyBorder="1" applyAlignment="1">
      <alignment horizontal="center" vertical="center" wrapText="1"/>
    </xf>
    <xf numFmtId="3" fontId="98" fillId="0" borderId="12" xfId="3" applyNumberFormat="1" applyFont="1" applyBorder="1" applyAlignment="1">
      <alignment horizontal="center" vertical="center"/>
    </xf>
    <xf numFmtId="0" fontId="76" fillId="0" borderId="7" xfId="3" applyFont="1" applyBorder="1" applyAlignment="1">
      <alignment horizontal="center" vertical="center" wrapText="1"/>
    </xf>
    <xf numFmtId="0" fontId="76" fillId="0" borderId="0" xfId="3" applyFont="1" applyAlignment="1">
      <alignment horizontal="center" vertical="center" wrapText="1"/>
    </xf>
    <xf numFmtId="0" fontId="76" fillId="0" borderId="12" xfId="3" applyFont="1" applyBorder="1" applyAlignment="1">
      <alignment horizontal="center" vertical="center" wrapText="1"/>
    </xf>
    <xf numFmtId="0" fontId="9" fillId="0" borderId="28" xfId="3" applyFont="1" applyBorder="1" applyAlignment="1">
      <alignment horizontal="left" vertical="center"/>
    </xf>
    <xf numFmtId="0" fontId="100" fillId="0" borderId="0" xfId="3" applyFont="1" applyAlignment="1">
      <alignment horizontal="right" vertical="center"/>
    </xf>
    <xf numFmtId="0" fontId="101" fillId="0" borderId="0" xfId="3" applyFont="1"/>
    <xf numFmtId="0" fontId="100" fillId="0" borderId="0" xfId="3" applyFont="1" applyAlignment="1">
      <alignment horizontal="right"/>
    </xf>
    <xf numFmtId="164" fontId="101" fillId="0" borderId="28" xfId="3" applyNumberFormat="1" applyFont="1" applyBorder="1" applyAlignment="1">
      <alignment horizontal="right"/>
    </xf>
    <xf numFmtId="0" fontId="101" fillId="0" borderId="28" xfId="3" applyFont="1" applyBorder="1" applyAlignment="1">
      <alignment horizontal="right"/>
    </xf>
    <xf numFmtId="0" fontId="101" fillId="0" borderId="0" xfId="3" applyFont="1" applyAlignment="1">
      <alignment horizontal="right" wrapText="1"/>
    </xf>
    <xf numFmtId="0" fontId="106" fillId="0" borderId="0" xfId="3" applyFont="1"/>
    <xf numFmtId="0" fontId="101" fillId="0" borderId="28" xfId="3" applyFont="1" applyBorder="1" applyAlignment="1">
      <alignment horizontal="right" wrapText="1"/>
    </xf>
    <xf numFmtId="0" fontId="100" fillId="0" borderId="17" xfId="3" applyFont="1" applyBorder="1" applyAlignment="1">
      <alignment horizontal="center" vertical="center" wrapText="1"/>
    </xf>
    <xf numFmtId="0" fontId="100" fillId="0" borderId="29" xfId="3" applyFont="1" applyBorder="1" applyAlignment="1">
      <alignment horizontal="center" vertical="center" wrapText="1"/>
    </xf>
    <xf numFmtId="177" fontId="100" fillId="0" borderId="17" xfId="3" applyNumberFormat="1" applyFont="1" applyBorder="1" applyAlignment="1">
      <alignment horizontal="center" vertical="center" wrapText="1"/>
    </xf>
    <xf numFmtId="177" fontId="100" fillId="0" borderId="29" xfId="3" applyNumberFormat="1" applyFont="1" applyBorder="1" applyAlignment="1">
      <alignment horizontal="center" vertical="center" wrapText="1"/>
    </xf>
    <xf numFmtId="177" fontId="100" fillId="0" borderId="18" xfId="3" applyNumberFormat="1" applyFont="1" applyBorder="1" applyAlignment="1">
      <alignment horizontal="center" vertical="center" wrapText="1"/>
    </xf>
    <xf numFmtId="0" fontId="55" fillId="0" borderId="17" xfId="3" applyFont="1" applyBorder="1" applyAlignment="1">
      <alignment horizontal="center" vertical="center" wrapText="1"/>
    </xf>
    <xf numFmtId="0" fontId="55" fillId="0" borderId="29" xfId="3" applyFont="1" applyBorder="1" applyAlignment="1">
      <alignment horizontal="center" vertical="center" wrapText="1"/>
    </xf>
    <xf numFmtId="0" fontId="55" fillId="0" borderId="18" xfId="3" applyFont="1" applyBorder="1" applyAlignment="1">
      <alignment horizontal="center" vertical="center" wrapText="1"/>
    </xf>
    <xf numFmtId="0" fontId="95" fillId="11" borderId="27" xfId="3" applyFont="1" applyFill="1" applyBorder="1" applyAlignment="1">
      <alignment horizontal="right" vertical="center"/>
    </xf>
    <xf numFmtId="0" fontId="95" fillId="11" borderId="0" xfId="3" applyFont="1" applyFill="1" applyAlignment="1">
      <alignment horizontal="right" vertical="center"/>
    </xf>
    <xf numFmtId="0" fontId="95" fillId="11" borderId="4" xfId="3" applyFont="1" applyFill="1" applyBorder="1" applyAlignment="1">
      <alignment horizontal="right" vertical="center"/>
    </xf>
    <xf numFmtId="0" fontId="107" fillId="11" borderId="28" xfId="3" applyFont="1" applyFill="1" applyBorder="1" applyAlignment="1">
      <alignment horizontal="center" vertical="center"/>
    </xf>
    <xf numFmtId="0" fontId="107" fillId="11" borderId="30" xfId="3" applyFont="1" applyFill="1" applyBorder="1" applyAlignment="1">
      <alignment horizontal="center" vertical="center"/>
    </xf>
    <xf numFmtId="0" fontId="107" fillId="11" borderId="27" xfId="3" applyFont="1" applyFill="1" applyBorder="1" applyAlignment="1">
      <alignment horizontal="center" vertical="center"/>
    </xf>
    <xf numFmtId="0" fontId="108" fillId="11" borderId="28" xfId="3" applyFont="1" applyFill="1" applyBorder="1" applyAlignment="1">
      <alignment horizontal="center" vertical="center" wrapText="1"/>
    </xf>
    <xf numFmtId="0" fontId="108" fillId="11" borderId="30" xfId="3" applyFont="1" applyFill="1" applyBorder="1" applyAlignment="1">
      <alignment horizontal="center" vertical="center" wrapText="1"/>
    </xf>
    <xf numFmtId="0" fontId="108" fillId="11" borderId="27" xfId="3" applyFont="1" applyFill="1" applyBorder="1" applyAlignment="1">
      <alignment horizontal="center" vertical="center" wrapText="1"/>
    </xf>
    <xf numFmtId="0" fontId="108" fillId="11" borderId="28" xfId="3" applyFont="1" applyFill="1" applyBorder="1" applyAlignment="1">
      <alignment horizontal="center" vertical="center"/>
    </xf>
    <xf numFmtId="0" fontId="108" fillId="11" borderId="30" xfId="3" applyFont="1" applyFill="1" applyBorder="1" applyAlignment="1">
      <alignment horizontal="center" vertical="center"/>
    </xf>
    <xf numFmtId="0" fontId="108" fillId="11" borderId="27" xfId="3" applyFont="1" applyFill="1" applyBorder="1" applyAlignment="1">
      <alignment horizontal="center" vertical="center"/>
    </xf>
    <xf numFmtId="0" fontId="95" fillId="11" borderId="28" xfId="3" applyFont="1" applyFill="1" applyBorder="1" applyAlignment="1">
      <alignment vertical="center"/>
    </xf>
    <xf numFmtId="0" fontId="109" fillId="11" borderId="28" xfId="3" applyFont="1" applyFill="1" applyBorder="1"/>
    <xf numFmtId="0" fontId="95" fillId="11" borderId="28" xfId="3" applyFont="1" applyFill="1" applyBorder="1" applyAlignment="1">
      <alignment vertical="center" wrapText="1"/>
    </xf>
    <xf numFmtId="49" fontId="27" fillId="0" borderId="31" xfId="0" applyNumberFormat="1" applyFont="1" applyBorder="1" applyAlignment="1">
      <alignment horizontal="left" vertical="center"/>
    </xf>
    <xf numFmtId="49" fontId="0" fillId="0" borderId="22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quotePrefix="1" applyNumberFormat="1" applyBorder="1" applyAlignment="1">
      <alignment horizontal="left" vertical="center"/>
    </xf>
    <xf numFmtId="49" fontId="27" fillId="0" borderId="59" xfId="0" applyNumberFormat="1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0" fillId="0" borderId="21" xfId="0" applyNumberFormat="1" applyBorder="1" applyAlignment="1">
      <alignment horizontal="left" vertical="center"/>
    </xf>
    <xf numFmtId="0" fontId="110" fillId="0" borderId="1" xfId="0" applyFont="1" applyBorder="1" applyAlignment="1">
      <alignment horizontal="left" vertical="center"/>
    </xf>
    <xf numFmtId="49" fontId="110" fillId="0" borderId="1" xfId="0" applyNumberFormat="1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5" fillId="0" borderId="1" xfId="2" applyBorder="1" applyAlignment="1">
      <alignment horizontal="center" vertical="center"/>
    </xf>
    <xf numFmtId="168" fontId="73" fillId="0" borderId="0" xfId="1" applyNumberFormat="1" applyFont="1" applyAlignment="1" applyProtection="1">
      <alignment horizontal="center" vertical="center"/>
      <protection locked="0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58" fillId="0" borderId="0" xfId="0" applyFont="1"/>
    <xf numFmtId="176" fontId="98" fillId="0" borderId="7" xfId="3" applyNumberFormat="1" applyFont="1" applyBorder="1" applyAlignment="1">
      <alignment horizontal="center" vertical="center"/>
    </xf>
    <xf numFmtId="176" fontId="98" fillId="0" borderId="0" xfId="3" applyNumberFormat="1" applyFont="1" applyAlignment="1">
      <alignment horizontal="center" vertical="center"/>
    </xf>
    <xf numFmtId="176" fontId="98" fillId="0" borderId="12" xfId="3" applyNumberFormat="1" applyFont="1" applyBorder="1" applyAlignment="1">
      <alignment horizontal="center" vertical="center"/>
    </xf>
    <xf numFmtId="176" fontId="18" fillId="0" borderId="0" xfId="3" applyNumberFormat="1" applyFont="1"/>
    <xf numFmtId="176" fontId="54" fillId="11" borderId="1" xfId="3" quotePrefix="1" applyNumberFormat="1" applyFont="1" applyFill="1" applyBorder="1" applyAlignment="1">
      <alignment horizontal="center" vertical="center"/>
    </xf>
    <xf numFmtId="176" fontId="98" fillId="0" borderId="59" xfId="3" applyNumberFormat="1" applyFont="1" applyBorder="1" applyAlignment="1">
      <alignment horizontal="center" vertical="center"/>
    </xf>
    <xf numFmtId="176" fontId="98" fillId="0" borderId="31" xfId="3" applyNumberFormat="1" applyFont="1" applyBorder="1" applyAlignment="1">
      <alignment horizontal="center" vertical="center"/>
    </xf>
    <xf numFmtId="176" fontId="90" fillId="11" borderId="1" xfId="3" quotePrefix="1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 wrapText="1"/>
    </xf>
    <xf numFmtId="0" fontId="62" fillId="16" borderId="1" xfId="0" applyFont="1" applyFill="1" applyBorder="1" applyAlignment="1">
      <alignment vertical="center" wrapText="1"/>
    </xf>
    <xf numFmtId="0" fontId="62" fillId="16" borderId="1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3" fontId="2" fillId="16" borderId="1" xfId="0" applyNumberFormat="1" applyFont="1" applyFill="1" applyBorder="1" applyAlignment="1">
      <alignment horizontal="center" vertical="center" wrapText="1"/>
    </xf>
    <xf numFmtId="171" fontId="62" fillId="16" borderId="1" xfId="0" applyNumberFormat="1" applyFont="1" applyFill="1" applyBorder="1" applyAlignment="1">
      <alignment horizontal="center" vertical="center" wrapText="1"/>
    </xf>
    <xf numFmtId="173" fontId="62" fillId="16" borderId="1" xfId="0" applyNumberFormat="1" applyFont="1" applyFill="1" applyBorder="1" applyAlignment="1">
      <alignment horizontal="center" vertical="center" wrapText="1"/>
    </xf>
    <xf numFmtId="173" fontId="2" fillId="16" borderId="1" xfId="0" applyNumberFormat="1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vertical="center" wrapText="1"/>
    </xf>
    <xf numFmtId="1" fontId="2" fillId="16" borderId="1" xfId="0" applyNumberFormat="1" applyFont="1" applyFill="1" applyBorder="1" applyAlignment="1">
      <alignment horizontal="center" vertical="center" wrapText="1"/>
    </xf>
    <xf numFmtId="0" fontId="62" fillId="16" borderId="3" xfId="1" applyFont="1" applyFill="1" applyBorder="1" applyAlignment="1" applyProtection="1">
      <alignment horizontal="center" vertical="center"/>
      <protection locked="0"/>
    </xf>
    <xf numFmtId="0" fontId="39" fillId="16" borderId="19" xfId="1" applyFont="1" applyFill="1" applyBorder="1" applyAlignment="1" applyProtection="1">
      <alignment horizontal="center" vertical="center"/>
      <protection locked="0"/>
    </xf>
    <xf numFmtId="0" fontId="62" fillId="16" borderId="1" xfId="1" applyFont="1" applyFill="1" applyBorder="1" applyAlignment="1" applyProtection="1">
      <alignment horizontal="center" vertical="center"/>
      <protection locked="0"/>
    </xf>
    <xf numFmtId="9" fontId="62" fillId="16" borderId="1" xfId="0" applyNumberFormat="1" applyFont="1" applyFill="1" applyBorder="1" applyAlignment="1">
      <alignment horizontal="center" vertical="center"/>
    </xf>
    <xf numFmtId="0" fontId="0" fillId="16" borderId="1" xfId="0" applyFill="1" applyBorder="1"/>
    <xf numFmtId="0" fontId="69" fillId="5" borderId="1" xfId="3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62" fillId="5" borderId="1" xfId="0" applyFont="1" applyFill="1" applyBorder="1" applyAlignment="1">
      <alignment vertical="center" wrapText="1"/>
    </xf>
    <xf numFmtId="0" fontId="62" fillId="5" borderId="1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3" fontId="2" fillId="5" borderId="1" xfId="0" applyNumberFormat="1" applyFont="1" applyFill="1" applyBorder="1" applyAlignment="1">
      <alignment horizontal="center" vertical="center" wrapText="1"/>
    </xf>
    <xf numFmtId="171" fontId="62" fillId="5" borderId="1" xfId="0" applyNumberFormat="1" applyFont="1" applyFill="1" applyBorder="1" applyAlignment="1">
      <alignment horizontal="center" vertical="center" wrapText="1"/>
    </xf>
    <xf numFmtId="173" fontId="62" fillId="5" borderId="1" xfId="0" applyNumberFormat="1" applyFont="1" applyFill="1" applyBorder="1" applyAlignment="1">
      <alignment horizontal="center" vertical="center" wrapText="1"/>
    </xf>
    <xf numFmtId="173" fontId="2" fillId="5" borderId="1" xfId="0" applyNumberFormat="1" applyFont="1" applyFill="1" applyBorder="1" applyAlignment="1">
      <alignment horizontal="center" vertical="center" wrapText="1"/>
    </xf>
    <xf numFmtId="1" fontId="2" fillId="5" borderId="1" xfId="0" applyNumberFormat="1" applyFont="1" applyFill="1" applyBorder="1" applyAlignment="1">
      <alignment horizontal="center" vertical="center" wrapText="1"/>
    </xf>
    <xf numFmtId="0" fontId="62" fillId="5" borderId="3" xfId="1" applyFont="1" applyFill="1" applyBorder="1" applyAlignment="1" applyProtection="1">
      <alignment horizontal="center" vertical="center"/>
      <protection locked="0"/>
    </xf>
    <xf numFmtId="0" fontId="39" fillId="5" borderId="19" xfId="1" applyFont="1" applyFill="1" applyBorder="1" applyAlignment="1" applyProtection="1">
      <alignment horizontal="center" vertical="center"/>
      <protection locked="0"/>
    </xf>
    <xf numFmtId="0" fontId="62" fillId="5" borderId="1" xfId="1" applyFont="1" applyFill="1" applyBorder="1" applyAlignment="1" applyProtection="1">
      <alignment horizontal="center" vertical="center"/>
      <protection locked="0"/>
    </xf>
    <xf numFmtId="9" fontId="62" fillId="5" borderId="1" xfId="0" applyNumberFormat="1" applyFont="1" applyFill="1" applyBorder="1" applyAlignment="1">
      <alignment horizontal="center" vertical="center"/>
    </xf>
    <xf numFmtId="0" fontId="0" fillId="5" borderId="1" xfId="0" applyFill="1" applyBorder="1"/>
    <xf numFmtId="0" fontId="35" fillId="2" borderId="32" xfId="0" applyFont="1" applyFill="1" applyBorder="1" applyAlignment="1">
      <alignment horizontal="center"/>
    </xf>
    <xf numFmtId="0" fontId="35" fillId="2" borderId="34" xfId="0" applyFont="1" applyFill="1" applyBorder="1" applyAlignment="1">
      <alignment horizontal="center"/>
    </xf>
    <xf numFmtId="0" fontId="35" fillId="2" borderId="33" xfId="0" applyFont="1" applyFill="1" applyBorder="1" applyAlignment="1">
      <alignment horizontal="center"/>
    </xf>
    <xf numFmtId="0" fontId="11" fillId="0" borderId="24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30" fillId="0" borderId="32" xfId="1" applyFont="1" applyBorder="1" applyAlignment="1" applyProtection="1">
      <alignment horizontal="center" vertical="center"/>
      <protection locked="0"/>
    </xf>
    <xf numFmtId="0" fontId="30" fillId="0" borderId="33" xfId="1" applyFont="1" applyBorder="1" applyAlignment="1" applyProtection="1">
      <alignment horizontal="center" vertical="center"/>
      <protection locked="0"/>
    </xf>
    <xf numFmtId="167" fontId="27" fillId="0" borderId="32" xfId="1" applyNumberFormat="1" applyFont="1" applyBorder="1" applyAlignment="1">
      <alignment horizontal="center" vertical="center"/>
    </xf>
    <xf numFmtId="167" fontId="27" fillId="0" borderId="34" xfId="1" applyNumberFormat="1" applyFont="1" applyBorder="1" applyAlignment="1">
      <alignment horizontal="center" vertical="center"/>
    </xf>
    <xf numFmtId="167" fontId="27" fillId="0" borderId="33" xfId="1" applyNumberFormat="1" applyFont="1" applyBorder="1" applyAlignment="1">
      <alignment horizontal="center" vertical="center"/>
    </xf>
    <xf numFmtId="0" fontId="30" fillId="0" borderId="35" xfId="1" applyFont="1" applyBorder="1" applyAlignment="1" applyProtection="1">
      <alignment horizontal="center" vertical="center"/>
      <protection locked="0"/>
    </xf>
    <xf numFmtId="0" fontId="30" fillId="0" borderId="36" xfId="1" applyFont="1" applyBorder="1" applyAlignment="1" applyProtection="1">
      <alignment horizontal="center" vertical="center"/>
      <protection locked="0"/>
    </xf>
    <xf numFmtId="167" fontId="31" fillId="0" borderId="35" xfId="1" applyNumberFormat="1" applyFont="1" applyBorder="1" applyAlignment="1">
      <alignment horizontal="center" vertical="center"/>
    </xf>
    <xf numFmtId="167" fontId="31" fillId="0" borderId="37" xfId="1" applyNumberFormat="1" applyFont="1" applyBorder="1" applyAlignment="1">
      <alignment horizontal="center" vertical="center"/>
    </xf>
    <xf numFmtId="167" fontId="31" fillId="0" borderId="36" xfId="1" applyNumberFormat="1" applyFont="1" applyBorder="1" applyAlignment="1">
      <alignment horizontal="center" vertical="center"/>
    </xf>
    <xf numFmtId="3" fontId="29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1" xfId="1" applyFont="1" applyBorder="1" applyAlignment="1" applyProtection="1">
      <alignment horizontal="center" vertical="center"/>
      <protection locked="0"/>
    </xf>
    <xf numFmtId="0" fontId="29" fillId="0" borderId="39" xfId="1" applyFont="1" applyBorder="1" applyAlignment="1" applyProtection="1">
      <alignment horizontal="center" vertical="center"/>
      <protection locked="0"/>
    </xf>
    <xf numFmtId="0" fontId="27" fillId="0" borderId="16" xfId="1" applyFont="1" applyBorder="1" applyAlignment="1" applyProtection="1">
      <alignment horizontal="center" vertical="center"/>
      <protection locked="0"/>
    </xf>
    <xf numFmtId="0" fontId="27" fillId="0" borderId="17" xfId="1" applyFont="1" applyBorder="1" applyAlignment="1" applyProtection="1">
      <alignment horizontal="center" vertical="center"/>
      <protection locked="0"/>
    </xf>
    <xf numFmtId="0" fontId="27" fillId="0" borderId="18" xfId="1" applyFont="1" applyBorder="1" applyAlignment="1" applyProtection="1">
      <alignment horizontal="center" vertical="center"/>
      <protection locked="0"/>
    </xf>
    <xf numFmtId="0" fontId="27" fillId="6" borderId="23" xfId="1" applyFont="1" applyFill="1" applyBorder="1" applyAlignment="1" applyProtection="1">
      <alignment horizontal="center" vertical="center"/>
      <protection locked="0"/>
    </xf>
    <xf numFmtId="0" fontId="27" fillId="6" borderId="15" xfId="1" applyFont="1" applyFill="1" applyBorder="1" applyAlignment="1" applyProtection="1">
      <alignment horizontal="center" vertical="center"/>
      <protection locked="0"/>
    </xf>
    <xf numFmtId="1" fontId="30" fillId="0" borderId="38" xfId="1" applyNumberFormat="1" applyFont="1" applyBorder="1" applyAlignment="1" applyProtection="1">
      <alignment horizontal="center" vertical="center"/>
      <protection locked="0"/>
    </xf>
    <xf numFmtId="1" fontId="30" fillId="0" borderId="1" xfId="1" applyNumberFormat="1" applyFont="1" applyBorder="1" applyAlignment="1" applyProtection="1">
      <alignment horizontal="center" vertical="center"/>
      <protection locked="0"/>
    </xf>
    <xf numFmtId="1" fontId="30" fillId="0" borderId="39" xfId="1" applyNumberFormat="1" applyFont="1" applyBorder="1" applyAlignment="1" applyProtection="1">
      <alignment horizontal="center" vertical="center"/>
      <protection locked="0"/>
    </xf>
    <xf numFmtId="0" fontId="39" fillId="0" borderId="12" xfId="1" applyFont="1" applyBorder="1" applyAlignment="1" applyProtection="1">
      <alignment horizontal="center" vertical="center"/>
      <protection locked="0"/>
    </xf>
    <xf numFmtId="0" fontId="39" fillId="0" borderId="13" xfId="1" applyFont="1" applyBorder="1" applyAlignment="1" applyProtection="1">
      <alignment horizontal="center" vertical="center"/>
      <protection locked="0"/>
    </xf>
    <xf numFmtId="0" fontId="24" fillId="0" borderId="38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/>
      <protection locked="0"/>
    </xf>
    <xf numFmtId="0" fontId="24" fillId="0" borderId="39" xfId="1" applyFont="1" applyBorder="1" applyAlignment="1" applyProtection="1">
      <alignment horizontal="center" vertical="center"/>
      <protection locked="0"/>
    </xf>
    <xf numFmtId="0" fontId="27" fillId="0" borderId="35" xfId="1" applyFont="1" applyBorder="1" applyAlignment="1" applyProtection="1">
      <alignment horizontal="center" vertical="center"/>
      <protection locked="0"/>
    </xf>
    <xf numFmtId="0" fontId="27" fillId="0" borderId="36" xfId="1" applyFont="1" applyBorder="1" applyAlignment="1" applyProtection="1">
      <alignment horizontal="center" vertical="center"/>
      <protection locked="0"/>
    </xf>
    <xf numFmtId="167" fontId="32" fillId="0" borderId="38" xfId="1" applyNumberFormat="1" applyFont="1" applyBorder="1" applyAlignment="1" applyProtection="1">
      <alignment horizontal="center" vertical="center"/>
      <protection locked="0"/>
    </xf>
    <xf numFmtId="167" fontId="32" fillId="0" borderId="1" xfId="1" applyNumberFormat="1" applyFont="1" applyBorder="1" applyAlignment="1" applyProtection="1">
      <alignment horizontal="center" vertical="center"/>
      <protection locked="0"/>
    </xf>
    <xf numFmtId="167" fontId="32" fillId="0" borderId="39" xfId="1" applyNumberFormat="1" applyFont="1" applyBorder="1" applyAlignment="1" applyProtection="1">
      <alignment horizontal="center" vertical="center"/>
      <protection locked="0"/>
    </xf>
    <xf numFmtId="0" fontId="30" fillId="0" borderId="38" xfId="1" applyFont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30" fillId="0" borderId="39" xfId="1" applyFont="1" applyBorder="1" applyAlignment="1" applyProtection="1">
      <alignment horizontal="center" vertical="center"/>
      <protection locked="0"/>
    </xf>
    <xf numFmtId="0" fontId="27" fillId="0" borderId="65" xfId="1" applyFont="1" applyBorder="1" applyAlignment="1" applyProtection="1">
      <alignment horizontal="center" vertical="center" wrapText="1"/>
      <protection locked="0"/>
    </xf>
    <xf numFmtId="0" fontId="27" fillId="0" borderId="30" xfId="1" applyFont="1" applyBorder="1" applyAlignment="1" applyProtection="1">
      <alignment horizontal="center" vertical="center"/>
      <protection locked="0"/>
    </xf>
    <xf numFmtId="0" fontId="27" fillId="0" borderId="66" xfId="1" applyFont="1" applyBorder="1" applyAlignment="1" applyProtection="1">
      <alignment horizontal="center" vertical="center"/>
      <protection locked="0"/>
    </xf>
    <xf numFmtId="0" fontId="29" fillId="0" borderId="48" xfId="1" applyFont="1" applyBorder="1" applyAlignment="1" applyProtection="1">
      <alignment horizontal="center" vertical="center"/>
      <protection locked="0"/>
    </xf>
    <xf numFmtId="0" fontId="29" fillId="0" borderId="34" xfId="1" applyFont="1" applyBorder="1" applyAlignment="1" applyProtection="1">
      <alignment horizontal="center" vertical="center"/>
      <protection locked="0"/>
    </xf>
    <xf numFmtId="0" fontId="29" fillId="0" borderId="33" xfId="1" applyFont="1" applyBorder="1" applyAlignment="1" applyProtection="1">
      <alignment horizontal="center" vertical="center"/>
      <protection locked="0"/>
    </xf>
    <xf numFmtId="0" fontId="30" fillId="0" borderId="40" xfId="1" applyFont="1" applyBorder="1" applyAlignment="1" applyProtection="1">
      <alignment horizontal="center" vertical="center"/>
      <protection locked="0"/>
    </xf>
    <xf numFmtId="0" fontId="30" fillId="0" borderId="41" xfId="1" applyFont="1" applyBorder="1" applyAlignment="1" applyProtection="1">
      <alignment horizontal="center" vertical="center"/>
      <protection locked="0"/>
    </xf>
    <xf numFmtId="0" fontId="35" fillId="5" borderId="6" xfId="1" applyFont="1" applyFill="1" applyBorder="1" applyAlignment="1" applyProtection="1">
      <alignment horizontal="center" vertical="center"/>
      <protection locked="0"/>
    </xf>
    <xf numFmtId="0" fontId="35" fillId="5" borderId="7" xfId="1" applyFont="1" applyFill="1" applyBorder="1" applyAlignment="1" applyProtection="1">
      <alignment horizontal="center" vertical="center"/>
      <protection locked="0"/>
    </xf>
    <xf numFmtId="0" fontId="35" fillId="5" borderId="8" xfId="1" applyFont="1" applyFill="1" applyBorder="1" applyAlignment="1" applyProtection="1">
      <alignment horizontal="center" vertical="center"/>
      <protection locked="0"/>
    </xf>
    <xf numFmtId="0" fontId="35" fillId="5" borderId="9" xfId="1" applyFont="1" applyFill="1" applyBorder="1" applyAlignment="1" applyProtection="1">
      <alignment horizontal="center" vertical="center"/>
      <protection locked="0"/>
    </xf>
    <xf numFmtId="0" fontId="35" fillId="5" borderId="12" xfId="1" applyFont="1" applyFill="1" applyBorder="1" applyAlignment="1" applyProtection="1">
      <alignment horizontal="center" vertical="center"/>
      <protection locked="0"/>
    </xf>
    <xf numFmtId="0" fontId="35" fillId="5" borderId="13" xfId="1" applyFont="1" applyFill="1" applyBorder="1" applyAlignment="1" applyProtection="1">
      <alignment horizontal="center" vertical="center"/>
      <protection locked="0"/>
    </xf>
    <xf numFmtId="0" fontId="30" fillId="0" borderId="14" xfId="1" applyFont="1" applyBorder="1" applyAlignment="1" applyProtection="1">
      <alignment horizontal="center" vertical="center"/>
      <protection locked="0"/>
    </xf>
    <xf numFmtId="0" fontId="30" fillId="0" borderId="15" xfId="1" applyFont="1" applyBorder="1" applyAlignment="1" applyProtection="1">
      <alignment horizontal="center" vertical="center"/>
      <protection locked="0"/>
    </xf>
    <xf numFmtId="3" fontId="39" fillId="0" borderId="62" xfId="1" applyNumberFormat="1" applyFont="1" applyBorder="1" applyAlignment="1" applyProtection="1">
      <alignment horizontal="center" vertical="center"/>
      <protection locked="0"/>
    </xf>
    <xf numFmtId="3" fontId="39" fillId="0" borderId="41" xfId="1" applyNumberFormat="1" applyFont="1" applyBorder="1" applyAlignment="1" applyProtection="1">
      <alignment horizontal="center" vertical="center"/>
      <protection locked="0"/>
    </xf>
    <xf numFmtId="3" fontId="27" fillId="0" borderId="12" xfId="1" applyNumberFormat="1" applyFont="1" applyBorder="1" applyAlignment="1" applyProtection="1">
      <alignment horizontal="center" vertical="center"/>
      <protection locked="0"/>
    </xf>
    <xf numFmtId="3" fontId="27" fillId="0" borderId="13" xfId="1" applyNumberFormat="1" applyFont="1" applyBorder="1" applyAlignment="1" applyProtection="1">
      <alignment horizontal="center" vertical="center"/>
      <protection locked="0"/>
    </xf>
    <xf numFmtId="0" fontId="40" fillId="7" borderId="32" xfId="1" applyFont="1" applyFill="1" applyBorder="1" applyAlignment="1" applyProtection="1">
      <alignment horizontal="center" vertical="center"/>
      <protection locked="0"/>
    </xf>
    <xf numFmtId="0" fontId="40" fillId="7" borderId="34" xfId="1" applyFont="1" applyFill="1" applyBorder="1" applyAlignment="1" applyProtection="1">
      <alignment horizontal="center" vertical="center"/>
      <protection locked="0"/>
    </xf>
    <xf numFmtId="0" fontId="40" fillId="7" borderId="33" xfId="1" applyFont="1" applyFill="1" applyBorder="1" applyAlignment="1" applyProtection="1">
      <alignment horizontal="center" vertical="center"/>
      <protection locked="0"/>
    </xf>
    <xf numFmtId="0" fontId="40" fillId="7" borderId="42" xfId="1" applyFont="1" applyFill="1" applyBorder="1" applyAlignment="1" applyProtection="1">
      <alignment horizontal="center" vertical="center"/>
      <protection locked="0"/>
    </xf>
    <xf numFmtId="0" fontId="40" fillId="7" borderId="43" xfId="1" applyFont="1" applyFill="1" applyBorder="1" applyAlignment="1" applyProtection="1">
      <alignment horizontal="center" vertical="center"/>
      <protection locked="0"/>
    </xf>
    <xf numFmtId="0" fontId="40" fillId="7" borderId="44" xfId="1" applyFont="1" applyFill="1" applyBorder="1" applyAlignment="1" applyProtection="1">
      <alignment horizontal="center" vertical="center"/>
      <protection locked="0"/>
    </xf>
    <xf numFmtId="0" fontId="29" fillId="0" borderId="14" xfId="1" applyFont="1" applyBorder="1" applyAlignment="1" applyProtection="1">
      <alignment horizontal="center" vertical="center"/>
      <protection locked="0"/>
    </xf>
    <xf numFmtId="0" fontId="29" fillId="0" borderId="15" xfId="1" applyFont="1" applyBorder="1" applyAlignment="1" applyProtection="1">
      <alignment horizontal="center" vertical="center"/>
      <protection locked="0"/>
    </xf>
    <xf numFmtId="0" fontId="29" fillId="0" borderId="23" xfId="1" applyFont="1" applyBorder="1" applyAlignment="1" applyProtection="1">
      <alignment horizontal="center" vertical="center"/>
      <protection locked="0"/>
    </xf>
    <xf numFmtId="0" fontId="27" fillId="4" borderId="38" xfId="1" applyFont="1" applyFill="1" applyBorder="1" applyAlignment="1" applyProtection="1">
      <alignment horizontal="center" vertical="center" wrapText="1"/>
      <protection locked="0"/>
    </xf>
    <xf numFmtId="0" fontId="27" fillId="4" borderId="1" xfId="1" applyFont="1" applyFill="1" applyBorder="1" applyAlignment="1" applyProtection="1">
      <alignment horizontal="center" vertical="center"/>
      <protection locked="0"/>
    </xf>
    <xf numFmtId="0" fontId="27" fillId="4" borderId="39" xfId="1" applyFont="1" applyFill="1" applyBorder="1" applyAlignment="1" applyProtection="1">
      <alignment horizontal="center" vertical="center"/>
      <protection locked="0"/>
    </xf>
    <xf numFmtId="0" fontId="29" fillId="0" borderId="20" xfId="1" applyFont="1" applyBorder="1" applyAlignment="1" applyProtection="1">
      <alignment horizontal="center" vertical="center"/>
      <protection locked="0"/>
    </xf>
    <xf numFmtId="0" fontId="29" fillId="0" borderId="19" xfId="1" applyFont="1" applyBorder="1" applyAlignment="1" applyProtection="1">
      <alignment horizontal="center" vertical="center"/>
      <protection locked="0"/>
    </xf>
    <xf numFmtId="0" fontId="29" fillId="0" borderId="21" xfId="1" applyFont="1" applyBorder="1" applyAlignment="1" applyProtection="1">
      <alignment horizontal="center" vertical="center"/>
      <protection locked="0"/>
    </xf>
    <xf numFmtId="0" fontId="29" fillId="0" borderId="22" xfId="1" applyFont="1" applyBorder="1" applyAlignment="1" applyProtection="1">
      <alignment horizontal="center" vertical="center"/>
      <protection locked="0"/>
    </xf>
    <xf numFmtId="0" fontId="29" fillId="0" borderId="49" xfId="1" applyFont="1" applyBorder="1" applyAlignment="1" applyProtection="1">
      <alignment horizontal="center" vertical="center"/>
      <protection locked="0"/>
    </xf>
    <xf numFmtId="0" fontId="29" fillId="0" borderId="50" xfId="1" applyFont="1" applyBorder="1" applyAlignment="1" applyProtection="1">
      <alignment horizontal="center" vertical="center"/>
      <protection locked="0"/>
    </xf>
    <xf numFmtId="0" fontId="38" fillId="6" borderId="63" xfId="1" applyFont="1" applyFill="1" applyBorder="1" applyAlignment="1" applyProtection="1">
      <alignment horizontal="center" vertical="center"/>
      <protection locked="0"/>
    </xf>
    <xf numFmtId="0" fontId="38" fillId="6" borderId="22" xfId="1" applyFont="1" applyFill="1" applyBorder="1" applyAlignment="1" applyProtection="1">
      <alignment horizontal="center" vertical="center"/>
      <protection locked="0"/>
    </xf>
    <xf numFmtId="0" fontId="38" fillId="6" borderId="50" xfId="1" applyFont="1" applyFill="1" applyBorder="1" applyAlignment="1" applyProtection="1">
      <alignment horizontal="center" vertical="center"/>
      <protection locked="0"/>
    </xf>
    <xf numFmtId="0" fontId="29" fillId="0" borderId="54" xfId="1" applyFont="1" applyBorder="1" applyAlignment="1" applyProtection="1">
      <alignment horizontal="center" vertical="center"/>
      <protection locked="0"/>
    </xf>
    <xf numFmtId="0" fontId="29" fillId="0" borderId="55" xfId="1" applyFont="1" applyBorder="1" applyAlignment="1" applyProtection="1">
      <alignment horizontal="center" vertical="center"/>
      <protection locked="0"/>
    </xf>
    <xf numFmtId="0" fontId="30" fillId="0" borderId="6" xfId="1" applyFont="1" applyBorder="1" applyAlignment="1" applyProtection="1">
      <alignment horizontal="center" vertical="center"/>
      <protection locked="0"/>
    </xf>
    <xf numFmtId="0" fontId="30" fillId="0" borderId="7" xfId="1" applyFont="1" applyBorder="1" applyAlignment="1" applyProtection="1">
      <alignment horizontal="center" vertical="center"/>
      <protection locked="0"/>
    </xf>
    <xf numFmtId="0" fontId="30" fillId="0" borderId="8" xfId="1" applyFont="1" applyBorder="1" applyAlignment="1" applyProtection="1">
      <alignment horizontal="center" vertical="center"/>
      <protection locked="0"/>
    </xf>
    <xf numFmtId="0" fontId="27" fillId="0" borderId="60" xfId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/>
      <protection locked="0"/>
    </xf>
    <xf numFmtId="0" fontId="31" fillId="0" borderId="14" xfId="1" applyFont="1" applyBorder="1" applyAlignment="1" applyProtection="1">
      <alignment horizontal="center" vertical="center"/>
      <protection locked="0"/>
    </xf>
    <xf numFmtId="0" fontId="31" fillId="0" borderId="23" xfId="1" applyFont="1" applyBorder="1" applyAlignment="1" applyProtection="1">
      <alignment horizontal="center" vertical="center"/>
      <protection locked="0"/>
    </xf>
    <xf numFmtId="0" fontId="31" fillId="0" borderId="15" xfId="1" applyFont="1" applyBorder="1" applyAlignment="1" applyProtection="1">
      <alignment horizontal="center" vertical="center"/>
      <protection locked="0"/>
    </xf>
    <xf numFmtId="0" fontId="35" fillId="7" borderId="61" xfId="1" applyFont="1" applyFill="1" applyBorder="1" applyAlignment="1" applyProtection="1">
      <alignment horizontal="center" vertical="center"/>
      <protection locked="0"/>
    </xf>
    <xf numFmtId="0" fontId="35" fillId="7" borderId="21" xfId="1" applyFont="1" applyFill="1" applyBorder="1" applyAlignment="1" applyProtection="1">
      <alignment horizontal="center" vertical="center"/>
      <protection locked="0"/>
    </xf>
    <xf numFmtId="0" fontId="35" fillId="7" borderId="30" xfId="1" applyFont="1" applyFill="1" applyBorder="1" applyAlignment="1" applyProtection="1">
      <alignment horizontal="center" vertical="center"/>
      <protection locked="0"/>
    </xf>
    <xf numFmtId="0" fontId="35" fillId="7" borderId="66" xfId="1" applyFont="1" applyFill="1" applyBorder="1" applyAlignment="1" applyProtection="1">
      <alignment horizontal="center" vertical="center"/>
      <protection locked="0"/>
    </xf>
    <xf numFmtId="0" fontId="27" fillId="2" borderId="61" xfId="1" applyFont="1" applyFill="1" applyBorder="1" applyAlignment="1" applyProtection="1">
      <alignment horizontal="center" vertical="center"/>
      <protection locked="0"/>
    </xf>
    <xf numFmtId="0" fontId="27" fillId="2" borderId="65" xfId="1" applyFont="1" applyFill="1" applyBorder="1" applyAlignment="1" applyProtection="1">
      <alignment horizontal="center" vertical="center"/>
      <protection locked="0"/>
    </xf>
    <xf numFmtId="0" fontId="27" fillId="2" borderId="63" xfId="1" applyFont="1" applyFill="1" applyBorder="1" applyAlignment="1" applyProtection="1">
      <alignment horizontal="center" vertical="center"/>
      <protection locked="0"/>
    </xf>
    <xf numFmtId="0" fontId="51" fillId="0" borderId="21" xfId="1" applyFont="1" applyBorder="1" applyAlignment="1" applyProtection="1">
      <alignment horizontal="center" vertical="center" wrapText="1"/>
      <protection locked="0"/>
    </xf>
    <xf numFmtId="0" fontId="51" fillId="0" borderId="22" xfId="1" applyFont="1" applyBorder="1" applyAlignment="1" applyProtection="1">
      <alignment horizontal="center" vertical="center" wrapText="1"/>
      <protection locked="0"/>
    </xf>
    <xf numFmtId="0" fontId="3" fillId="5" borderId="2" xfId="1" applyFill="1" applyBorder="1" applyAlignment="1" applyProtection="1">
      <alignment horizontal="center" vertical="center"/>
      <protection locked="0"/>
    </xf>
    <xf numFmtId="0" fontId="3" fillId="5" borderId="37" xfId="1" applyFill="1" applyBorder="1" applyAlignment="1" applyProtection="1">
      <alignment horizontal="center" vertical="center"/>
      <protection locked="0"/>
    </xf>
    <xf numFmtId="0" fontId="3" fillId="5" borderId="68" xfId="1" applyFill="1" applyBorder="1" applyAlignment="1" applyProtection="1">
      <alignment horizontal="center" vertical="center"/>
      <protection locked="0"/>
    </xf>
    <xf numFmtId="0" fontId="29" fillId="5" borderId="12" xfId="1" applyFont="1" applyFill="1" applyBorder="1" applyAlignment="1" applyProtection="1">
      <alignment horizontal="center" vertical="center"/>
      <protection locked="0"/>
    </xf>
    <xf numFmtId="0" fontId="29" fillId="5" borderId="13" xfId="1" applyFont="1" applyFill="1" applyBorder="1" applyAlignment="1" applyProtection="1">
      <alignment horizontal="center" vertical="center"/>
      <protection locked="0"/>
    </xf>
    <xf numFmtId="0" fontId="27" fillId="0" borderId="53" xfId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/>
      <protection locked="0"/>
    </xf>
    <xf numFmtId="0" fontId="35" fillId="0" borderId="6" xfId="1" applyFont="1" applyBorder="1" applyAlignment="1" applyProtection="1">
      <alignment horizontal="center" vertical="center"/>
      <protection locked="0"/>
    </xf>
    <xf numFmtId="0" fontId="35" fillId="0" borderId="7" xfId="1" applyFont="1" applyBorder="1" applyAlignment="1" applyProtection="1">
      <alignment horizontal="center" vertical="center"/>
      <protection locked="0"/>
    </xf>
    <xf numFmtId="0" fontId="35" fillId="0" borderId="8" xfId="1" applyFont="1" applyBorder="1" applyAlignment="1" applyProtection="1">
      <alignment horizontal="center" vertical="center"/>
      <protection locked="0"/>
    </xf>
    <xf numFmtId="0" fontId="35" fillId="0" borderId="9" xfId="1" applyFont="1" applyBorder="1" applyAlignment="1" applyProtection="1">
      <alignment horizontal="center" vertical="center"/>
      <protection locked="0"/>
    </xf>
    <xf numFmtId="0" fontId="35" fillId="0" borderId="0" xfId="1" applyFont="1" applyAlignment="1" applyProtection="1">
      <alignment horizontal="center" vertical="center"/>
      <protection locked="0"/>
    </xf>
    <xf numFmtId="0" fontId="35" fillId="0" borderId="10" xfId="1" applyFont="1" applyBorder="1" applyAlignment="1" applyProtection="1">
      <alignment horizontal="center" vertical="center"/>
      <protection locked="0"/>
    </xf>
    <xf numFmtId="0" fontId="35" fillId="0" borderId="11" xfId="1" applyFont="1" applyBorder="1" applyAlignment="1" applyProtection="1">
      <alignment horizontal="center" vertical="center"/>
      <protection locked="0"/>
    </xf>
    <xf numFmtId="0" fontId="35" fillId="0" borderId="12" xfId="1" applyFont="1" applyBorder="1" applyAlignment="1" applyProtection="1">
      <alignment horizontal="center" vertical="center"/>
      <protection locked="0"/>
    </xf>
    <xf numFmtId="0" fontId="35" fillId="0" borderId="13" xfId="1" applyFont="1" applyBorder="1" applyAlignment="1" applyProtection="1">
      <alignment horizontal="center" vertical="center"/>
      <protection locked="0"/>
    </xf>
    <xf numFmtId="0" fontId="27" fillId="0" borderId="2" xfId="1" applyFont="1" applyBorder="1" applyAlignment="1" applyProtection="1">
      <alignment horizontal="center" vertical="center"/>
      <protection locked="0"/>
    </xf>
    <xf numFmtId="0" fontId="27" fillId="0" borderId="3" xfId="1" applyFont="1" applyBorder="1" applyAlignment="1" applyProtection="1">
      <alignment horizontal="center" vertical="center"/>
      <protection locked="0"/>
    </xf>
    <xf numFmtId="0" fontId="27" fillId="5" borderId="71" xfId="1" applyFont="1" applyFill="1" applyBorder="1" applyAlignment="1" applyProtection="1">
      <alignment horizontal="center" vertical="center"/>
      <protection locked="0"/>
    </xf>
    <xf numFmtId="0" fontId="27" fillId="5" borderId="51" xfId="1" applyFont="1" applyFill="1" applyBorder="1" applyAlignment="1" applyProtection="1">
      <alignment horizontal="center" vertical="center"/>
      <protection locked="0"/>
    </xf>
    <xf numFmtId="0" fontId="29" fillId="8" borderId="54" xfId="1" applyFont="1" applyFill="1" applyBorder="1" applyAlignment="1" applyProtection="1">
      <alignment horizontal="center" vertical="center"/>
      <protection locked="0"/>
    </xf>
    <xf numFmtId="0" fontId="29" fillId="8" borderId="55" xfId="1" applyFont="1" applyFill="1" applyBorder="1" applyAlignment="1" applyProtection="1">
      <alignment horizontal="center" vertical="center"/>
      <protection locked="0"/>
    </xf>
    <xf numFmtId="0" fontId="27" fillId="8" borderId="54" xfId="1" applyFont="1" applyFill="1" applyBorder="1" applyAlignment="1" applyProtection="1">
      <alignment horizontal="center" vertical="center"/>
      <protection locked="0"/>
    </xf>
    <xf numFmtId="0" fontId="27" fillId="8" borderId="55" xfId="1" applyFont="1" applyFill="1" applyBorder="1" applyAlignment="1" applyProtection="1">
      <alignment horizontal="center" vertical="center"/>
      <protection locked="0"/>
    </xf>
    <xf numFmtId="0" fontId="31" fillId="0" borderId="32" xfId="1" applyFont="1" applyBorder="1" applyAlignment="1" applyProtection="1">
      <alignment horizontal="center" vertical="center" wrapText="1"/>
      <protection locked="0"/>
    </xf>
    <xf numFmtId="0" fontId="31" fillId="0" borderId="34" xfId="1" applyFont="1" applyBorder="1" applyAlignment="1" applyProtection="1">
      <alignment horizontal="center" vertical="center" wrapText="1"/>
      <protection locked="0"/>
    </xf>
    <xf numFmtId="0" fontId="31" fillId="0" borderId="53" xfId="1" applyFont="1" applyBorder="1" applyAlignment="1" applyProtection="1">
      <alignment horizontal="center" vertical="center" wrapText="1"/>
      <protection locked="0"/>
    </xf>
    <xf numFmtId="0" fontId="39" fillId="5" borderId="54" xfId="0" applyFont="1" applyFill="1" applyBorder="1" applyAlignment="1" applyProtection="1">
      <alignment horizontal="center" vertical="center" wrapText="1"/>
      <protection locked="0"/>
    </xf>
    <xf numFmtId="0" fontId="39" fillId="5" borderId="60" xfId="0" applyFont="1" applyFill="1" applyBorder="1" applyAlignment="1" applyProtection="1">
      <alignment horizontal="center" vertical="center" wrapText="1"/>
      <protection locked="0"/>
    </xf>
    <xf numFmtId="0" fontId="27" fillId="0" borderId="14" xfId="1" applyFont="1" applyBorder="1" applyAlignment="1" applyProtection="1">
      <alignment horizontal="center" vertical="center"/>
      <protection locked="0"/>
    </xf>
    <xf numFmtId="0" fontId="27" fillId="0" borderId="15" xfId="1" applyFont="1" applyBorder="1" applyAlignment="1" applyProtection="1">
      <alignment horizontal="center" vertical="center"/>
      <protection locked="0"/>
    </xf>
    <xf numFmtId="0" fontId="42" fillId="0" borderId="38" xfId="1" applyFont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 applyProtection="1">
      <alignment horizontal="center" vertical="center" wrapText="1"/>
      <protection locked="0"/>
    </xf>
    <xf numFmtId="0" fontId="42" fillId="0" borderId="2" xfId="1" applyFont="1" applyBorder="1" applyAlignment="1" applyProtection="1">
      <alignment horizontal="center" vertical="center" wrapText="1"/>
      <protection locked="0"/>
    </xf>
    <xf numFmtId="0" fontId="39" fillId="5" borderId="14" xfId="0" applyFont="1" applyFill="1" applyBorder="1" applyAlignment="1" applyProtection="1">
      <alignment horizontal="center" vertical="center" wrapText="1"/>
      <protection locked="0"/>
    </xf>
    <xf numFmtId="0" fontId="39" fillId="5" borderId="23" xfId="0" applyFont="1" applyFill="1" applyBorder="1" applyAlignment="1" applyProtection="1">
      <alignment horizontal="center" vertical="center" wrapText="1"/>
      <protection locked="0"/>
    </xf>
    <xf numFmtId="0" fontId="27" fillId="0" borderId="11" xfId="1" applyFont="1" applyBorder="1" applyAlignment="1" applyProtection="1">
      <alignment horizontal="center" vertical="center"/>
      <protection locked="0"/>
    </xf>
    <xf numFmtId="0" fontId="27" fillId="0" borderId="13" xfId="1" applyFont="1" applyBorder="1" applyAlignment="1" applyProtection="1">
      <alignment horizontal="center" vertical="center"/>
      <protection locked="0"/>
    </xf>
    <xf numFmtId="0" fontId="29" fillId="5" borderId="6" xfId="1" applyFont="1" applyFill="1" applyBorder="1" applyAlignment="1" applyProtection="1">
      <alignment horizontal="center" vertical="center"/>
      <protection locked="0"/>
    </xf>
    <xf numFmtId="0" fontId="29" fillId="5" borderId="7" xfId="1" applyFont="1" applyFill="1" applyBorder="1" applyAlignment="1" applyProtection="1">
      <alignment horizontal="center" vertical="center"/>
      <protection locked="0"/>
    </xf>
    <xf numFmtId="0" fontId="29" fillId="5" borderId="8" xfId="1" applyFont="1" applyFill="1" applyBorder="1" applyAlignment="1" applyProtection="1">
      <alignment horizontal="center" vertical="center"/>
      <protection locked="0"/>
    </xf>
    <xf numFmtId="0" fontId="29" fillId="5" borderId="9" xfId="1" applyFont="1" applyFill="1" applyBorder="1" applyAlignment="1" applyProtection="1">
      <alignment horizontal="center" vertical="center"/>
      <protection locked="0"/>
    </xf>
    <xf numFmtId="0" fontId="29" fillId="5" borderId="0" xfId="1" applyFont="1" applyFill="1" applyAlignment="1" applyProtection="1">
      <alignment horizontal="center" vertical="center"/>
      <protection locked="0"/>
    </xf>
    <xf numFmtId="0" fontId="29" fillId="5" borderId="10" xfId="1" applyFont="1" applyFill="1" applyBorder="1" applyAlignment="1" applyProtection="1">
      <alignment horizontal="center" vertical="center"/>
      <protection locked="0"/>
    </xf>
    <xf numFmtId="0" fontId="29" fillId="5" borderId="11" xfId="1" applyFont="1" applyFill="1" applyBorder="1" applyAlignment="1" applyProtection="1">
      <alignment horizontal="center" vertical="center"/>
      <protection locked="0"/>
    </xf>
    <xf numFmtId="0" fontId="29" fillId="9" borderId="48" xfId="1" applyFont="1" applyFill="1" applyBorder="1" applyAlignment="1" applyProtection="1">
      <alignment horizontal="center" vertical="center"/>
      <protection locked="0"/>
    </xf>
    <xf numFmtId="0" fontId="29" fillId="9" borderId="33" xfId="1" applyFont="1" applyFill="1" applyBorder="1" applyAlignment="1" applyProtection="1">
      <alignment horizontal="center" vertical="center"/>
      <protection locked="0"/>
    </xf>
    <xf numFmtId="0" fontId="30" fillId="9" borderId="37" xfId="1" applyFont="1" applyFill="1" applyBorder="1" applyAlignment="1" applyProtection="1">
      <alignment horizontal="center" vertical="center"/>
      <protection locked="0"/>
    </xf>
    <xf numFmtId="0" fontId="30" fillId="9" borderId="36" xfId="1" applyFont="1" applyFill="1" applyBorder="1" applyAlignment="1" applyProtection="1">
      <alignment horizontal="center" vertical="center"/>
      <protection locked="0"/>
    </xf>
    <xf numFmtId="0" fontId="27" fillId="0" borderId="26" xfId="1" applyFont="1" applyBorder="1" applyAlignment="1" applyProtection="1">
      <alignment horizontal="center" vertical="center"/>
      <protection locked="0"/>
    </xf>
    <xf numFmtId="0" fontId="27" fillId="0" borderId="58" xfId="1" applyFont="1" applyBorder="1" applyAlignment="1" applyProtection="1">
      <alignment horizontal="center" vertical="center"/>
      <protection locked="0"/>
    </xf>
    <xf numFmtId="0" fontId="27" fillId="0" borderId="0" xfId="1" applyFont="1" applyAlignment="1" applyProtection="1">
      <alignment horizontal="center" vertical="center"/>
      <protection locked="0"/>
    </xf>
    <xf numFmtId="0" fontId="27" fillId="0" borderId="10" xfId="1" applyFont="1" applyBorder="1" applyAlignment="1" applyProtection="1">
      <alignment horizontal="center" vertical="center"/>
      <protection locked="0"/>
    </xf>
    <xf numFmtId="0" fontId="27" fillId="0" borderId="12" xfId="1" applyFont="1" applyBorder="1" applyAlignment="1" applyProtection="1">
      <alignment horizontal="center" vertical="center"/>
      <protection locked="0"/>
    </xf>
    <xf numFmtId="0" fontId="39" fillId="7" borderId="9" xfId="1" applyFont="1" applyFill="1" applyBorder="1" applyAlignment="1" applyProtection="1">
      <alignment horizontal="center" vertical="center"/>
      <protection locked="0"/>
    </xf>
    <xf numFmtId="0" fontId="39" fillId="7" borderId="7" xfId="1" applyFont="1" applyFill="1" applyBorder="1" applyAlignment="1" applyProtection="1">
      <alignment horizontal="center" vertical="center"/>
      <protection locked="0"/>
    </xf>
    <xf numFmtId="0" fontId="39" fillId="7" borderId="8" xfId="1" applyFont="1" applyFill="1" applyBorder="1" applyAlignment="1" applyProtection="1">
      <alignment horizontal="center" vertical="center"/>
      <protection locked="0"/>
    </xf>
    <xf numFmtId="0" fontId="39" fillId="7" borderId="14" xfId="1" applyFont="1" applyFill="1" applyBorder="1" applyAlignment="1" applyProtection="1">
      <alignment horizontal="center" vertical="center"/>
      <protection locked="0"/>
    </xf>
    <xf numFmtId="0" fontId="39" fillId="7" borderId="23" xfId="1" applyFont="1" applyFill="1" applyBorder="1" applyAlignment="1" applyProtection="1">
      <alignment horizontal="center" vertical="center"/>
      <protection locked="0"/>
    </xf>
    <xf numFmtId="0" fontId="39" fillId="7" borderId="15" xfId="1" applyFont="1" applyFill="1" applyBorder="1" applyAlignment="1" applyProtection="1">
      <alignment horizontal="center" vertical="center"/>
      <protection locked="0"/>
    </xf>
    <xf numFmtId="0" fontId="27" fillId="2" borderId="57" xfId="1" applyFont="1" applyFill="1" applyBorder="1" applyAlignment="1" applyProtection="1">
      <alignment horizontal="center" vertical="center" wrapText="1"/>
      <protection locked="0"/>
    </xf>
    <xf numFmtId="0" fontId="27" fillId="2" borderId="58" xfId="1" applyFont="1" applyFill="1" applyBorder="1" applyAlignment="1" applyProtection="1">
      <alignment horizontal="center" vertical="center"/>
      <protection locked="0"/>
    </xf>
    <xf numFmtId="0" fontId="27" fillId="2" borderId="9" xfId="1" applyFont="1" applyFill="1" applyBorder="1" applyAlignment="1" applyProtection="1">
      <alignment horizontal="center" vertical="center"/>
      <protection locked="0"/>
    </xf>
    <xf numFmtId="0" fontId="27" fillId="2" borderId="10" xfId="1" applyFont="1" applyFill="1" applyBorder="1" applyAlignment="1" applyProtection="1">
      <alignment horizontal="center" vertical="center"/>
      <protection locked="0"/>
    </xf>
    <xf numFmtId="0" fontId="27" fillId="2" borderId="11" xfId="1" applyFont="1" applyFill="1" applyBorder="1" applyAlignment="1" applyProtection="1">
      <alignment horizontal="center" vertical="center"/>
      <protection locked="0"/>
    </xf>
    <xf numFmtId="0" fontId="27" fillId="2" borderId="13" xfId="1" applyFont="1" applyFill="1" applyBorder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center"/>
      <protection locked="0"/>
    </xf>
    <xf numFmtId="0" fontId="29" fillId="0" borderId="36" xfId="1" applyFont="1" applyBorder="1" applyAlignment="1" applyProtection="1">
      <alignment horizontal="center" vertical="center"/>
      <protection locked="0"/>
    </xf>
    <xf numFmtId="0" fontId="30" fillId="8" borderId="57" xfId="1" applyFont="1" applyFill="1" applyBorder="1" applyAlignment="1" applyProtection="1">
      <alignment horizontal="center" vertical="center"/>
      <protection locked="0"/>
    </xf>
    <xf numFmtId="0" fontId="30" fillId="8" borderId="58" xfId="1" applyFont="1" applyFill="1" applyBorder="1" applyAlignment="1" applyProtection="1">
      <alignment horizontal="center" vertical="center"/>
      <protection locked="0"/>
    </xf>
    <xf numFmtId="0" fontId="30" fillId="8" borderId="67" xfId="1" applyFont="1" applyFill="1" applyBorder="1" applyAlignment="1" applyProtection="1">
      <alignment horizontal="center" vertical="center"/>
      <protection locked="0"/>
    </xf>
    <xf numFmtId="0" fontId="30" fillId="8" borderId="68" xfId="1" applyFont="1" applyFill="1" applyBorder="1" applyAlignment="1" applyProtection="1">
      <alignment horizontal="center" vertical="center"/>
      <protection locked="0"/>
    </xf>
    <xf numFmtId="0" fontId="29" fillId="5" borderId="40" xfId="1" applyFont="1" applyFill="1" applyBorder="1" applyAlignment="1" applyProtection="1">
      <alignment horizontal="center" vertical="center"/>
      <protection locked="0"/>
    </xf>
    <xf numFmtId="0" fontId="29" fillId="5" borderId="41" xfId="1" applyFont="1" applyFill="1" applyBorder="1" applyAlignment="1" applyProtection="1">
      <alignment horizontal="center" vertical="center"/>
      <protection locked="0"/>
    </xf>
    <xf numFmtId="0" fontId="30" fillId="5" borderId="67" xfId="1" applyFont="1" applyFill="1" applyBorder="1" applyAlignment="1" applyProtection="1">
      <alignment horizontal="center" vertical="center"/>
      <protection locked="0"/>
    </xf>
    <xf numFmtId="0" fontId="30" fillId="5" borderId="68" xfId="1" applyFont="1" applyFill="1" applyBorder="1" applyAlignment="1" applyProtection="1">
      <alignment horizontal="center" vertical="center"/>
      <protection locked="0"/>
    </xf>
    <xf numFmtId="0" fontId="30" fillId="8" borderId="40" xfId="1" applyFont="1" applyFill="1" applyBorder="1" applyAlignment="1" applyProtection="1">
      <alignment horizontal="center" vertical="center"/>
      <protection locked="0"/>
    </xf>
    <xf numFmtId="0" fontId="30" fillId="8" borderId="41" xfId="1" applyFont="1" applyFill="1" applyBorder="1" applyAlignment="1" applyProtection="1">
      <alignment horizontal="center" vertical="center"/>
      <protection locked="0"/>
    </xf>
    <xf numFmtId="0" fontId="30" fillId="8" borderId="35" xfId="1" applyFont="1" applyFill="1" applyBorder="1" applyAlignment="1" applyProtection="1">
      <alignment horizontal="center" vertical="center"/>
      <protection locked="0"/>
    </xf>
    <xf numFmtId="0" fontId="30" fillId="8" borderId="36" xfId="1" applyFont="1" applyFill="1" applyBorder="1" applyAlignment="1" applyProtection="1">
      <alignment horizontal="center" vertical="center"/>
      <protection locked="0"/>
    </xf>
    <xf numFmtId="0" fontId="31" fillId="0" borderId="61" xfId="1" applyFont="1" applyBorder="1" applyAlignment="1" applyProtection="1">
      <alignment horizontal="center" vertical="center" wrapText="1"/>
      <protection locked="0"/>
    </xf>
    <xf numFmtId="0" fontId="31" fillId="0" borderId="21" xfId="1" applyFont="1" applyBorder="1" applyAlignment="1" applyProtection="1">
      <alignment horizontal="center" vertical="center" wrapText="1"/>
      <protection locked="0"/>
    </xf>
    <xf numFmtId="0" fontId="31" fillId="0" borderId="25" xfId="1" applyFont="1" applyBorder="1" applyAlignment="1" applyProtection="1">
      <alignment horizontal="center" vertical="center" wrapText="1"/>
      <protection locked="0"/>
    </xf>
    <xf numFmtId="0" fontId="39" fillId="5" borderId="54" xfId="0" applyFont="1" applyFill="1" applyBorder="1" applyAlignment="1" applyProtection="1">
      <alignment horizontal="center" vertical="center"/>
      <protection locked="0"/>
    </xf>
    <xf numFmtId="0" fontId="39" fillId="5" borderId="60" xfId="0" applyFont="1" applyFill="1" applyBorder="1" applyAlignment="1" applyProtection="1">
      <alignment horizontal="center" vertical="center"/>
      <protection locked="0"/>
    </xf>
    <xf numFmtId="0" fontId="39" fillId="5" borderId="55" xfId="0" applyFont="1" applyFill="1" applyBorder="1" applyAlignment="1" applyProtection="1">
      <alignment horizontal="center" vertical="center"/>
      <protection locked="0"/>
    </xf>
    <xf numFmtId="0" fontId="39" fillId="5" borderId="55" xfId="0" applyFont="1" applyFill="1" applyBorder="1" applyAlignment="1" applyProtection="1">
      <alignment horizontal="center" vertical="center" wrapText="1"/>
      <protection locked="0"/>
    </xf>
    <xf numFmtId="0" fontId="43" fillId="0" borderId="9" xfId="1" applyFont="1" applyBorder="1" applyAlignment="1" applyProtection="1">
      <alignment horizontal="center" vertical="center" wrapText="1"/>
      <protection locked="0"/>
    </xf>
    <xf numFmtId="0" fontId="43" fillId="0" borderId="0" xfId="1" applyFont="1" applyAlignment="1" applyProtection="1">
      <alignment horizontal="center" vertical="center" wrapText="1"/>
      <protection locked="0"/>
    </xf>
    <xf numFmtId="0" fontId="43" fillId="0" borderId="10" xfId="1" applyFont="1" applyBorder="1" applyAlignment="1" applyProtection="1">
      <alignment horizontal="center" vertical="center" wrapText="1"/>
      <protection locked="0"/>
    </xf>
    <xf numFmtId="0" fontId="43" fillId="0" borderId="11" xfId="1" applyFont="1" applyBorder="1" applyAlignment="1" applyProtection="1">
      <alignment horizontal="center" vertical="center" wrapText="1"/>
      <protection locked="0"/>
    </xf>
    <xf numFmtId="0" fontId="43" fillId="0" borderId="12" xfId="1" applyFont="1" applyBorder="1" applyAlignment="1" applyProtection="1">
      <alignment horizontal="center" vertical="center" wrapText="1"/>
      <protection locked="0"/>
    </xf>
    <xf numFmtId="0" fontId="43" fillId="0" borderId="13" xfId="1" applyFont="1" applyBorder="1" applyAlignment="1" applyProtection="1">
      <alignment horizontal="center" vertical="center" wrapText="1"/>
      <protection locked="0"/>
    </xf>
    <xf numFmtId="0" fontId="39" fillId="5" borderId="35" xfId="0" applyFont="1" applyFill="1" applyBorder="1" applyAlignment="1" applyProtection="1">
      <alignment horizontal="center" vertical="center"/>
      <protection locked="0"/>
    </xf>
    <xf numFmtId="0" fontId="39" fillId="5" borderId="37" xfId="0" applyFont="1" applyFill="1" applyBorder="1" applyAlignment="1" applyProtection="1">
      <alignment horizontal="center" vertical="center"/>
      <protection locked="0"/>
    </xf>
    <xf numFmtId="0" fontId="39" fillId="5" borderId="36" xfId="0" applyFont="1" applyFill="1" applyBorder="1" applyAlignment="1" applyProtection="1">
      <alignment horizontal="center" vertical="center"/>
      <protection locked="0"/>
    </xf>
    <xf numFmtId="0" fontId="39" fillId="5" borderId="35" xfId="0" applyFont="1" applyFill="1" applyBorder="1" applyAlignment="1" applyProtection="1">
      <alignment horizontal="center" vertical="center" wrapText="1"/>
      <protection locked="0"/>
    </xf>
    <xf numFmtId="0" fontId="39" fillId="5" borderId="36" xfId="0" applyFont="1" applyFill="1" applyBorder="1" applyAlignment="1" applyProtection="1">
      <alignment horizontal="center" vertical="center" wrapText="1"/>
      <protection locked="0"/>
    </xf>
    <xf numFmtId="1" fontId="39" fillId="5" borderId="35" xfId="0" applyNumberFormat="1" applyFont="1" applyFill="1" applyBorder="1" applyAlignment="1" applyProtection="1">
      <alignment horizontal="center" vertical="center"/>
      <protection locked="0"/>
    </xf>
    <xf numFmtId="1" fontId="39" fillId="5" borderId="36" xfId="0" applyNumberFormat="1" applyFont="1" applyFill="1" applyBorder="1" applyAlignment="1" applyProtection="1">
      <alignment horizontal="center" vertical="center"/>
      <protection locked="0"/>
    </xf>
    <xf numFmtId="2" fontId="39" fillId="5" borderId="35" xfId="0" applyNumberFormat="1" applyFont="1" applyFill="1" applyBorder="1" applyAlignment="1" applyProtection="1">
      <alignment horizontal="center" vertical="center"/>
      <protection locked="0"/>
    </xf>
    <xf numFmtId="2" fontId="39" fillId="5" borderId="36" xfId="0" applyNumberFormat="1" applyFont="1" applyFill="1" applyBorder="1" applyAlignment="1" applyProtection="1">
      <alignment horizontal="center" vertical="center"/>
      <protection locked="0"/>
    </xf>
    <xf numFmtId="0" fontId="39" fillId="5" borderId="40" xfId="0" applyFont="1" applyFill="1" applyBorder="1" applyAlignment="1" applyProtection="1">
      <alignment horizontal="center" vertical="center"/>
      <protection locked="0"/>
    </xf>
    <xf numFmtId="0" fontId="39" fillId="5" borderId="62" xfId="0" applyFont="1" applyFill="1" applyBorder="1" applyAlignment="1" applyProtection="1">
      <alignment horizontal="center" vertical="center"/>
      <protection locked="0"/>
    </xf>
    <xf numFmtId="0" fontId="39" fillId="5" borderId="41" xfId="0" applyFont="1" applyFill="1" applyBorder="1" applyAlignment="1" applyProtection="1">
      <alignment horizontal="center" vertical="center"/>
      <protection locked="0"/>
    </xf>
    <xf numFmtId="2" fontId="39" fillId="5" borderId="40" xfId="0" applyNumberFormat="1" applyFont="1" applyFill="1" applyBorder="1" applyAlignment="1" applyProtection="1">
      <alignment horizontal="center" vertical="center"/>
      <protection locked="0"/>
    </xf>
    <xf numFmtId="2" fontId="39" fillId="5" borderId="41" xfId="0" applyNumberFormat="1" applyFont="1" applyFill="1" applyBorder="1" applyAlignment="1" applyProtection="1">
      <alignment horizontal="center" vertical="center"/>
      <protection locked="0"/>
    </xf>
    <xf numFmtId="0" fontId="39" fillId="2" borderId="40" xfId="0" applyFont="1" applyFill="1" applyBorder="1" applyAlignment="1" applyProtection="1">
      <alignment horizontal="center" vertical="center"/>
      <protection locked="0"/>
    </xf>
    <xf numFmtId="0" fontId="39" fillId="2" borderId="62" xfId="0" applyFont="1" applyFill="1" applyBorder="1" applyAlignment="1" applyProtection="1">
      <alignment horizontal="center" vertical="center"/>
      <protection locked="0"/>
    </xf>
    <xf numFmtId="0" fontId="39" fillId="2" borderId="41" xfId="0" applyFont="1" applyFill="1" applyBorder="1" applyAlignment="1" applyProtection="1">
      <alignment horizontal="center" vertical="center"/>
      <protection locked="0"/>
    </xf>
    <xf numFmtId="2" fontId="44" fillId="2" borderId="14" xfId="0" applyNumberFormat="1" applyFont="1" applyFill="1" applyBorder="1" applyAlignment="1" applyProtection="1">
      <alignment horizontal="center" vertical="center"/>
      <protection locked="0"/>
    </xf>
    <xf numFmtId="2" fontId="44" fillId="2" borderId="15" xfId="0" applyNumberFormat="1" applyFont="1" applyFill="1" applyBorder="1" applyAlignment="1" applyProtection="1">
      <alignment horizontal="center" vertical="center"/>
      <protection locked="0"/>
    </xf>
    <xf numFmtId="0" fontId="42" fillId="0" borderId="34" xfId="1" applyFont="1" applyBorder="1" applyAlignment="1" applyProtection="1">
      <alignment horizontal="center" vertical="center" wrapText="1"/>
      <protection locked="0"/>
    </xf>
    <xf numFmtId="0" fontId="42" fillId="0" borderId="33" xfId="1" applyFont="1" applyBorder="1" applyAlignment="1" applyProtection="1">
      <alignment horizontal="center" vertical="center" wrapText="1"/>
      <protection locked="0"/>
    </xf>
    <xf numFmtId="0" fontId="45" fillId="5" borderId="6" xfId="1" applyFont="1" applyFill="1" applyBorder="1" applyAlignment="1" applyProtection="1">
      <alignment horizontal="center" vertical="center" wrapText="1"/>
      <protection locked="0"/>
    </xf>
    <xf numFmtId="0" fontId="45" fillId="5" borderId="7" xfId="1" applyFont="1" applyFill="1" applyBorder="1" applyAlignment="1" applyProtection="1">
      <alignment horizontal="center" vertical="center" wrapText="1"/>
      <protection locked="0"/>
    </xf>
    <xf numFmtId="0" fontId="45" fillId="5" borderId="8" xfId="1" applyFont="1" applyFill="1" applyBorder="1" applyAlignment="1" applyProtection="1">
      <alignment horizontal="center" vertical="center" wrapText="1"/>
      <protection locked="0"/>
    </xf>
    <xf numFmtId="0" fontId="45" fillId="5" borderId="9" xfId="1" applyFont="1" applyFill="1" applyBorder="1" applyAlignment="1" applyProtection="1">
      <alignment horizontal="center" vertical="center" wrapText="1"/>
      <protection locked="0"/>
    </xf>
    <xf numFmtId="0" fontId="45" fillId="5" borderId="0" xfId="1" applyFont="1" applyFill="1" applyAlignment="1" applyProtection="1">
      <alignment horizontal="center" vertical="center" wrapText="1"/>
      <protection locked="0"/>
    </xf>
    <xf numFmtId="0" fontId="45" fillId="5" borderId="10" xfId="1" applyFont="1" applyFill="1" applyBorder="1" applyAlignment="1" applyProtection="1">
      <alignment horizontal="center" vertical="center" wrapText="1"/>
      <protection locked="0"/>
    </xf>
    <xf numFmtId="0" fontId="45" fillId="5" borderId="11" xfId="1" applyFont="1" applyFill="1" applyBorder="1" applyAlignment="1" applyProtection="1">
      <alignment horizontal="center" vertical="center" wrapText="1"/>
      <protection locked="0"/>
    </xf>
    <xf numFmtId="0" fontId="45" fillId="5" borderId="12" xfId="1" applyFont="1" applyFill="1" applyBorder="1" applyAlignment="1" applyProtection="1">
      <alignment horizontal="center" vertical="center" wrapText="1"/>
      <protection locked="0"/>
    </xf>
    <xf numFmtId="0" fontId="45" fillId="5" borderId="13" xfId="1" applyFont="1" applyFill="1" applyBorder="1" applyAlignment="1" applyProtection="1">
      <alignment horizontal="center" vertical="center" wrapText="1"/>
      <protection locked="0"/>
    </xf>
    <xf numFmtId="0" fontId="42" fillId="0" borderId="39" xfId="1" applyFont="1" applyBorder="1" applyAlignment="1" applyProtection="1">
      <alignment horizontal="center" vertical="center" wrapText="1"/>
      <protection locked="0"/>
    </xf>
    <xf numFmtId="0" fontId="31" fillId="0" borderId="38" xfId="1" applyFont="1" applyBorder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 wrapText="1"/>
      <protection locked="0"/>
    </xf>
    <xf numFmtId="0" fontId="31" fillId="0" borderId="39" xfId="1" applyFont="1" applyBorder="1" applyAlignment="1" applyProtection="1">
      <alignment horizontal="center" vertical="center" wrapText="1"/>
      <protection locked="0"/>
    </xf>
    <xf numFmtId="0" fontId="42" fillId="0" borderId="57" xfId="1" applyFont="1" applyBorder="1" applyAlignment="1" applyProtection="1">
      <alignment horizontal="center" vertical="center" wrapText="1"/>
      <protection locked="0"/>
    </xf>
    <xf numFmtId="0" fontId="42" fillId="0" borderId="26" xfId="1" applyFont="1" applyBorder="1" applyAlignment="1" applyProtection="1">
      <alignment horizontal="center" vertical="center" wrapText="1"/>
      <protection locked="0"/>
    </xf>
    <xf numFmtId="0" fontId="42" fillId="0" borderId="58" xfId="1" applyFont="1" applyBorder="1" applyAlignment="1" applyProtection="1">
      <alignment horizontal="center" vertical="center" wrapText="1"/>
      <protection locked="0"/>
    </xf>
    <xf numFmtId="0" fontId="42" fillId="0" borderId="9" xfId="1" applyFont="1" applyBorder="1" applyAlignment="1" applyProtection="1">
      <alignment horizontal="center" vertical="center" wrapText="1"/>
      <protection locked="0"/>
    </xf>
    <xf numFmtId="0" fontId="42" fillId="0" borderId="0" xfId="1" applyFont="1" applyAlignment="1" applyProtection="1">
      <alignment horizontal="center" vertical="center" wrapText="1"/>
      <protection locked="0"/>
    </xf>
    <xf numFmtId="0" fontId="42" fillId="0" borderId="10" xfId="1" applyFont="1" applyBorder="1" applyAlignment="1" applyProtection="1">
      <alignment horizontal="center" vertical="center" wrapText="1"/>
      <protection locked="0"/>
    </xf>
    <xf numFmtId="0" fontId="42" fillId="0" borderId="11" xfId="1" applyFont="1" applyBorder="1" applyAlignment="1" applyProtection="1">
      <alignment horizontal="center" vertical="center" wrapText="1"/>
      <protection locked="0"/>
    </xf>
    <xf numFmtId="0" fontId="42" fillId="0" borderId="12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horizontal="center" vertical="center" wrapText="1"/>
      <protection locked="0"/>
    </xf>
    <xf numFmtId="0" fontId="44" fillId="2" borderId="6" xfId="1" applyFont="1" applyFill="1" applyBorder="1" applyAlignment="1" applyProtection="1">
      <alignment horizontal="center" vertical="center" wrapText="1"/>
      <protection locked="0"/>
    </xf>
    <xf numFmtId="0" fontId="44" fillId="2" borderId="7" xfId="1" applyFont="1" applyFill="1" applyBorder="1" applyAlignment="1" applyProtection="1">
      <alignment horizontal="center" vertical="center" wrapText="1"/>
      <protection locked="0"/>
    </xf>
    <xf numFmtId="0" fontId="44" fillId="2" borderId="8" xfId="1" applyFont="1" applyFill="1" applyBorder="1" applyAlignment="1" applyProtection="1">
      <alignment horizontal="center" vertical="center" wrapText="1"/>
      <protection locked="0"/>
    </xf>
    <xf numFmtId="0" fontId="44" fillId="2" borderId="9" xfId="1" applyFont="1" applyFill="1" applyBorder="1" applyAlignment="1" applyProtection="1">
      <alignment horizontal="center" vertical="center" wrapText="1"/>
      <protection locked="0"/>
    </xf>
    <xf numFmtId="0" fontId="44" fillId="2" borderId="0" xfId="1" applyFont="1" applyFill="1" applyAlignment="1" applyProtection="1">
      <alignment horizontal="center" vertical="center" wrapText="1"/>
      <protection locked="0"/>
    </xf>
    <xf numFmtId="0" fontId="44" fillId="2" borderId="10" xfId="1" applyFont="1" applyFill="1" applyBorder="1" applyAlignment="1" applyProtection="1">
      <alignment horizontal="center" vertical="center" wrapText="1"/>
      <protection locked="0"/>
    </xf>
    <xf numFmtId="0" fontId="44" fillId="2" borderId="11" xfId="1" applyFont="1" applyFill="1" applyBorder="1" applyAlignment="1" applyProtection="1">
      <alignment horizontal="center" vertical="center" wrapText="1"/>
      <protection locked="0"/>
    </xf>
    <xf numFmtId="0" fontId="44" fillId="2" borderId="12" xfId="1" applyFont="1" applyFill="1" applyBorder="1" applyAlignment="1" applyProtection="1">
      <alignment horizontal="center" vertical="center" wrapText="1"/>
      <protection locked="0"/>
    </xf>
    <xf numFmtId="0" fontId="44" fillId="2" borderId="13" xfId="1" applyFont="1" applyFill="1" applyBorder="1" applyAlignment="1" applyProtection="1">
      <alignment horizontal="center" vertical="center" wrapText="1"/>
      <protection locked="0"/>
    </xf>
    <xf numFmtId="0" fontId="42" fillId="0" borderId="22" xfId="1" applyFont="1" applyBorder="1" applyAlignment="1" applyProtection="1">
      <alignment horizontal="center" vertical="center" wrapText="1"/>
      <protection locked="0"/>
    </xf>
    <xf numFmtId="0" fontId="42" fillId="0" borderId="50" xfId="1" applyFont="1" applyBorder="1" applyAlignment="1" applyProtection="1">
      <alignment horizontal="center" vertical="center" wrapText="1"/>
      <protection locked="0"/>
    </xf>
    <xf numFmtId="0" fontId="66" fillId="0" borderId="1" xfId="2" applyFont="1" applyBorder="1" applyAlignment="1">
      <alignment horizontal="center" vertical="center" wrapText="1"/>
    </xf>
    <xf numFmtId="0" fontId="65" fillId="0" borderId="1" xfId="1" applyFont="1" applyBorder="1" applyAlignment="1">
      <alignment horizontal="center" vertical="center" wrapText="1"/>
    </xf>
    <xf numFmtId="0" fontId="65" fillId="0" borderId="39" xfId="1" applyFont="1" applyBorder="1" applyAlignment="1">
      <alignment horizontal="center" vertical="center" wrapText="1"/>
    </xf>
    <xf numFmtId="0" fontId="45" fillId="0" borderId="6" xfId="1" applyFont="1" applyBorder="1" applyAlignment="1" applyProtection="1">
      <alignment horizontal="center" vertical="center" wrapText="1"/>
      <protection locked="0"/>
    </xf>
    <xf numFmtId="0" fontId="45" fillId="0" borderId="7" xfId="1" applyFont="1" applyBorder="1" applyAlignment="1" applyProtection="1">
      <alignment horizontal="center" vertical="center" wrapText="1"/>
      <protection locked="0"/>
    </xf>
    <xf numFmtId="0" fontId="45" fillId="0" borderId="8" xfId="1" applyFont="1" applyBorder="1" applyAlignment="1" applyProtection="1">
      <alignment horizontal="center" vertical="center" wrapText="1"/>
      <protection locked="0"/>
    </xf>
    <xf numFmtId="0" fontId="45" fillId="0" borderId="9" xfId="1" applyFont="1" applyBorder="1" applyAlignment="1" applyProtection="1">
      <alignment horizontal="center" vertical="center" wrapText="1"/>
      <protection locked="0"/>
    </xf>
    <xf numFmtId="0" fontId="45" fillId="0" borderId="0" xfId="1" applyFont="1" applyAlignment="1" applyProtection="1">
      <alignment horizontal="center" vertical="center" wrapText="1"/>
      <protection locked="0"/>
    </xf>
    <xf numFmtId="0" fontId="45" fillId="0" borderId="10" xfId="1" applyFont="1" applyBorder="1" applyAlignment="1" applyProtection="1">
      <alignment horizontal="center" vertical="center" wrapText="1"/>
      <protection locked="0"/>
    </xf>
    <xf numFmtId="0" fontId="45" fillId="0" borderId="11" xfId="1" applyFont="1" applyBorder="1" applyAlignment="1" applyProtection="1">
      <alignment horizontal="center" vertical="center" wrapText="1"/>
      <protection locked="0"/>
    </xf>
    <xf numFmtId="0" fontId="45" fillId="0" borderId="12" xfId="1" applyFont="1" applyBorder="1" applyAlignment="1" applyProtection="1">
      <alignment horizontal="center" vertical="center" wrapText="1"/>
      <protection locked="0"/>
    </xf>
    <xf numFmtId="0" fontId="45" fillId="0" borderId="13" xfId="1" applyFont="1" applyBorder="1" applyAlignment="1" applyProtection="1">
      <alignment horizontal="center" vertical="center" wrapText="1"/>
      <protection locked="0"/>
    </xf>
    <xf numFmtId="1" fontId="65" fillId="0" borderId="43" xfId="1" quotePrefix="1" applyNumberFormat="1" applyFont="1" applyBorder="1" applyAlignment="1">
      <alignment horizontal="center" vertical="center" wrapText="1"/>
    </xf>
    <xf numFmtId="1" fontId="65" fillId="0" borderId="43" xfId="1" applyNumberFormat="1" applyFont="1" applyBorder="1" applyAlignment="1">
      <alignment horizontal="center" vertical="center" wrapText="1"/>
    </xf>
    <xf numFmtId="1" fontId="65" fillId="0" borderId="44" xfId="1" applyNumberFormat="1" applyFont="1" applyBorder="1" applyAlignment="1">
      <alignment horizontal="center" vertical="center" wrapText="1"/>
    </xf>
    <xf numFmtId="0" fontId="25" fillId="15" borderId="2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16" borderId="1" xfId="0" applyFont="1" applyFill="1" applyBorder="1" applyAlignment="1">
      <alignment horizontal="center" vertical="center" wrapText="1"/>
    </xf>
    <xf numFmtId="0" fontId="5" fillId="5" borderId="1" xfId="2" applyFill="1" applyBorder="1" applyAlignment="1">
      <alignment horizontal="center" vertical="center" wrapText="1"/>
    </xf>
    <xf numFmtId="0" fontId="62" fillId="5" borderId="1" xfId="0" applyFont="1" applyFill="1" applyBorder="1" applyAlignment="1">
      <alignment horizontal="center" vertical="center" wrapText="1"/>
    </xf>
    <xf numFmtId="0" fontId="5" fillId="16" borderId="1" xfId="2" applyFill="1" applyBorder="1" applyAlignment="1">
      <alignment horizontal="center" vertical="center" wrapText="1"/>
    </xf>
    <xf numFmtId="0" fontId="62" fillId="16" borderId="1" xfId="0" applyFont="1" applyFill="1" applyBorder="1" applyAlignment="1">
      <alignment horizontal="center" vertical="center" wrapText="1"/>
    </xf>
    <xf numFmtId="174" fontId="62" fillId="5" borderId="1" xfId="0" applyNumberFormat="1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14" fontId="2" fillId="5" borderId="1" xfId="0" applyNumberFormat="1" applyFont="1" applyFill="1" applyBorder="1" applyAlignment="1">
      <alignment horizontal="center" vertical="center" wrapText="1"/>
    </xf>
    <xf numFmtId="174" fontId="62" fillId="16" borderId="1" xfId="0" applyNumberFormat="1" applyFont="1" applyFill="1" applyBorder="1" applyAlignment="1">
      <alignment horizontal="center" vertical="center" wrapText="1"/>
    </xf>
    <xf numFmtId="0" fontId="25" fillId="16" borderId="2" xfId="0" applyFont="1" applyFill="1" applyBorder="1" applyAlignment="1">
      <alignment horizontal="center" vertical="center"/>
    </xf>
    <xf numFmtId="14" fontId="2" fillId="15" borderId="1" xfId="0" applyNumberFormat="1" applyFont="1" applyFill="1" applyBorder="1" applyAlignment="1">
      <alignment horizontal="center" vertical="center" wrapText="1"/>
    </xf>
    <xf numFmtId="14" fontId="2" fillId="16" borderId="1" xfId="0" applyNumberFormat="1" applyFont="1" applyFill="1" applyBorder="1" applyAlignment="1">
      <alignment horizontal="center" vertical="center" wrapText="1"/>
    </xf>
    <xf numFmtId="176" fontId="90" fillId="11" borderId="2" xfId="3" quotePrefix="1" applyNumberFormat="1" applyFont="1" applyFill="1" applyBorder="1" applyAlignment="1">
      <alignment horizontal="center" vertical="center"/>
    </xf>
    <xf numFmtId="176" fontId="90" fillId="11" borderId="3" xfId="3" quotePrefix="1" applyNumberFormat="1" applyFont="1" applyFill="1" applyBorder="1" applyAlignment="1">
      <alignment horizontal="center" vertical="center"/>
    </xf>
    <xf numFmtId="177" fontId="90" fillId="11" borderId="2" xfId="3" applyNumberFormat="1" applyFont="1" applyFill="1" applyBorder="1" applyAlignment="1">
      <alignment horizontal="center" vertical="center"/>
    </xf>
    <xf numFmtId="177" fontId="90" fillId="11" borderId="3" xfId="3" applyNumberFormat="1" applyFont="1" applyFill="1" applyBorder="1" applyAlignment="1">
      <alignment horizontal="center" vertical="center"/>
    </xf>
    <xf numFmtId="0" fontId="90" fillId="11" borderId="2" xfId="3" quotePrefix="1" applyFont="1" applyFill="1" applyBorder="1" applyAlignment="1">
      <alignment horizontal="center" vertical="center"/>
    </xf>
    <xf numFmtId="0" fontId="90" fillId="11" borderId="3" xfId="3" quotePrefix="1" applyFont="1" applyFill="1" applyBorder="1" applyAlignment="1">
      <alignment horizontal="center" vertical="center"/>
    </xf>
    <xf numFmtId="0" fontId="90" fillId="11" borderId="37" xfId="3" quotePrefix="1" applyFont="1" applyFill="1" applyBorder="1" applyAlignment="1">
      <alignment horizontal="center" vertical="center"/>
    </xf>
    <xf numFmtId="0" fontId="93" fillId="11" borderId="30" xfId="3" applyFont="1" applyFill="1" applyBorder="1" applyAlignment="1">
      <alignment horizontal="center" vertical="center" wrapText="1"/>
    </xf>
    <xf numFmtId="0" fontId="93" fillId="11" borderId="22" xfId="3" applyFont="1" applyFill="1" applyBorder="1" applyAlignment="1">
      <alignment horizontal="center" vertical="center" wrapText="1"/>
    </xf>
    <xf numFmtId="0" fontId="96" fillId="11" borderId="2" xfId="3" applyFont="1" applyFill="1" applyBorder="1" applyAlignment="1">
      <alignment horizontal="center" vertical="center"/>
    </xf>
    <xf numFmtId="0" fontId="96" fillId="11" borderId="3" xfId="3" applyFont="1" applyFill="1" applyBorder="1" applyAlignment="1">
      <alignment horizontal="center" vertical="center"/>
    </xf>
    <xf numFmtId="0" fontId="93" fillId="11" borderId="30" xfId="3" applyFont="1" applyFill="1" applyBorder="1" applyAlignment="1">
      <alignment horizontal="center" wrapText="1"/>
    </xf>
    <xf numFmtId="0" fontId="103" fillId="0" borderId="0" xfId="4" applyFont="1" applyBorder="1"/>
    <xf numFmtId="0" fontId="102" fillId="0" borderId="0" xfId="3" applyFont="1" applyAlignment="1">
      <alignment horizontal="left" vertical="center"/>
    </xf>
    <xf numFmtId="0" fontId="102" fillId="0" borderId="0" xfId="3" quotePrefix="1" applyFont="1" applyAlignment="1">
      <alignment horizontal="left" wrapText="1"/>
    </xf>
    <xf numFmtId="0" fontId="101" fillId="0" borderId="0" xfId="3" applyFont="1"/>
    <xf numFmtId="0" fontId="105" fillId="0" borderId="28" xfId="3" applyFont="1" applyBorder="1"/>
    <xf numFmtId="0" fontId="111" fillId="0" borderId="19" xfId="3" applyFont="1" applyBorder="1" applyAlignment="1">
      <alignment horizontal="left"/>
    </xf>
    <xf numFmtId="0" fontId="6" fillId="0" borderId="26" xfId="3" applyBorder="1" applyAlignment="1">
      <alignment horizontal="center"/>
    </xf>
    <xf numFmtId="0" fontId="7" fillId="0" borderId="5" xfId="3" applyFont="1" applyBorder="1" applyAlignment="1">
      <alignment horizontal="center"/>
    </xf>
    <xf numFmtId="0" fontId="6" fillId="0" borderId="21" xfId="3" applyBorder="1" applyAlignment="1">
      <alignment horizontal="center"/>
    </xf>
    <xf numFmtId="0" fontId="102" fillId="0" borderId="0" xfId="3" applyFont="1" applyAlignment="1">
      <alignment horizontal="left" vertical="center" wrapText="1"/>
    </xf>
    <xf numFmtId="1" fontId="102" fillId="0" borderId="0" xfId="3" quotePrefix="1" applyNumberFormat="1" applyFont="1" applyAlignment="1">
      <alignment horizontal="left" vertical="center"/>
    </xf>
    <xf numFmtId="0" fontId="104" fillId="0" borderId="0" xfId="3" applyFont="1" applyAlignment="1">
      <alignment horizontal="left" vertical="center"/>
    </xf>
    <xf numFmtId="0" fontId="100" fillId="0" borderId="0" xfId="3" applyFont="1" applyAlignment="1">
      <alignment horizontal="center" vertical="center"/>
    </xf>
    <xf numFmtId="0" fontId="100" fillId="0" borderId="5" xfId="3" applyFont="1" applyBorder="1" applyAlignment="1">
      <alignment horizontal="center" vertical="center"/>
    </xf>
    <xf numFmtId="3" fontId="76" fillId="14" borderId="6" xfId="3" applyNumberFormat="1" applyFont="1" applyFill="1" applyBorder="1" applyAlignment="1">
      <alignment horizontal="center" vertical="center" wrapText="1"/>
    </xf>
    <xf numFmtId="3" fontId="76" fillId="14" borderId="7" xfId="3" applyNumberFormat="1" applyFont="1" applyFill="1" applyBorder="1" applyAlignment="1">
      <alignment horizontal="center" vertical="center" wrapText="1"/>
    </xf>
    <xf numFmtId="3" fontId="76" fillId="14" borderId="9" xfId="3" applyNumberFormat="1" applyFont="1" applyFill="1" applyBorder="1" applyAlignment="1">
      <alignment horizontal="center" vertical="center" wrapText="1"/>
    </xf>
    <xf numFmtId="3" fontId="76" fillId="14" borderId="0" xfId="3" applyNumberFormat="1" applyFont="1" applyFill="1" applyAlignment="1">
      <alignment horizontal="center" vertical="center" wrapText="1"/>
    </xf>
    <xf numFmtId="3" fontId="76" fillId="14" borderId="11" xfId="3" applyNumberFormat="1" applyFont="1" applyFill="1" applyBorder="1" applyAlignment="1">
      <alignment horizontal="center" vertical="center" wrapText="1"/>
    </xf>
    <xf numFmtId="3" fontId="76" fillId="14" borderId="12" xfId="3" applyNumberFormat="1" applyFont="1" applyFill="1" applyBorder="1" applyAlignment="1">
      <alignment horizontal="center" vertical="center" wrapText="1"/>
    </xf>
    <xf numFmtId="0" fontId="97" fillId="0" borderId="6" xfId="3" applyFont="1" applyBorder="1" applyAlignment="1">
      <alignment horizontal="center" vertical="center" wrapText="1"/>
    </xf>
    <xf numFmtId="0" fontId="97" fillId="0" borderId="8" xfId="3" applyFont="1" applyBorder="1" applyAlignment="1">
      <alignment horizontal="center" vertical="center" wrapText="1"/>
    </xf>
    <xf numFmtId="0" fontId="97" fillId="0" borderId="9" xfId="3" applyFont="1" applyBorder="1" applyAlignment="1">
      <alignment horizontal="center" vertical="center" wrapText="1"/>
    </xf>
    <xf numFmtId="0" fontId="97" fillId="0" borderId="10" xfId="3" applyFont="1" applyBorder="1" applyAlignment="1">
      <alignment horizontal="center" vertical="center" wrapText="1"/>
    </xf>
    <xf numFmtId="0" fontId="97" fillId="0" borderId="11" xfId="3" applyFont="1" applyBorder="1" applyAlignment="1">
      <alignment horizontal="center" vertical="center" wrapText="1"/>
    </xf>
    <xf numFmtId="0" fontId="97" fillId="0" borderId="13" xfId="3" applyFont="1" applyBorder="1" applyAlignment="1">
      <alignment horizontal="center" vertical="center" wrapText="1"/>
    </xf>
    <xf numFmtId="0" fontId="97" fillId="0" borderId="0" xfId="3" applyFont="1" applyAlignment="1">
      <alignment horizontal="center" vertical="center" wrapText="1"/>
    </xf>
    <xf numFmtId="0" fontId="97" fillId="0" borderId="12" xfId="3" applyFont="1" applyBorder="1" applyAlignment="1">
      <alignment horizontal="center" vertical="center" wrapText="1"/>
    </xf>
    <xf numFmtId="0" fontId="97" fillId="0" borderId="59" xfId="3" applyFont="1" applyBorder="1" applyAlignment="1">
      <alignment horizontal="center" vertical="center" wrapText="1"/>
    </xf>
    <xf numFmtId="0" fontId="97" fillId="0" borderId="69" xfId="3" applyFont="1" applyBorder="1" applyAlignment="1">
      <alignment horizontal="center" vertical="center" wrapText="1"/>
    </xf>
    <xf numFmtId="0" fontId="97" fillId="0" borderId="64" xfId="3" applyFont="1" applyBorder="1" applyAlignment="1">
      <alignment horizontal="center" vertical="center" wrapText="1"/>
    </xf>
    <xf numFmtId="0" fontId="100" fillId="0" borderId="16" xfId="3" applyFont="1" applyBorder="1" applyAlignment="1">
      <alignment horizontal="center" vertical="center" wrapText="1"/>
    </xf>
    <xf numFmtId="0" fontId="100" fillId="0" borderId="17" xfId="3" applyFont="1" applyBorder="1" applyAlignment="1">
      <alignment horizontal="center" vertical="center" wrapText="1"/>
    </xf>
    <xf numFmtId="0" fontId="97" fillId="0" borderId="7" xfId="3" applyFont="1" applyBorder="1" applyAlignment="1">
      <alignment horizontal="center" vertical="center" wrapText="1"/>
    </xf>
    <xf numFmtId="0" fontId="100" fillId="0" borderId="24" xfId="3" applyFont="1" applyBorder="1" applyAlignment="1">
      <alignment horizontal="center" vertical="center" wrapText="1"/>
    </xf>
    <xf numFmtId="0" fontId="100" fillId="0" borderId="72" xfId="3" applyFont="1" applyBorder="1" applyAlignment="1">
      <alignment horizontal="center" vertical="center" wrapText="1"/>
    </xf>
    <xf numFmtId="0" fontId="91" fillId="11" borderId="27" xfId="3" applyFont="1" applyFill="1" applyBorder="1" applyAlignment="1">
      <alignment horizontal="right" vertical="center"/>
    </xf>
    <xf numFmtId="0" fontId="13" fillId="0" borderId="27" xfId="3" applyFont="1" applyBorder="1" applyAlignment="1">
      <alignment horizontal="center"/>
    </xf>
    <xf numFmtId="0" fontId="13" fillId="0" borderId="0" xfId="3" applyFont="1" applyAlignment="1">
      <alignment horizontal="center"/>
    </xf>
    <xf numFmtId="0" fontId="13" fillId="0" borderId="0" xfId="3" applyFont="1" applyAlignment="1">
      <alignment horizontal="center" wrapText="1"/>
    </xf>
    <xf numFmtId="0" fontId="49" fillId="0" borderId="22" xfId="3" applyFont="1" applyBorder="1" applyAlignment="1">
      <alignment horizontal="center" wrapText="1"/>
    </xf>
    <xf numFmtId="176" fontId="49" fillId="0" borderId="22" xfId="3" applyNumberFormat="1" applyFont="1" applyBorder="1" applyAlignment="1">
      <alignment horizontal="center" wrapText="1"/>
    </xf>
    <xf numFmtId="0" fontId="91" fillId="11" borderId="25" xfId="3" applyFont="1" applyFill="1" applyBorder="1" applyAlignment="1">
      <alignment horizontal="right" vertical="center"/>
    </xf>
    <xf numFmtId="0" fontId="47" fillId="11" borderId="2" xfId="3" applyFont="1" applyFill="1" applyBorder="1" applyAlignment="1">
      <alignment horizontal="center"/>
    </xf>
    <xf numFmtId="0" fontId="47" fillId="11" borderId="37" xfId="3" applyFont="1" applyFill="1" applyBorder="1" applyAlignment="1">
      <alignment horizontal="center"/>
    </xf>
    <xf numFmtId="0" fontId="47" fillId="11" borderId="3" xfId="3" applyFont="1" applyFill="1" applyBorder="1" applyAlignment="1">
      <alignment horizontal="center"/>
    </xf>
    <xf numFmtId="176" fontId="64" fillId="0" borderId="59" xfId="3" applyNumberFormat="1" applyFont="1" applyBorder="1" applyAlignment="1">
      <alignment horizontal="center" vertical="center"/>
    </xf>
    <xf numFmtId="176" fontId="64" fillId="0" borderId="64" xfId="3" applyNumberFormat="1" applyFont="1" applyBorder="1" applyAlignment="1">
      <alignment horizontal="center" vertical="center"/>
    </xf>
    <xf numFmtId="0" fontId="48" fillId="11" borderId="2" xfId="3" applyFont="1" applyFill="1" applyBorder="1" applyAlignment="1">
      <alignment horizontal="center" vertical="center"/>
    </xf>
    <xf numFmtId="0" fontId="48" fillId="11" borderId="3" xfId="3" applyFont="1" applyFill="1" applyBorder="1" applyAlignment="1">
      <alignment horizontal="center" vertical="center"/>
    </xf>
    <xf numFmtId="0" fontId="92" fillId="11" borderId="21" xfId="3" applyFont="1" applyFill="1" applyBorder="1" applyAlignment="1">
      <alignment horizontal="center" vertical="center" wrapText="1"/>
    </xf>
    <xf numFmtId="0" fontId="16" fillId="0" borderId="4" xfId="3" applyFont="1" applyBorder="1" applyAlignment="1">
      <alignment horizontal="center" vertical="center"/>
    </xf>
    <xf numFmtId="0" fontId="16" fillId="0" borderId="19" xfId="3" applyFont="1" applyBorder="1" applyAlignment="1">
      <alignment horizontal="center" vertical="center"/>
    </xf>
    <xf numFmtId="0" fontId="16" fillId="0" borderId="1" xfId="3" applyFont="1" applyBorder="1" applyAlignment="1">
      <alignment horizontal="right" vertical="center" wrapText="1"/>
    </xf>
    <xf numFmtId="0" fontId="16" fillId="0" borderId="1" xfId="3" applyFont="1" applyBorder="1" applyAlignment="1">
      <alignment horizontal="left" vertical="center"/>
    </xf>
    <xf numFmtId="0" fontId="95" fillId="11" borderId="1" xfId="3" applyFont="1" applyFill="1" applyBorder="1" applyAlignment="1">
      <alignment horizontal="center" vertical="center"/>
    </xf>
    <xf numFmtId="0" fontId="16" fillId="11" borderId="1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left" vertical="center"/>
    </xf>
    <xf numFmtId="0" fontId="99" fillId="0" borderId="1" xfId="3" applyFont="1" applyBorder="1" applyAlignment="1">
      <alignment horizontal="left" vertical="center"/>
    </xf>
    <xf numFmtId="0" fontId="16" fillId="0" borderId="27" xfId="3" applyFont="1" applyBorder="1" applyAlignment="1">
      <alignment horizontal="right" vertical="center" wrapText="1"/>
    </xf>
    <xf numFmtId="0" fontId="17" fillId="0" borderId="1" xfId="3" applyFont="1" applyBorder="1" applyAlignment="1">
      <alignment horizontal="left" vertical="center"/>
    </xf>
    <xf numFmtId="166" fontId="17" fillId="0" borderId="1" xfId="3" applyNumberFormat="1" applyFont="1" applyBorder="1" applyAlignment="1">
      <alignment horizontal="left" vertical="center"/>
    </xf>
    <xf numFmtId="0" fontId="9" fillId="0" borderId="4" xfId="3" applyFont="1" applyBorder="1" applyAlignment="1">
      <alignment horizontal="right" vertical="center"/>
    </xf>
    <xf numFmtId="0" fontId="9" fillId="0" borderId="19" xfId="3" applyFont="1" applyBorder="1" applyAlignment="1">
      <alignment horizontal="left" vertical="center"/>
    </xf>
    <xf numFmtId="0" fontId="95" fillId="11" borderId="22" xfId="3" applyFont="1" applyFill="1" applyBorder="1" applyAlignment="1">
      <alignment horizontal="right" vertical="center"/>
    </xf>
    <xf numFmtId="0" fontId="95" fillId="11" borderId="1" xfId="3" applyFont="1" applyFill="1" applyBorder="1" applyAlignment="1">
      <alignment horizontal="right" vertical="center"/>
    </xf>
    <xf numFmtId="0" fontId="91" fillId="11" borderId="27" xfId="3" applyFont="1" applyFill="1" applyBorder="1" applyAlignment="1">
      <alignment horizontal="right" vertical="center" wrapText="1"/>
    </xf>
    <xf numFmtId="0" fontId="91" fillId="11" borderId="27" xfId="3" applyFont="1" applyFill="1" applyBorder="1" applyAlignment="1">
      <alignment horizontal="right"/>
    </xf>
    <xf numFmtId="0" fontId="91" fillId="11" borderId="0" xfId="3" applyFont="1" applyFill="1" applyAlignment="1">
      <alignment horizontal="right" vertical="center"/>
    </xf>
    <xf numFmtId="0" fontId="91" fillId="11" borderId="0" xfId="3" applyFont="1" applyFill="1" applyAlignment="1">
      <alignment horizontal="center" vertical="center"/>
    </xf>
    <xf numFmtId="0" fontId="91" fillId="11" borderId="27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8" fillId="11" borderId="30" xfId="3" applyFont="1" applyFill="1" applyBorder="1" applyAlignment="1">
      <alignment horizontal="center" vertical="center" wrapText="1"/>
    </xf>
    <xf numFmtId="0" fontId="108" fillId="11" borderId="30" xfId="3" applyFont="1" applyFill="1" applyBorder="1" applyAlignment="1">
      <alignment horizontal="center" vertical="center"/>
    </xf>
    <xf numFmtId="0" fontId="63" fillId="6" borderId="2" xfId="3" applyFont="1" applyFill="1" applyBorder="1" applyAlignment="1">
      <alignment horizontal="center" vertical="center" wrapText="1"/>
    </xf>
    <xf numFmtId="0" fontId="63" fillId="6" borderId="3" xfId="3" applyFont="1" applyFill="1" applyBorder="1" applyAlignment="1">
      <alignment horizontal="center" vertical="center" wrapText="1"/>
    </xf>
    <xf numFmtId="165" fontId="61" fillId="0" borderId="2" xfId="3" applyNumberFormat="1" applyFont="1" applyBorder="1" applyAlignment="1">
      <alignment horizontal="center"/>
    </xf>
    <xf numFmtId="165" fontId="61" fillId="0" borderId="3" xfId="3" applyNumberFormat="1" applyFont="1" applyBorder="1" applyAlignment="1">
      <alignment horizontal="center"/>
    </xf>
    <xf numFmtId="0" fontId="55" fillId="6" borderId="1" xfId="3" applyFont="1" applyFill="1" applyBorder="1" applyAlignment="1">
      <alignment horizontal="center"/>
    </xf>
    <xf numFmtId="0" fontId="39" fillId="0" borderId="1" xfId="1" applyFont="1" applyBorder="1" applyAlignment="1" applyProtection="1">
      <alignment horizontal="center"/>
      <protection locked="0"/>
    </xf>
    <xf numFmtId="0" fontId="95" fillId="11" borderId="27" xfId="3" applyFont="1" applyFill="1" applyBorder="1" applyAlignment="1">
      <alignment horizontal="right" vertical="center"/>
    </xf>
    <xf numFmtId="3" fontId="98" fillId="0" borderId="7" xfId="3" applyNumberFormat="1" applyFont="1" applyBorder="1" applyAlignment="1">
      <alignment horizontal="center" vertical="center"/>
    </xf>
    <xf numFmtId="3" fontId="98" fillId="0" borderId="0" xfId="3" applyNumberFormat="1" applyFont="1" applyAlignment="1">
      <alignment horizontal="center" vertical="center"/>
    </xf>
    <xf numFmtId="3" fontId="98" fillId="0" borderId="12" xfId="3" applyNumberFormat="1" applyFont="1" applyBorder="1" applyAlignment="1">
      <alignment horizontal="center" vertical="center"/>
    </xf>
    <xf numFmtId="0" fontId="12" fillId="0" borderId="1" xfId="3" applyFont="1" applyBorder="1" applyAlignment="1">
      <alignment horizontal="center"/>
    </xf>
    <xf numFmtId="176" fontId="98" fillId="0" borderId="7" xfId="3" applyNumberFormat="1" applyFont="1" applyBorder="1" applyAlignment="1">
      <alignment horizontal="center" vertical="center"/>
    </xf>
    <xf numFmtId="176" fontId="98" fillId="0" borderId="0" xfId="3" applyNumberFormat="1" applyFont="1" applyAlignment="1">
      <alignment horizontal="center" vertical="center"/>
    </xf>
    <xf numFmtId="176" fontId="98" fillId="0" borderId="12" xfId="3" applyNumberFormat="1" applyFont="1" applyBorder="1" applyAlignment="1">
      <alignment horizontal="center" vertical="center"/>
    </xf>
    <xf numFmtId="176" fontId="98" fillId="0" borderId="8" xfId="3" applyNumberFormat="1" applyFont="1" applyBorder="1" applyAlignment="1">
      <alignment horizontal="center" vertical="center"/>
    </xf>
    <xf numFmtId="176" fontId="98" fillId="0" borderId="10" xfId="3" applyNumberFormat="1" applyFont="1" applyBorder="1" applyAlignment="1">
      <alignment horizontal="center" vertical="center"/>
    </xf>
    <xf numFmtId="176" fontId="98" fillId="0" borderId="13" xfId="3" applyNumberFormat="1" applyFont="1" applyBorder="1" applyAlignment="1">
      <alignment horizontal="center" vertical="center"/>
    </xf>
    <xf numFmtId="0" fontId="49" fillId="0" borderId="30" xfId="3" applyFont="1" applyBorder="1" applyAlignment="1">
      <alignment horizontal="center" wrapText="1"/>
    </xf>
    <xf numFmtId="0" fontId="107" fillId="11" borderId="30" xfId="3" applyFont="1" applyFill="1" applyBorder="1" applyAlignment="1">
      <alignment horizontal="center" vertical="center"/>
    </xf>
    <xf numFmtId="0" fontId="95" fillId="11" borderId="27" xfId="3" applyFont="1" applyFill="1" applyBorder="1" applyAlignment="1">
      <alignment horizontal="right"/>
    </xf>
    <xf numFmtId="0" fontId="95" fillId="11" borderId="0" xfId="3" applyFont="1" applyFill="1" applyAlignment="1">
      <alignment horizontal="right" vertical="center"/>
    </xf>
    <xf numFmtId="0" fontId="20" fillId="0" borderId="1" xfId="3" applyFont="1" applyBorder="1" applyAlignment="1">
      <alignment horizontal="left" vertical="center"/>
    </xf>
    <xf numFmtId="0" fontId="19" fillId="0" borderId="1" xfId="3" applyFont="1" applyBorder="1" applyAlignment="1">
      <alignment horizontal="left" vertical="center"/>
    </xf>
    <xf numFmtId="0" fontId="95" fillId="11" borderId="27" xfId="3" applyFont="1" applyFill="1" applyBorder="1" applyAlignment="1">
      <alignment horizontal="right" vertical="center" wrapText="1"/>
    </xf>
    <xf numFmtId="0" fontId="21" fillId="0" borderId="1" xfId="3" applyFont="1" applyBorder="1" applyAlignment="1">
      <alignment horizontal="left" vertical="center"/>
    </xf>
    <xf numFmtId="0" fontId="22" fillId="0" borderId="1" xfId="3" applyFont="1" applyBorder="1" applyAlignment="1">
      <alignment horizontal="left" vertical="center"/>
    </xf>
    <xf numFmtId="166" fontId="22" fillId="0" borderId="1" xfId="3" applyNumberFormat="1" applyFont="1" applyBorder="1" applyAlignment="1">
      <alignment horizontal="left" vertical="center"/>
    </xf>
    <xf numFmtId="0" fontId="55" fillId="0" borderId="16" xfId="3" applyFont="1" applyBorder="1" applyAlignment="1">
      <alignment horizontal="center" vertical="center" wrapText="1"/>
    </xf>
    <xf numFmtId="0" fontId="55" fillId="0" borderId="17" xfId="3" applyFont="1" applyBorder="1" applyAlignment="1">
      <alignment horizontal="center" vertical="center" wrapText="1"/>
    </xf>
    <xf numFmtId="0" fontId="55" fillId="0" borderId="24" xfId="3" applyFont="1" applyBorder="1" applyAlignment="1">
      <alignment horizontal="center" vertical="center" wrapText="1"/>
    </xf>
    <xf numFmtId="0" fontId="55" fillId="0" borderId="72" xfId="3" applyFont="1" applyBorder="1" applyAlignment="1">
      <alignment horizontal="center" vertical="center" wrapText="1"/>
    </xf>
    <xf numFmtId="3" fontId="76" fillId="0" borderId="7" xfId="3" applyNumberFormat="1" applyFont="1" applyBorder="1" applyAlignment="1">
      <alignment horizontal="center" vertical="center" wrapText="1"/>
    </xf>
    <xf numFmtId="3" fontId="76" fillId="0" borderId="0" xfId="3" applyNumberFormat="1" applyFont="1" applyAlignment="1">
      <alignment horizontal="center" vertical="center" wrapText="1"/>
    </xf>
    <xf numFmtId="3" fontId="76" fillId="0" borderId="12" xfId="3" applyNumberFormat="1" applyFont="1" applyBorder="1" applyAlignment="1">
      <alignment horizontal="center" vertical="center" wrapText="1"/>
    </xf>
    <xf numFmtId="0" fontId="76" fillId="0" borderId="7" xfId="3" applyFont="1" applyBorder="1" applyAlignment="1">
      <alignment horizontal="center" vertical="center" wrapText="1"/>
    </xf>
    <xf numFmtId="0" fontId="76" fillId="0" borderId="0" xfId="3" applyFont="1" applyAlignment="1">
      <alignment horizontal="center" vertical="center" wrapText="1"/>
    </xf>
    <xf numFmtId="0" fontId="76" fillId="0" borderId="12" xfId="3" applyFont="1" applyBorder="1" applyAlignment="1">
      <alignment horizontal="center" vertical="center" wrapText="1"/>
    </xf>
    <xf numFmtId="0" fontId="79" fillId="0" borderId="34" xfId="1" applyFont="1" applyBorder="1" applyAlignment="1" applyProtection="1">
      <alignment horizontal="left" vertical="center" wrapText="1"/>
      <protection locked="0"/>
    </xf>
    <xf numFmtId="0" fontId="79" fillId="0" borderId="33" xfId="1" applyFont="1" applyBorder="1" applyAlignment="1" applyProtection="1">
      <alignment horizontal="left" vertical="center" wrapText="1"/>
      <protection locked="0"/>
    </xf>
    <xf numFmtId="0" fontId="77" fillId="5" borderId="6" xfId="1" applyFont="1" applyFill="1" applyBorder="1" applyAlignment="1" applyProtection="1">
      <alignment horizontal="center" vertical="center" wrapText="1"/>
      <protection locked="0"/>
    </xf>
    <xf numFmtId="0" fontId="77" fillId="5" borderId="7" xfId="1" applyFont="1" applyFill="1" applyBorder="1" applyAlignment="1" applyProtection="1">
      <alignment horizontal="center" vertical="center" wrapText="1"/>
      <protection locked="0"/>
    </xf>
    <xf numFmtId="0" fontId="77" fillId="5" borderId="8" xfId="1" applyFont="1" applyFill="1" applyBorder="1" applyAlignment="1" applyProtection="1">
      <alignment horizontal="center" vertical="center" wrapText="1"/>
      <protection locked="0"/>
    </xf>
    <xf numFmtId="0" fontId="77" fillId="5" borderId="9" xfId="1" applyFont="1" applyFill="1" applyBorder="1" applyAlignment="1" applyProtection="1">
      <alignment horizontal="center" vertical="center" wrapText="1"/>
      <protection locked="0"/>
    </xf>
    <xf numFmtId="0" fontId="77" fillId="5" borderId="0" xfId="1" applyFont="1" applyFill="1" applyAlignment="1" applyProtection="1">
      <alignment horizontal="center" vertical="center" wrapText="1"/>
      <protection locked="0"/>
    </xf>
    <xf numFmtId="0" fontId="77" fillId="5" borderId="10" xfId="1" applyFont="1" applyFill="1" applyBorder="1" applyAlignment="1" applyProtection="1">
      <alignment horizontal="center" vertical="center" wrapText="1"/>
      <protection locked="0"/>
    </xf>
    <xf numFmtId="0" fontId="77" fillId="5" borderId="11" xfId="1" applyFont="1" applyFill="1" applyBorder="1" applyAlignment="1" applyProtection="1">
      <alignment horizontal="center" vertical="center" wrapText="1"/>
      <protection locked="0"/>
    </xf>
    <xf numFmtId="0" fontId="77" fillId="5" borderId="12" xfId="1" applyFont="1" applyFill="1" applyBorder="1" applyAlignment="1" applyProtection="1">
      <alignment horizontal="center" vertical="center" wrapText="1"/>
      <protection locked="0"/>
    </xf>
    <xf numFmtId="0" fontId="77" fillId="5" borderId="13" xfId="1" applyFont="1" applyFill="1" applyBorder="1" applyAlignment="1" applyProtection="1">
      <alignment horizontal="center" vertical="center" wrapText="1"/>
      <protection locked="0"/>
    </xf>
    <xf numFmtId="0" fontId="81" fillId="0" borderId="1" xfId="1" applyFont="1" applyBorder="1" applyAlignment="1" applyProtection="1">
      <alignment horizontal="left" vertical="center" wrapText="1"/>
      <protection locked="0"/>
    </xf>
    <xf numFmtId="0" fontId="81" fillId="0" borderId="39" xfId="1" applyFont="1" applyBorder="1" applyAlignment="1" applyProtection="1">
      <alignment horizontal="left" vertical="center" wrapText="1"/>
      <protection locked="0"/>
    </xf>
    <xf numFmtId="0" fontId="79" fillId="0" borderId="1" xfId="1" applyFont="1" applyBorder="1" applyAlignment="1" applyProtection="1">
      <alignment horizontal="left" vertical="center" wrapText="1"/>
      <protection locked="0"/>
    </xf>
    <xf numFmtId="0" fontId="79" fillId="0" borderId="39" xfId="1" applyFont="1" applyBorder="1" applyAlignment="1" applyProtection="1">
      <alignment horizontal="left" vertical="center" wrapText="1"/>
      <protection locked="0"/>
    </xf>
    <xf numFmtId="0" fontId="77" fillId="0" borderId="61" xfId="1" applyFont="1" applyBorder="1" applyAlignment="1" applyProtection="1">
      <alignment horizontal="center" vertical="center" wrapText="1"/>
      <protection locked="0"/>
    </xf>
    <xf numFmtId="0" fontId="77" fillId="0" borderId="21" xfId="1" applyFont="1" applyBorder="1" applyAlignment="1" applyProtection="1">
      <alignment horizontal="center" vertical="center" wrapText="1"/>
      <protection locked="0"/>
    </xf>
    <xf numFmtId="0" fontId="77" fillId="0" borderId="25" xfId="1" applyFont="1" applyBorder="1" applyAlignment="1" applyProtection="1">
      <alignment horizontal="center" vertical="center" wrapText="1"/>
      <protection locked="0"/>
    </xf>
    <xf numFmtId="0" fontId="79" fillId="5" borderId="54" xfId="0" applyFont="1" applyFill="1" applyBorder="1" applyAlignment="1" applyProtection="1">
      <alignment horizontal="left" vertical="center"/>
      <protection locked="0"/>
    </xf>
    <xf numFmtId="0" fontId="79" fillId="5" borderId="60" xfId="0" applyFont="1" applyFill="1" applyBorder="1" applyAlignment="1" applyProtection="1">
      <alignment horizontal="left" vertical="center"/>
      <protection locked="0"/>
    </xf>
    <xf numFmtId="0" fontId="79" fillId="5" borderId="55" xfId="0" applyFont="1" applyFill="1" applyBorder="1" applyAlignment="1" applyProtection="1">
      <alignment horizontal="left" vertical="center"/>
      <protection locked="0"/>
    </xf>
    <xf numFmtId="0" fontId="81" fillId="5" borderId="54" xfId="0" applyFont="1" applyFill="1" applyBorder="1" applyAlignment="1" applyProtection="1">
      <alignment horizontal="center" vertical="center" wrapText="1"/>
      <protection locked="0"/>
    </xf>
    <xf numFmtId="0" fontId="81" fillId="5" borderId="55" xfId="0" applyFont="1" applyFill="1" applyBorder="1" applyAlignment="1" applyProtection="1">
      <alignment horizontal="center" vertical="center" wrapText="1"/>
      <protection locked="0"/>
    </xf>
    <xf numFmtId="0" fontId="79" fillId="2" borderId="6" xfId="1" applyFont="1" applyFill="1" applyBorder="1" applyAlignment="1" applyProtection="1">
      <alignment horizontal="center" vertical="center" wrapText="1"/>
      <protection locked="0"/>
    </xf>
    <xf numFmtId="0" fontId="79" fillId="2" borderId="7" xfId="1" applyFont="1" applyFill="1" applyBorder="1" applyAlignment="1" applyProtection="1">
      <alignment horizontal="center" vertical="center" wrapText="1"/>
      <protection locked="0"/>
    </xf>
    <xf numFmtId="0" fontId="79" fillId="2" borderId="8" xfId="1" applyFont="1" applyFill="1" applyBorder="1" applyAlignment="1" applyProtection="1">
      <alignment horizontal="center" vertical="center" wrapText="1"/>
      <protection locked="0"/>
    </xf>
    <xf numFmtId="0" fontId="79" fillId="2" borderId="9" xfId="1" applyFont="1" applyFill="1" applyBorder="1" applyAlignment="1" applyProtection="1">
      <alignment horizontal="center" vertical="center" wrapText="1"/>
      <protection locked="0"/>
    </xf>
    <xf numFmtId="0" fontId="79" fillId="2" borderId="0" xfId="1" applyFont="1" applyFill="1" applyAlignment="1" applyProtection="1">
      <alignment horizontal="center" vertical="center" wrapText="1"/>
      <protection locked="0"/>
    </xf>
    <xf numFmtId="0" fontId="79" fillId="2" borderId="10" xfId="1" applyFont="1" applyFill="1" applyBorder="1" applyAlignment="1" applyProtection="1">
      <alignment horizontal="center" vertical="center" wrapText="1"/>
      <protection locked="0"/>
    </xf>
    <xf numFmtId="0" fontId="79" fillId="2" borderId="11" xfId="1" applyFont="1" applyFill="1" applyBorder="1" applyAlignment="1" applyProtection="1">
      <alignment horizontal="center" vertical="center" wrapText="1"/>
      <protection locked="0"/>
    </xf>
    <xf numFmtId="0" fontId="79" fillId="2" borderId="12" xfId="1" applyFont="1" applyFill="1" applyBorder="1" applyAlignment="1" applyProtection="1">
      <alignment horizontal="center" vertical="center" wrapText="1"/>
      <protection locked="0"/>
    </xf>
    <xf numFmtId="0" fontId="79" fillId="2" borderId="13" xfId="1" applyFont="1" applyFill="1" applyBorder="1" applyAlignment="1" applyProtection="1">
      <alignment horizontal="center" vertical="center" wrapText="1"/>
      <protection locked="0"/>
    </xf>
    <xf numFmtId="0" fontId="79" fillId="7" borderId="14" xfId="1" applyFont="1" applyFill="1" applyBorder="1" applyAlignment="1" applyProtection="1">
      <alignment horizontal="center" vertical="center"/>
      <protection locked="0"/>
    </xf>
    <xf numFmtId="0" fontId="79" fillId="7" borderId="23" xfId="1" applyFont="1" applyFill="1" applyBorder="1" applyAlignment="1" applyProtection="1">
      <alignment horizontal="center" vertical="center"/>
      <protection locked="0"/>
    </xf>
    <xf numFmtId="0" fontId="79" fillId="7" borderId="15" xfId="1" applyFont="1" applyFill="1" applyBorder="1" applyAlignment="1" applyProtection="1">
      <alignment horizontal="center" vertical="center"/>
      <protection locked="0"/>
    </xf>
    <xf numFmtId="0" fontId="77" fillId="0" borderId="6" xfId="1" applyFont="1" applyBorder="1" applyAlignment="1" applyProtection="1">
      <alignment horizontal="center" vertical="center" wrapText="1"/>
      <protection locked="0"/>
    </xf>
    <xf numFmtId="0" fontId="77" fillId="0" borderId="7" xfId="1" applyFont="1" applyBorder="1" applyAlignment="1" applyProtection="1">
      <alignment horizontal="center" vertical="center" wrapText="1"/>
      <protection locked="0"/>
    </xf>
    <xf numFmtId="0" fontId="77" fillId="0" borderId="8" xfId="1" applyFont="1" applyBorder="1" applyAlignment="1" applyProtection="1">
      <alignment horizontal="center" vertical="center" wrapText="1"/>
      <protection locked="0"/>
    </xf>
    <xf numFmtId="0" fontId="77" fillId="0" borderId="9" xfId="1" applyFont="1" applyBorder="1" applyAlignment="1" applyProtection="1">
      <alignment horizontal="center" vertical="center" wrapText="1"/>
      <protection locked="0"/>
    </xf>
    <xf numFmtId="0" fontId="77" fillId="0" borderId="0" xfId="1" applyFont="1" applyAlignment="1" applyProtection="1">
      <alignment horizontal="center" vertical="center" wrapText="1"/>
      <protection locked="0"/>
    </xf>
    <xf numFmtId="0" fontId="77" fillId="0" borderId="10" xfId="1" applyFont="1" applyBorder="1" applyAlignment="1" applyProtection="1">
      <alignment horizontal="center" vertical="center" wrapText="1"/>
      <protection locked="0"/>
    </xf>
    <xf numFmtId="0" fontId="77" fillId="0" borderId="11" xfId="1" applyFont="1" applyBorder="1" applyAlignment="1" applyProtection="1">
      <alignment horizontal="center" vertical="center" wrapText="1"/>
      <protection locked="0"/>
    </xf>
    <xf numFmtId="0" fontId="77" fillId="0" borderId="12" xfId="1" applyFont="1" applyBorder="1" applyAlignment="1" applyProtection="1">
      <alignment horizontal="center" vertical="center" wrapText="1"/>
      <protection locked="0"/>
    </xf>
    <xf numFmtId="0" fontId="77" fillId="0" borderId="13" xfId="1" applyFont="1" applyBorder="1" applyAlignment="1" applyProtection="1">
      <alignment horizontal="center" vertical="center" wrapText="1"/>
      <protection locked="0"/>
    </xf>
    <xf numFmtId="0" fontId="77" fillId="0" borderId="38" xfId="1" applyFont="1" applyBorder="1" applyAlignment="1" applyProtection="1">
      <alignment horizontal="center" vertical="center" wrapText="1"/>
      <protection locked="0"/>
    </xf>
    <xf numFmtId="0" fontId="77" fillId="0" borderId="1" xfId="1" applyFont="1" applyBorder="1" applyAlignment="1" applyProtection="1">
      <alignment horizontal="center" vertical="center" wrapText="1"/>
      <protection locked="0"/>
    </xf>
    <xf numFmtId="0" fontId="77" fillId="0" borderId="39" xfId="1" applyFont="1" applyBorder="1" applyAlignment="1" applyProtection="1">
      <alignment horizontal="center" vertical="center" wrapText="1"/>
      <protection locked="0"/>
    </xf>
    <xf numFmtId="0" fontId="81" fillId="0" borderId="57" xfId="1" applyFont="1" applyBorder="1" applyAlignment="1" applyProtection="1">
      <alignment horizontal="center" vertical="center" wrapText="1"/>
      <protection locked="0"/>
    </xf>
    <xf numFmtId="0" fontId="81" fillId="0" borderId="26" xfId="1" applyFont="1" applyBorder="1" applyAlignment="1" applyProtection="1">
      <alignment horizontal="center" vertical="center" wrapText="1"/>
      <protection locked="0"/>
    </xf>
    <xf numFmtId="0" fontId="81" fillId="0" borderId="58" xfId="1" applyFont="1" applyBorder="1" applyAlignment="1" applyProtection="1">
      <alignment horizontal="center" vertical="center" wrapText="1"/>
      <protection locked="0"/>
    </xf>
    <xf numFmtId="0" fontId="81" fillId="0" borderId="9" xfId="1" applyFont="1" applyBorder="1" applyAlignment="1" applyProtection="1">
      <alignment horizontal="center" vertical="center" wrapText="1"/>
      <protection locked="0"/>
    </xf>
    <xf numFmtId="0" fontId="81" fillId="0" borderId="0" xfId="1" applyFont="1" applyAlignment="1" applyProtection="1">
      <alignment horizontal="center" vertical="center" wrapText="1"/>
      <protection locked="0"/>
    </xf>
    <xf numFmtId="0" fontId="81" fillId="0" borderId="10" xfId="1" applyFont="1" applyBorder="1" applyAlignment="1" applyProtection="1">
      <alignment horizontal="center" vertical="center" wrapText="1"/>
      <protection locked="0"/>
    </xf>
    <xf numFmtId="0" fontId="81" fillId="0" borderId="11" xfId="1" applyFont="1" applyBorder="1" applyAlignment="1" applyProtection="1">
      <alignment horizontal="center" vertical="center" wrapText="1"/>
      <protection locked="0"/>
    </xf>
    <xf numFmtId="0" fontId="81" fillId="0" borderId="12" xfId="1" applyFont="1" applyBorder="1" applyAlignment="1" applyProtection="1">
      <alignment horizontal="center" vertical="center" wrapText="1"/>
      <protection locked="0"/>
    </xf>
    <xf numFmtId="0" fontId="81" fillId="0" borderId="13" xfId="1" applyFont="1" applyBorder="1" applyAlignment="1" applyProtection="1">
      <alignment horizontal="center" vertical="center" wrapText="1"/>
      <protection locked="0"/>
    </xf>
    <xf numFmtId="0" fontId="81" fillId="0" borderId="22" xfId="1" applyFont="1" applyBorder="1" applyAlignment="1" applyProtection="1">
      <alignment horizontal="left" vertical="center" wrapText="1"/>
      <protection locked="0"/>
    </xf>
    <xf numFmtId="0" fontId="81" fillId="0" borderId="50" xfId="1" applyFont="1" applyBorder="1" applyAlignment="1" applyProtection="1">
      <alignment horizontal="left" vertical="center" wrapText="1"/>
      <protection locked="0"/>
    </xf>
    <xf numFmtId="0" fontId="84" fillId="0" borderId="1" xfId="2" applyFont="1" applyBorder="1" applyAlignment="1">
      <alignment horizontal="left" vertical="center" wrapText="1"/>
    </xf>
    <xf numFmtId="0" fontId="72" fillId="0" borderId="1" xfId="1" applyFont="1" applyBorder="1" applyAlignment="1">
      <alignment horizontal="left" vertical="center" wrapText="1"/>
    </xf>
    <xf numFmtId="0" fontId="72" fillId="0" borderId="39" xfId="1" applyFont="1" applyBorder="1" applyAlignment="1">
      <alignment horizontal="left" vertical="center" wrapText="1"/>
    </xf>
    <xf numFmtId="1" fontId="72" fillId="0" borderId="43" xfId="1" quotePrefix="1" applyNumberFormat="1" applyFont="1" applyBorder="1" applyAlignment="1">
      <alignment horizontal="left" vertical="center" wrapText="1"/>
    </xf>
    <xf numFmtId="1" fontId="72" fillId="0" borderId="43" xfId="1" applyNumberFormat="1" applyFont="1" applyBorder="1" applyAlignment="1">
      <alignment horizontal="left" vertical="center" wrapText="1"/>
    </xf>
    <xf numFmtId="1" fontId="72" fillId="0" borderId="44" xfId="1" applyNumberFormat="1" applyFont="1" applyBorder="1" applyAlignment="1">
      <alignment horizontal="left" vertical="center" wrapText="1"/>
    </xf>
    <xf numFmtId="0" fontId="81" fillId="0" borderId="38" xfId="1" applyFont="1" applyBorder="1" applyAlignment="1" applyProtection="1">
      <alignment horizontal="center" vertical="center" wrapText="1"/>
      <protection locked="0"/>
    </xf>
    <xf numFmtId="0" fontId="81" fillId="0" borderId="1" xfId="1" applyFont="1" applyBorder="1" applyAlignment="1" applyProtection="1">
      <alignment horizontal="center" vertical="center" wrapText="1"/>
      <protection locked="0"/>
    </xf>
    <xf numFmtId="0" fontId="81" fillId="0" borderId="2" xfId="1" applyFont="1" applyBorder="1" applyAlignment="1" applyProtection="1">
      <alignment horizontal="center" vertical="center" wrapText="1"/>
      <protection locked="0"/>
    </xf>
    <xf numFmtId="0" fontId="79" fillId="5" borderId="35" xfId="0" applyFont="1" applyFill="1" applyBorder="1" applyAlignment="1" applyProtection="1">
      <alignment horizontal="left" vertical="center"/>
      <protection locked="0"/>
    </xf>
    <xf numFmtId="0" fontId="79" fillId="5" borderId="37" xfId="0" applyFont="1" applyFill="1" applyBorder="1" applyAlignment="1" applyProtection="1">
      <alignment horizontal="left" vertical="center"/>
      <protection locked="0"/>
    </xf>
    <xf numFmtId="0" fontId="79" fillId="5" borderId="36" xfId="0" applyFont="1" applyFill="1" applyBorder="1" applyAlignment="1" applyProtection="1">
      <alignment horizontal="left" vertical="center"/>
      <protection locked="0"/>
    </xf>
    <xf numFmtId="1" fontId="81" fillId="5" borderId="35" xfId="0" applyNumberFormat="1" applyFont="1" applyFill="1" applyBorder="1" applyAlignment="1" applyProtection="1">
      <alignment horizontal="center" vertical="center"/>
      <protection locked="0"/>
    </xf>
    <xf numFmtId="1" fontId="81" fillId="5" borderId="36" xfId="0" applyNumberFormat="1" applyFont="1" applyFill="1" applyBorder="1" applyAlignment="1" applyProtection="1">
      <alignment horizontal="center" vertical="center"/>
      <protection locked="0"/>
    </xf>
    <xf numFmtId="2" fontId="81" fillId="5" borderId="35" xfId="0" applyNumberFormat="1" applyFont="1" applyFill="1" applyBorder="1" applyAlignment="1" applyProtection="1">
      <alignment horizontal="center" vertical="center"/>
      <protection locked="0"/>
    </xf>
    <xf numFmtId="2" fontId="81" fillId="5" borderId="36" xfId="0" applyNumberFormat="1" applyFont="1" applyFill="1" applyBorder="1" applyAlignment="1" applyProtection="1">
      <alignment horizontal="center" vertical="center"/>
      <protection locked="0"/>
    </xf>
    <xf numFmtId="0" fontId="79" fillId="5" borderId="40" xfId="0" applyFont="1" applyFill="1" applyBorder="1" applyAlignment="1" applyProtection="1">
      <alignment horizontal="left" vertical="center"/>
      <protection locked="0"/>
    </xf>
    <xf numFmtId="0" fontId="79" fillId="5" borderId="62" xfId="0" applyFont="1" applyFill="1" applyBorder="1" applyAlignment="1" applyProtection="1">
      <alignment horizontal="left" vertical="center"/>
      <protection locked="0"/>
    </xf>
    <xf numFmtId="0" fontId="79" fillId="5" borderId="41" xfId="0" applyFont="1" applyFill="1" applyBorder="1" applyAlignment="1" applyProtection="1">
      <alignment horizontal="left" vertical="center"/>
      <protection locked="0"/>
    </xf>
    <xf numFmtId="2" fontId="81" fillId="5" borderId="40" xfId="0" applyNumberFormat="1" applyFont="1" applyFill="1" applyBorder="1" applyAlignment="1" applyProtection="1">
      <alignment horizontal="center" vertical="center"/>
      <protection locked="0"/>
    </xf>
    <xf numFmtId="2" fontId="81" fillId="5" borderId="41" xfId="0" applyNumberFormat="1" applyFont="1" applyFill="1" applyBorder="1" applyAlignment="1" applyProtection="1">
      <alignment horizontal="center" vertical="center"/>
      <protection locked="0"/>
    </xf>
    <xf numFmtId="0" fontId="79" fillId="7" borderId="9" xfId="1" applyFont="1" applyFill="1" applyBorder="1" applyAlignment="1" applyProtection="1">
      <alignment horizontal="center" vertical="center"/>
      <protection locked="0"/>
    </xf>
    <xf numFmtId="0" fontId="79" fillId="7" borderId="7" xfId="1" applyFont="1" applyFill="1" applyBorder="1" applyAlignment="1" applyProtection="1">
      <alignment horizontal="center" vertical="center"/>
      <protection locked="0"/>
    </xf>
    <xf numFmtId="0" fontId="79" fillId="7" borderId="8" xfId="1" applyFont="1" applyFill="1" applyBorder="1" applyAlignment="1" applyProtection="1">
      <alignment horizontal="center" vertical="center"/>
      <protection locked="0"/>
    </xf>
    <xf numFmtId="0" fontId="77" fillId="0" borderId="32" xfId="1" applyFont="1" applyBorder="1" applyAlignment="1" applyProtection="1">
      <alignment horizontal="center" vertical="center" wrapText="1"/>
      <protection locked="0"/>
    </xf>
    <xf numFmtId="0" fontId="77" fillId="0" borderId="34" xfId="1" applyFont="1" applyBorder="1" applyAlignment="1" applyProtection="1">
      <alignment horizontal="center" vertical="center" wrapText="1"/>
      <protection locked="0"/>
    </xf>
    <xf numFmtId="0" fontId="77" fillId="0" borderId="53" xfId="1" applyFont="1" applyBorder="1" applyAlignment="1" applyProtection="1">
      <alignment horizontal="center" vertical="center" wrapText="1"/>
      <protection locked="0"/>
    </xf>
    <xf numFmtId="0" fontId="79" fillId="5" borderId="54" xfId="0" applyFont="1" applyFill="1" applyBorder="1" applyAlignment="1" applyProtection="1">
      <alignment horizontal="left" vertical="center" wrapText="1"/>
      <protection locked="0"/>
    </xf>
    <xf numFmtId="0" fontId="79" fillId="5" borderId="60" xfId="0" applyFont="1" applyFill="1" applyBorder="1" applyAlignment="1" applyProtection="1">
      <alignment horizontal="left" vertical="center" wrapText="1"/>
      <protection locked="0"/>
    </xf>
    <xf numFmtId="0" fontId="81" fillId="0" borderId="14" xfId="1" applyFont="1" applyBorder="1" applyAlignment="1" applyProtection="1">
      <alignment horizontal="center" vertical="center"/>
      <protection locked="0"/>
    </xf>
    <xf numFmtId="0" fontId="81" fillId="0" borderId="15" xfId="1" applyFont="1" applyBorder="1" applyAlignment="1" applyProtection="1">
      <alignment horizontal="center" vertical="center"/>
      <protection locked="0"/>
    </xf>
    <xf numFmtId="0" fontId="79" fillId="5" borderId="14" xfId="0" applyFont="1" applyFill="1" applyBorder="1" applyAlignment="1" applyProtection="1">
      <alignment horizontal="left" vertical="center" wrapText="1"/>
      <protection locked="0"/>
    </xf>
    <xf numFmtId="0" fontId="79" fillId="5" borderId="23" xfId="0" applyFont="1" applyFill="1" applyBorder="1" applyAlignment="1" applyProtection="1">
      <alignment horizontal="left" vertical="center" wrapText="1"/>
      <protection locked="0"/>
    </xf>
    <xf numFmtId="0" fontId="81" fillId="0" borderId="11" xfId="1" applyFont="1" applyBorder="1" applyAlignment="1" applyProtection="1">
      <alignment horizontal="center" vertical="center"/>
      <protection locked="0"/>
    </xf>
    <xf numFmtId="0" fontId="81" fillId="0" borderId="13" xfId="1" applyFont="1" applyBorder="1" applyAlignment="1" applyProtection="1">
      <alignment horizontal="center" vertical="center"/>
      <protection locked="0"/>
    </xf>
    <xf numFmtId="0" fontId="81" fillId="5" borderId="35" xfId="0" applyFont="1" applyFill="1" applyBorder="1" applyAlignment="1" applyProtection="1">
      <alignment horizontal="center" vertical="center" wrapText="1"/>
      <protection locked="0"/>
    </xf>
    <xf numFmtId="0" fontId="81" fillId="5" borderId="36" xfId="0" applyFont="1" applyFill="1" applyBorder="1" applyAlignment="1" applyProtection="1">
      <alignment horizontal="center" vertical="center" wrapText="1"/>
      <protection locked="0"/>
    </xf>
    <xf numFmtId="0" fontId="82" fillId="0" borderId="9" xfId="1" applyFont="1" applyBorder="1" applyAlignment="1" applyProtection="1">
      <alignment horizontal="center" vertical="center" wrapText="1"/>
      <protection locked="0"/>
    </xf>
    <xf numFmtId="0" fontId="82" fillId="0" borderId="0" xfId="1" applyFont="1" applyAlignment="1" applyProtection="1">
      <alignment horizontal="center" vertical="center" wrapText="1"/>
      <protection locked="0"/>
    </xf>
    <xf numFmtId="0" fontId="82" fillId="0" borderId="10" xfId="1" applyFont="1" applyBorder="1" applyAlignment="1" applyProtection="1">
      <alignment horizontal="center" vertical="center" wrapText="1"/>
      <protection locked="0"/>
    </xf>
    <xf numFmtId="0" fontId="82" fillId="0" borderId="11" xfId="1" applyFont="1" applyBorder="1" applyAlignment="1" applyProtection="1">
      <alignment horizontal="center" vertical="center" wrapText="1"/>
      <protection locked="0"/>
    </xf>
    <xf numFmtId="0" fontId="82" fillId="0" borderId="12" xfId="1" applyFont="1" applyBorder="1" applyAlignment="1" applyProtection="1">
      <alignment horizontal="center" vertical="center" wrapText="1"/>
      <protection locked="0"/>
    </xf>
    <xf numFmtId="0" fontId="82" fillId="0" borderId="13" xfId="1" applyFont="1" applyBorder="1" applyAlignment="1" applyProtection="1">
      <alignment horizontal="center" vertical="center" wrapText="1"/>
      <protection locked="0"/>
    </xf>
    <xf numFmtId="0" fontId="79" fillId="2" borderId="40" xfId="0" applyFont="1" applyFill="1" applyBorder="1" applyAlignment="1" applyProtection="1">
      <alignment horizontal="left" vertical="center"/>
      <protection locked="0"/>
    </xf>
    <xf numFmtId="0" fontId="79" fillId="2" borderId="62" xfId="0" applyFont="1" applyFill="1" applyBorder="1" applyAlignment="1" applyProtection="1">
      <alignment horizontal="left" vertical="center"/>
      <protection locked="0"/>
    </xf>
    <xf numFmtId="0" fontId="79" fillId="2" borderId="41" xfId="0" applyFont="1" applyFill="1" applyBorder="1" applyAlignment="1" applyProtection="1">
      <alignment horizontal="left" vertical="center"/>
      <protection locked="0"/>
    </xf>
    <xf numFmtId="2" fontId="79" fillId="2" borderId="14" xfId="0" applyNumberFormat="1" applyFont="1" applyFill="1" applyBorder="1" applyAlignment="1" applyProtection="1">
      <alignment horizontal="center" vertical="center"/>
      <protection locked="0"/>
    </xf>
    <xf numFmtId="2" fontId="79" fillId="2" borderId="15" xfId="0" applyNumberFormat="1" applyFont="1" applyFill="1" applyBorder="1" applyAlignment="1" applyProtection="1">
      <alignment horizontal="center" vertical="center"/>
      <protection locked="0"/>
    </xf>
    <xf numFmtId="0" fontId="79" fillId="5" borderId="14" xfId="0" applyFont="1" applyFill="1" applyBorder="1" applyAlignment="1" applyProtection="1">
      <alignment horizontal="left" vertical="center"/>
      <protection locked="0"/>
    </xf>
    <xf numFmtId="0" fontId="79" fillId="5" borderId="23" xfId="0" applyFont="1" applyFill="1" applyBorder="1" applyAlignment="1" applyProtection="1">
      <alignment horizontal="left" vertical="center"/>
      <protection locked="0"/>
    </xf>
    <xf numFmtId="0" fontId="79" fillId="5" borderId="15" xfId="0" applyFont="1" applyFill="1" applyBorder="1" applyAlignment="1" applyProtection="1">
      <alignment horizontal="left" vertical="center"/>
      <protection locked="0"/>
    </xf>
    <xf numFmtId="2" fontId="81" fillId="5" borderId="14" xfId="0" applyNumberFormat="1" applyFont="1" applyFill="1" applyBorder="1" applyAlignment="1" applyProtection="1">
      <alignment horizontal="center" vertical="center"/>
      <protection locked="0"/>
    </xf>
    <xf numFmtId="2" fontId="81" fillId="5" borderId="15" xfId="0" applyNumberFormat="1" applyFont="1" applyFill="1" applyBorder="1" applyAlignment="1" applyProtection="1">
      <alignment horizontal="center" vertical="center"/>
      <protection locked="0"/>
    </xf>
    <xf numFmtId="0" fontId="79" fillId="0" borderId="26" xfId="1" applyFont="1" applyBorder="1" applyAlignment="1" applyProtection="1">
      <alignment horizontal="center" vertical="center"/>
      <protection locked="0"/>
    </xf>
    <xf numFmtId="0" fontId="79" fillId="0" borderId="58" xfId="1" applyFont="1" applyBorder="1" applyAlignment="1" applyProtection="1">
      <alignment horizontal="center" vertical="center"/>
      <protection locked="0"/>
    </xf>
    <xf numFmtId="0" fontId="79" fillId="0" borderId="0" xfId="1" applyFont="1" applyAlignment="1" applyProtection="1">
      <alignment horizontal="center" vertical="center"/>
      <protection locked="0"/>
    </xf>
    <xf numFmtId="0" fontId="79" fillId="0" borderId="10" xfId="1" applyFont="1" applyBorder="1" applyAlignment="1" applyProtection="1">
      <alignment horizontal="center" vertical="center"/>
      <protection locked="0"/>
    </xf>
    <xf numFmtId="0" fontId="79" fillId="0" borderId="12" xfId="1" applyFont="1" applyBorder="1" applyAlignment="1" applyProtection="1">
      <alignment horizontal="center" vertical="center"/>
      <protection locked="0"/>
    </xf>
    <xf numFmtId="0" fontId="79" fillId="0" borderId="13" xfId="1" applyFont="1" applyBorder="1" applyAlignment="1" applyProtection="1">
      <alignment horizontal="center" vertical="center"/>
      <protection locked="0"/>
    </xf>
    <xf numFmtId="0" fontId="79" fillId="2" borderId="57" xfId="1" applyFont="1" applyFill="1" applyBorder="1" applyAlignment="1" applyProtection="1">
      <alignment horizontal="center" vertical="center" wrapText="1"/>
      <protection locked="0"/>
    </xf>
    <xf numFmtId="0" fontId="79" fillId="2" borderId="58" xfId="1" applyFont="1" applyFill="1" applyBorder="1" applyAlignment="1" applyProtection="1">
      <alignment horizontal="center" vertical="center"/>
      <protection locked="0"/>
    </xf>
    <xf numFmtId="0" fontId="79" fillId="2" borderId="9" xfId="1" applyFont="1" applyFill="1" applyBorder="1" applyAlignment="1" applyProtection="1">
      <alignment horizontal="center" vertical="center"/>
      <protection locked="0"/>
    </xf>
    <xf numFmtId="0" fontId="79" fillId="2" borderId="10" xfId="1" applyFont="1" applyFill="1" applyBorder="1" applyAlignment="1" applyProtection="1">
      <alignment horizontal="center" vertical="center"/>
      <protection locked="0"/>
    </xf>
    <xf numFmtId="0" fontId="79" fillId="2" borderId="11" xfId="1" applyFont="1" applyFill="1" applyBorder="1" applyAlignment="1" applyProtection="1">
      <alignment horizontal="center" vertical="center"/>
      <protection locked="0"/>
    </xf>
    <xf numFmtId="0" fontId="79" fillId="2" borderId="13" xfId="1" applyFont="1" applyFill="1" applyBorder="1" applyAlignment="1" applyProtection="1">
      <alignment horizontal="center" vertical="center"/>
      <protection locked="0"/>
    </xf>
    <xf numFmtId="0" fontId="83" fillId="5" borderId="67" xfId="1" applyFont="1" applyFill="1" applyBorder="1" applyAlignment="1" applyProtection="1">
      <alignment horizontal="left" vertical="center"/>
      <protection locked="0"/>
    </xf>
    <xf numFmtId="0" fontId="83" fillId="5" borderId="68" xfId="1" applyFont="1" applyFill="1" applyBorder="1" applyAlignment="1" applyProtection="1">
      <alignment horizontal="left" vertical="center"/>
      <protection locked="0"/>
    </xf>
    <xf numFmtId="0" fontId="77" fillId="9" borderId="48" xfId="1" applyFont="1" applyFill="1" applyBorder="1" applyAlignment="1" applyProtection="1">
      <alignment horizontal="center" vertical="center"/>
      <protection locked="0"/>
    </xf>
    <xf numFmtId="0" fontId="77" fillId="9" borderId="33" xfId="1" applyFont="1" applyFill="1" applyBorder="1" applyAlignment="1" applyProtection="1">
      <alignment horizontal="center" vertical="center"/>
      <protection locked="0"/>
    </xf>
    <xf numFmtId="0" fontId="80" fillId="9" borderId="37" xfId="1" applyFont="1" applyFill="1" applyBorder="1" applyAlignment="1" applyProtection="1">
      <alignment horizontal="center" vertical="center"/>
      <protection locked="0"/>
    </xf>
    <xf numFmtId="0" fontId="80" fillId="9" borderId="36" xfId="1" applyFont="1" applyFill="1" applyBorder="1" applyAlignment="1" applyProtection="1">
      <alignment horizontal="center" vertical="center"/>
      <protection locked="0"/>
    </xf>
    <xf numFmtId="0" fontId="88" fillId="0" borderId="35" xfId="1" applyFont="1" applyBorder="1" applyAlignment="1" applyProtection="1">
      <alignment horizontal="center" vertical="center"/>
      <protection locked="0"/>
    </xf>
    <xf numFmtId="0" fontId="88" fillId="0" borderId="36" xfId="1" applyFont="1" applyBorder="1" applyAlignment="1" applyProtection="1">
      <alignment horizontal="center" vertical="center"/>
      <protection locked="0"/>
    </xf>
    <xf numFmtId="0" fontId="83" fillId="0" borderId="35" xfId="1" applyFont="1" applyBorder="1" applyAlignment="1" applyProtection="1">
      <alignment horizontal="center" vertical="center"/>
      <protection locked="0"/>
    </xf>
    <xf numFmtId="0" fontId="83" fillId="0" borderId="36" xfId="1" applyFont="1" applyBorder="1" applyAlignment="1" applyProtection="1">
      <alignment horizontal="center" vertical="center"/>
      <protection locked="0"/>
    </xf>
    <xf numFmtId="0" fontId="80" fillId="8" borderId="35" xfId="1" applyFont="1" applyFill="1" applyBorder="1" applyAlignment="1" applyProtection="1">
      <alignment horizontal="center" vertical="center"/>
      <protection locked="0"/>
    </xf>
    <xf numFmtId="0" fontId="80" fillId="8" borderId="36" xfId="1" applyFont="1" applyFill="1" applyBorder="1" applyAlignment="1" applyProtection="1">
      <alignment horizontal="center" vertical="center"/>
      <protection locked="0"/>
    </xf>
    <xf numFmtId="0" fontId="80" fillId="0" borderId="35" xfId="1" applyFont="1" applyBorder="1" applyAlignment="1" applyProtection="1">
      <alignment horizontal="center" vertical="center"/>
      <protection locked="0"/>
    </xf>
    <xf numFmtId="0" fontId="80" fillId="0" borderId="36" xfId="1" applyFont="1" applyBorder="1" applyAlignment="1" applyProtection="1">
      <alignment horizontal="center" vertical="center"/>
      <protection locked="0"/>
    </xf>
    <xf numFmtId="0" fontId="86" fillId="12" borderId="35" xfId="1" applyFont="1" applyFill="1" applyBorder="1" applyAlignment="1" applyProtection="1">
      <alignment horizontal="center" vertical="center"/>
      <protection locked="0"/>
    </xf>
    <xf numFmtId="0" fontId="86" fillId="12" borderId="36" xfId="1" applyFont="1" applyFill="1" applyBorder="1" applyAlignment="1" applyProtection="1">
      <alignment horizontal="center" vertical="center"/>
      <protection locked="0"/>
    </xf>
    <xf numFmtId="0" fontId="83" fillId="0" borderId="35" xfId="1" applyFont="1" applyBorder="1" applyAlignment="1" applyProtection="1">
      <alignment horizontal="left" vertical="center"/>
      <protection locked="0"/>
    </xf>
    <xf numFmtId="0" fontId="83" fillId="0" borderId="36" xfId="1" applyFont="1" applyBorder="1" applyAlignment="1" applyProtection="1">
      <alignment horizontal="left" vertical="center"/>
      <protection locked="0"/>
    </xf>
    <xf numFmtId="0" fontId="77" fillId="5" borderId="40" xfId="1" applyFont="1" applyFill="1" applyBorder="1" applyAlignment="1" applyProtection="1">
      <alignment horizontal="center" vertical="center"/>
      <protection locked="0"/>
    </xf>
    <xf numFmtId="0" fontId="77" fillId="5" borderId="41" xfId="1" applyFont="1" applyFill="1" applyBorder="1" applyAlignment="1" applyProtection="1">
      <alignment horizontal="center" vertical="center"/>
      <protection locked="0"/>
    </xf>
    <xf numFmtId="0" fontId="80" fillId="8" borderId="40" xfId="1" applyFont="1" applyFill="1" applyBorder="1" applyAlignment="1" applyProtection="1">
      <alignment horizontal="center" vertical="center"/>
      <protection locked="0"/>
    </xf>
    <xf numFmtId="0" fontId="80" fillId="8" borderId="41" xfId="1" applyFont="1" applyFill="1" applyBorder="1" applyAlignment="1" applyProtection="1">
      <alignment horizontal="center" vertical="center"/>
      <protection locked="0"/>
    </xf>
    <xf numFmtId="0" fontId="80" fillId="5" borderId="6" xfId="1" applyFont="1" applyFill="1" applyBorder="1" applyAlignment="1" applyProtection="1">
      <alignment horizontal="center" vertical="center"/>
      <protection locked="0"/>
    </xf>
    <xf numFmtId="0" fontId="80" fillId="5" borderId="7" xfId="1" applyFont="1" applyFill="1" applyBorder="1" applyAlignment="1" applyProtection="1">
      <alignment horizontal="center" vertical="center"/>
      <protection locked="0"/>
    </xf>
    <xf numFmtId="0" fontId="80" fillId="5" borderId="8" xfId="1" applyFont="1" applyFill="1" applyBorder="1" applyAlignment="1" applyProtection="1">
      <alignment horizontal="center" vertical="center"/>
      <protection locked="0"/>
    </xf>
    <xf numFmtId="0" fontId="80" fillId="5" borderId="9" xfId="1" applyFont="1" applyFill="1" applyBorder="1" applyAlignment="1" applyProtection="1">
      <alignment horizontal="center" vertical="center"/>
      <protection locked="0"/>
    </xf>
    <xf numFmtId="0" fontId="80" fillId="5" borderId="0" xfId="1" applyFont="1" applyFill="1" applyAlignment="1" applyProtection="1">
      <alignment horizontal="center" vertical="center"/>
      <protection locked="0"/>
    </xf>
    <xf numFmtId="0" fontId="80" fillId="5" borderId="10" xfId="1" applyFont="1" applyFill="1" applyBorder="1" applyAlignment="1" applyProtection="1">
      <alignment horizontal="center" vertical="center"/>
      <protection locked="0"/>
    </xf>
    <xf numFmtId="0" fontId="80" fillId="5" borderId="11" xfId="1" applyFont="1" applyFill="1" applyBorder="1" applyAlignment="1" applyProtection="1">
      <alignment horizontal="center" vertical="center"/>
      <protection locked="0"/>
    </xf>
    <xf numFmtId="0" fontId="80" fillId="5" borderId="12" xfId="1" applyFont="1" applyFill="1" applyBorder="1" applyAlignment="1" applyProtection="1">
      <alignment horizontal="center" vertical="center"/>
      <protection locked="0"/>
    </xf>
    <xf numFmtId="0" fontId="80" fillId="5" borderId="13" xfId="1" applyFont="1" applyFill="1" applyBorder="1" applyAlignment="1" applyProtection="1">
      <alignment horizontal="center" vertical="center"/>
      <protection locked="0"/>
    </xf>
    <xf numFmtId="0" fontId="79" fillId="0" borderId="6" xfId="1" applyFont="1" applyBorder="1" applyAlignment="1" applyProtection="1">
      <alignment horizontal="center" vertical="center"/>
      <protection locked="0"/>
    </xf>
    <xf numFmtId="0" fontId="79" fillId="0" borderId="7" xfId="1" applyFont="1" applyBorder="1" applyAlignment="1" applyProtection="1">
      <alignment horizontal="center" vertical="center"/>
      <protection locked="0"/>
    </xf>
    <xf numFmtId="0" fontId="79" fillId="0" borderId="8" xfId="1" applyFont="1" applyBorder="1" applyAlignment="1" applyProtection="1">
      <alignment horizontal="center" vertical="center"/>
      <protection locked="0"/>
    </xf>
    <xf numFmtId="0" fontId="79" fillId="0" borderId="9" xfId="1" applyFont="1" applyBorder="1" applyAlignment="1" applyProtection="1">
      <alignment horizontal="center" vertical="center"/>
      <protection locked="0"/>
    </xf>
    <xf numFmtId="0" fontId="79" fillId="0" borderId="11" xfId="1" applyFont="1" applyBorder="1" applyAlignment="1" applyProtection="1">
      <alignment horizontal="center" vertical="center"/>
      <protection locked="0"/>
    </xf>
    <xf numFmtId="0" fontId="86" fillId="12" borderId="54" xfId="1" applyFont="1" applyFill="1" applyBorder="1" applyAlignment="1" applyProtection="1">
      <alignment horizontal="center" vertical="center"/>
      <protection locked="0"/>
    </xf>
    <xf numFmtId="0" fontId="86" fillId="12" borderId="55" xfId="1" applyFont="1" applyFill="1" applyBorder="1" applyAlignment="1" applyProtection="1">
      <alignment horizontal="center" vertical="center"/>
      <protection locked="0"/>
    </xf>
    <xf numFmtId="0" fontId="80" fillId="8" borderId="57" xfId="1" applyFont="1" applyFill="1" applyBorder="1" applyAlignment="1" applyProtection="1">
      <alignment horizontal="center" vertical="center"/>
      <protection locked="0"/>
    </xf>
    <xf numFmtId="0" fontId="80" fillId="8" borderId="58" xfId="1" applyFont="1" applyFill="1" applyBorder="1" applyAlignment="1" applyProtection="1">
      <alignment horizontal="center" vertical="center"/>
      <protection locked="0"/>
    </xf>
    <xf numFmtId="0" fontId="80" fillId="8" borderId="67" xfId="1" applyFont="1" applyFill="1" applyBorder="1" applyAlignment="1" applyProtection="1">
      <alignment horizontal="center" vertical="center"/>
      <protection locked="0"/>
    </xf>
    <xf numFmtId="0" fontId="80" fillId="8" borderId="68" xfId="1" applyFont="1" applyFill="1" applyBorder="1" applyAlignment="1" applyProtection="1">
      <alignment horizontal="center" vertical="center"/>
      <protection locked="0"/>
    </xf>
    <xf numFmtId="0" fontId="81" fillId="0" borderId="53" xfId="1" applyFont="1" applyBorder="1" applyAlignment="1" applyProtection="1">
      <alignment horizontal="left" vertical="center"/>
      <protection locked="0"/>
    </xf>
    <xf numFmtId="0" fontId="81" fillId="0" borderId="48" xfId="1" applyFont="1" applyBorder="1" applyAlignment="1" applyProtection="1">
      <alignment horizontal="left" vertical="center"/>
      <protection locked="0"/>
    </xf>
    <xf numFmtId="0" fontId="79" fillId="5" borderId="71" xfId="1" applyFont="1" applyFill="1" applyBorder="1" applyAlignment="1" applyProtection="1">
      <alignment horizontal="left" vertical="center"/>
      <protection locked="0"/>
    </xf>
    <xf numFmtId="0" fontId="79" fillId="5" borderId="51" xfId="1" applyFont="1" applyFill="1" applyBorder="1" applyAlignment="1" applyProtection="1">
      <alignment horizontal="left" vertical="center"/>
      <protection locked="0"/>
    </xf>
    <xf numFmtId="0" fontId="81" fillId="0" borderId="2" xfId="1" applyFont="1" applyBorder="1" applyAlignment="1" applyProtection="1">
      <alignment horizontal="left" vertical="center"/>
      <protection locked="0"/>
    </xf>
    <xf numFmtId="0" fontId="81" fillId="0" borderId="3" xfId="1" applyFont="1" applyBorder="1" applyAlignment="1" applyProtection="1">
      <alignment horizontal="left" vertical="center"/>
      <protection locked="0"/>
    </xf>
    <xf numFmtId="0" fontId="77" fillId="13" borderId="14" xfId="1" applyFont="1" applyFill="1" applyBorder="1" applyAlignment="1" applyProtection="1">
      <alignment horizontal="center" vertical="center"/>
      <protection locked="0"/>
    </xf>
    <xf numFmtId="0" fontId="77" fillId="13" borderId="23" xfId="1" applyFont="1" applyFill="1" applyBorder="1" applyAlignment="1" applyProtection="1">
      <alignment horizontal="center" vertical="center"/>
      <protection locked="0"/>
    </xf>
    <xf numFmtId="0" fontId="77" fillId="13" borderId="15" xfId="1" applyFont="1" applyFill="1" applyBorder="1" applyAlignment="1" applyProtection="1">
      <alignment horizontal="center" vertical="center"/>
      <protection locked="0"/>
    </xf>
    <xf numFmtId="0" fontId="87" fillId="0" borderId="21" xfId="1" applyFont="1" applyBorder="1" applyAlignment="1" applyProtection="1">
      <alignment horizontal="center" vertical="center" wrapText="1"/>
      <protection locked="0"/>
    </xf>
    <xf numFmtId="0" fontId="87" fillId="0" borderId="30" xfId="1" applyFont="1" applyBorder="1" applyAlignment="1" applyProtection="1">
      <alignment horizontal="center" vertical="center" wrapText="1"/>
      <protection locked="0"/>
    </xf>
    <xf numFmtId="0" fontId="71" fillId="2" borderId="61" xfId="1" applyFont="1" applyFill="1" applyBorder="1" applyAlignment="1" applyProtection="1">
      <alignment horizontal="center" vertical="center"/>
      <protection locked="0"/>
    </xf>
    <xf numFmtId="0" fontId="71" fillId="2" borderId="65" xfId="1" applyFont="1" applyFill="1" applyBorder="1" applyAlignment="1" applyProtection="1">
      <alignment horizontal="center" vertical="center"/>
      <protection locked="0"/>
    </xf>
    <xf numFmtId="0" fontId="81" fillId="0" borderId="65" xfId="1" applyFont="1" applyBorder="1" applyAlignment="1" applyProtection="1">
      <alignment horizontal="left" vertical="center" wrapText="1"/>
      <protection locked="0"/>
    </xf>
    <xf numFmtId="0" fontId="81" fillId="0" borderId="30" xfId="1" applyFont="1" applyBorder="1" applyAlignment="1" applyProtection="1">
      <alignment horizontal="left" vertical="center"/>
      <protection locked="0"/>
    </xf>
    <xf numFmtId="0" fontId="81" fillId="0" borderId="66" xfId="1" applyFont="1" applyBorder="1" applyAlignment="1" applyProtection="1">
      <alignment horizontal="left" vertical="center"/>
      <protection locked="0"/>
    </xf>
    <xf numFmtId="0" fontId="75" fillId="0" borderId="48" xfId="1" applyFont="1" applyBorder="1" applyAlignment="1" applyProtection="1">
      <alignment horizontal="center" vertical="center"/>
      <protection locked="0"/>
    </xf>
    <xf numFmtId="0" fontId="75" fillId="0" borderId="34" xfId="1" applyFont="1" applyBorder="1" applyAlignment="1" applyProtection="1">
      <alignment horizontal="center" vertical="center"/>
      <protection locked="0"/>
    </xf>
    <xf numFmtId="0" fontId="75" fillId="0" borderId="33" xfId="1" applyFont="1" applyBorder="1" applyAlignment="1" applyProtection="1">
      <alignment horizontal="center" vertical="center"/>
      <protection locked="0"/>
    </xf>
    <xf numFmtId="0" fontId="85" fillId="4" borderId="38" xfId="1" applyFont="1" applyFill="1" applyBorder="1" applyAlignment="1" applyProtection="1">
      <alignment horizontal="left" vertical="center" wrapText="1"/>
      <protection locked="0"/>
    </xf>
    <xf numFmtId="0" fontId="85" fillId="4" borderId="1" xfId="1" applyFont="1" applyFill="1" applyBorder="1" applyAlignment="1" applyProtection="1">
      <alignment horizontal="left" vertical="center"/>
      <protection locked="0"/>
    </xf>
    <xf numFmtId="0" fontId="85" fillId="4" borderId="39" xfId="1" applyFont="1" applyFill="1" applyBorder="1" applyAlignment="1" applyProtection="1">
      <alignment horizontal="left" vertical="center"/>
      <protection locked="0"/>
    </xf>
    <xf numFmtId="0" fontId="75" fillId="0" borderId="20" xfId="1" applyFont="1" applyBorder="1" applyAlignment="1" applyProtection="1">
      <alignment horizontal="center" vertical="center"/>
      <protection locked="0"/>
    </xf>
    <xf numFmtId="0" fontId="75" fillId="0" borderId="19" xfId="1" applyFont="1" applyBorder="1" applyAlignment="1" applyProtection="1">
      <alignment horizontal="center" vertical="center"/>
      <protection locked="0"/>
    </xf>
    <xf numFmtId="0" fontId="75" fillId="0" borderId="21" xfId="1" applyFont="1" applyBorder="1" applyAlignment="1" applyProtection="1">
      <alignment horizontal="center" vertical="center"/>
      <protection locked="0"/>
    </xf>
    <xf numFmtId="0" fontId="75" fillId="0" borderId="22" xfId="1" applyFont="1" applyBorder="1" applyAlignment="1" applyProtection="1">
      <alignment horizontal="center" vertical="center"/>
      <protection locked="0"/>
    </xf>
    <xf numFmtId="0" fontId="75" fillId="0" borderId="49" xfId="1" applyFont="1" applyBorder="1" applyAlignment="1" applyProtection="1">
      <alignment horizontal="center" vertical="center"/>
      <protection locked="0"/>
    </xf>
    <xf numFmtId="0" fontId="75" fillId="0" borderId="50" xfId="1" applyFont="1" applyBorder="1" applyAlignment="1" applyProtection="1">
      <alignment horizontal="center" vertical="center"/>
      <protection locked="0"/>
    </xf>
    <xf numFmtId="0" fontId="74" fillId="5" borderId="63" xfId="1" applyFont="1" applyFill="1" applyBorder="1" applyAlignment="1" applyProtection="1">
      <alignment horizontal="left" vertical="center"/>
      <protection locked="0"/>
    </xf>
    <xf numFmtId="0" fontId="74" fillId="5" borderId="22" xfId="1" applyFont="1" applyFill="1" applyBorder="1" applyAlignment="1" applyProtection="1">
      <alignment horizontal="left" vertical="center"/>
      <protection locked="0"/>
    </xf>
    <xf numFmtId="0" fontId="74" fillId="5" borderId="50" xfId="1" applyFont="1" applyFill="1" applyBorder="1" applyAlignment="1" applyProtection="1">
      <alignment horizontal="left" vertical="center"/>
      <protection locked="0"/>
    </xf>
    <xf numFmtId="0" fontId="83" fillId="0" borderId="14" xfId="1" applyFont="1" applyBorder="1" applyAlignment="1" applyProtection="1">
      <alignment horizontal="center" vertical="center"/>
      <protection locked="0"/>
    </xf>
    <xf numFmtId="0" fontId="83" fillId="0" borderId="15" xfId="1" applyFont="1" applyBorder="1" applyAlignment="1" applyProtection="1">
      <alignment horizontal="center" vertical="center"/>
      <protection locked="0"/>
    </xf>
    <xf numFmtId="0" fontId="83" fillId="0" borderId="6" xfId="1" applyFont="1" applyBorder="1" applyAlignment="1" applyProtection="1">
      <alignment horizontal="center" vertical="center"/>
      <protection locked="0"/>
    </xf>
    <xf numFmtId="0" fontId="83" fillId="0" borderId="7" xfId="1" applyFont="1" applyBorder="1" applyAlignment="1" applyProtection="1">
      <alignment horizontal="center" vertical="center"/>
      <protection locked="0"/>
    </xf>
    <xf numFmtId="0" fontId="83" fillId="0" borderId="8" xfId="1" applyFont="1" applyBorder="1" applyAlignment="1" applyProtection="1">
      <alignment horizontal="center" vertical="center"/>
      <protection locked="0"/>
    </xf>
    <xf numFmtId="0" fontId="74" fillId="2" borderId="6" xfId="1" applyFont="1" applyFill="1" applyBorder="1" applyAlignment="1">
      <alignment horizontal="center" vertical="center"/>
    </xf>
    <xf numFmtId="0" fontId="74" fillId="2" borderId="8" xfId="1" applyFont="1" applyFill="1" applyBorder="1" applyAlignment="1">
      <alignment horizontal="center" vertical="center"/>
    </xf>
    <xf numFmtId="3" fontId="71" fillId="0" borderId="62" xfId="1" applyNumberFormat="1" applyFont="1" applyBorder="1" applyAlignment="1" applyProtection="1">
      <alignment horizontal="left" vertical="center"/>
      <protection locked="0"/>
    </xf>
    <xf numFmtId="3" fontId="71" fillId="0" borderId="41" xfId="1" applyNumberFormat="1" applyFont="1" applyBorder="1" applyAlignment="1" applyProtection="1">
      <alignment horizontal="left" vertical="center"/>
      <protection locked="0"/>
    </xf>
    <xf numFmtId="0" fontId="75" fillId="0" borderId="14" xfId="1" applyFont="1" applyBorder="1" applyAlignment="1" applyProtection="1">
      <alignment horizontal="center" vertical="center"/>
      <protection locked="0"/>
    </xf>
    <xf numFmtId="0" fontId="75" fillId="0" borderId="23" xfId="1" applyFont="1" applyBorder="1" applyAlignment="1" applyProtection="1">
      <alignment horizontal="center" vertical="center"/>
      <protection locked="0"/>
    </xf>
    <xf numFmtId="0" fontId="75" fillId="0" borderId="15" xfId="1" applyFont="1" applyBorder="1" applyAlignment="1" applyProtection="1">
      <alignment horizontal="center" vertical="center"/>
      <protection locked="0"/>
    </xf>
    <xf numFmtId="0" fontId="71" fillId="7" borderId="61" xfId="1" applyFont="1" applyFill="1" applyBorder="1" applyAlignment="1" applyProtection="1">
      <alignment horizontal="center" vertical="center"/>
      <protection locked="0"/>
    </xf>
    <xf numFmtId="0" fontId="71" fillId="7" borderId="21" xfId="1" applyFont="1" applyFill="1" applyBorder="1" applyAlignment="1" applyProtection="1">
      <alignment horizontal="center" vertical="center"/>
      <protection locked="0"/>
    </xf>
    <xf numFmtId="0" fontId="71" fillId="7" borderId="30" xfId="1" applyFont="1" applyFill="1" applyBorder="1" applyAlignment="1" applyProtection="1">
      <alignment horizontal="center" vertical="center"/>
      <protection locked="0"/>
    </xf>
    <xf numFmtId="0" fontId="71" fillId="7" borderId="66" xfId="1" applyFont="1" applyFill="1" applyBorder="1" applyAlignment="1" applyProtection="1">
      <alignment horizontal="center" vertical="center"/>
      <protection locked="0"/>
    </xf>
    <xf numFmtId="3" fontId="71" fillId="0" borderId="12" xfId="1" applyNumberFormat="1" applyFont="1" applyBorder="1" applyAlignment="1" applyProtection="1">
      <alignment horizontal="left" vertical="center"/>
      <protection locked="0"/>
    </xf>
    <xf numFmtId="3" fontId="71" fillId="0" borderId="13" xfId="1" applyNumberFormat="1" applyFont="1" applyBorder="1" applyAlignment="1" applyProtection="1">
      <alignment horizontal="left" vertical="center"/>
      <protection locked="0"/>
    </xf>
    <xf numFmtId="0" fontId="78" fillId="7" borderId="32" xfId="1" applyFont="1" applyFill="1" applyBorder="1" applyAlignment="1" applyProtection="1">
      <alignment horizontal="center" vertical="center"/>
      <protection locked="0"/>
    </xf>
    <xf numFmtId="0" fontId="78" fillId="7" borderId="34" xfId="1" applyFont="1" applyFill="1" applyBorder="1" applyAlignment="1" applyProtection="1">
      <alignment horizontal="center" vertical="center"/>
      <protection locked="0"/>
    </xf>
    <xf numFmtId="0" fontId="78" fillId="7" borderId="33" xfId="1" applyFont="1" applyFill="1" applyBorder="1" applyAlignment="1" applyProtection="1">
      <alignment horizontal="center" vertical="center"/>
      <protection locked="0"/>
    </xf>
    <xf numFmtId="0" fontId="78" fillId="7" borderId="42" xfId="1" applyFont="1" applyFill="1" applyBorder="1" applyAlignment="1" applyProtection="1">
      <alignment horizontal="center" vertical="center"/>
      <protection locked="0"/>
    </xf>
    <xf numFmtId="0" fontId="78" fillId="7" borderId="43" xfId="1" applyFont="1" applyFill="1" applyBorder="1" applyAlignment="1" applyProtection="1">
      <alignment horizontal="center" vertical="center"/>
      <protection locked="0"/>
    </xf>
    <xf numFmtId="0" fontId="78" fillId="7" borderId="44" xfId="1" applyFont="1" applyFill="1" applyBorder="1" applyAlignment="1" applyProtection="1">
      <alignment horizontal="center" vertical="center"/>
      <protection locked="0"/>
    </xf>
    <xf numFmtId="0" fontId="85" fillId="12" borderId="14" xfId="1" applyFont="1" applyFill="1" applyBorder="1" applyAlignment="1" applyProtection="1">
      <alignment horizontal="center" vertical="center"/>
      <protection locked="0"/>
    </xf>
    <xf numFmtId="0" fontId="85" fillId="12" borderId="15" xfId="1" applyFont="1" applyFill="1" applyBorder="1" applyAlignment="1" applyProtection="1">
      <alignment horizontal="center" vertical="center"/>
      <protection locked="0"/>
    </xf>
    <xf numFmtId="0" fontId="85" fillId="12" borderId="23" xfId="1" applyFont="1" applyFill="1" applyBorder="1" applyAlignment="1" applyProtection="1">
      <alignment horizontal="center" vertical="center"/>
      <protection locked="0"/>
    </xf>
    <xf numFmtId="0" fontId="71" fillId="0" borderId="60" xfId="1" applyFont="1" applyBorder="1" applyAlignment="1" applyProtection="1">
      <alignment horizontal="center" vertical="center"/>
      <protection locked="0"/>
    </xf>
    <xf numFmtId="0" fontId="71" fillId="0" borderId="55" xfId="1" applyFont="1" applyBorder="1" applyAlignment="1" applyProtection="1">
      <alignment horizontal="center" vertical="center"/>
      <protection locked="0"/>
    </xf>
    <xf numFmtId="0" fontId="87" fillId="0" borderId="22" xfId="1" applyFont="1" applyBorder="1" applyAlignment="1" applyProtection="1">
      <alignment horizontal="center" vertical="center" wrapText="1"/>
      <protection locked="0"/>
    </xf>
    <xf numFmtId="0" fontId="75" fillId="0" borderId="32" xfId="1" applyFont="1" applyBorder="1" applyAlignment="1" applyProtection="1">
      <alignment horizontal="left" vertical="center"/>
      <protection locked="0"/>
    </xf>
    <xf numFmtId="0" fontId="75" fillId="0" borderId="33" xfId="1" applyFont="1" applyBorder="1" applyAlignment="1" applyProtection="1">
      <alignment horizontal="left" vertical="center"/>
      <protection locked="0"/>
    </xf>
    <xf numFmtId="167" fontId="79" fillId="0" borderId="32" xfId="1" applyNumberFormat="1" applyFont="1" applyBorder="1" applyAlignment="1">
      <alignment horizontal="left" vertical="center"/>
    </xf>
    <xf numFmtId="167" fontId="79" fillId="0" borderId="34" xfId="1" applyNumberFormat="1" applyFont="1" applyBorder="1" applyAlignment="1">
      <alignment horizontal="left" vertical="center"/>
    </xf>
    <xf numFmtId="167" fontId="79" fillId="0" borderId="33" xfId="1" applyNumberFormat="1" applyFont="1" applyBorder="1" applyAlignment="1">
      <alignment horizontal="left" vertical="center"/>
    </xf>
    <xf numFmtId="0" fontId="75" fillId="0" borderId="35" xfId="1" applyFont="1" applyBorder="1" applyAlignment="1" applyProtection="1">
      <alignment horizontal="left" vertical="center"/>
      <protection locked="0"/>
    </xf>
    <xf numFmtId="0" fontId="75" fillId="0" borderId="36" xfId="1" applyFont="1" applyBorder="1" applyAlignment="1" applyProtection="1">
      <alignment horizontal="left" vertical="center"/>
      <protection locked="0"/>
    </xf>
    <xf numFmtId="167" fontId="81" fillId="0" borderId="35" xfId="1" applyNumberFormat="1" applyFont="1" applyBorder="1" applyAlignment="1">
      <alignment horizontal="left" vertical="center"/>
    </xf>
    <xf numFmtId="167" fontId="81" fillId="0" borderId="37" xfId="1" applyNumberFormat="1" applyFont="1" applyBorder="1" applyAlignment="1">
      <alignment horizontal="left" vertical="center"/>
    </xf>
    <xf numFmtId="167" fontId="81" fillId="0" borderId="36" xfId="1" applyNumberFormat="1" applyFont="1" applyBorder="1" applyAlignment="1">
      <alignment horizontal="left" vertical="center"/>
    </xf>
    <xf numFmtId="3" fontId="75" fillId="0" borderId="38" xfId="1" applyNumberFormat="1" applyFont="1" applyBorder="1" applyAlignment="1" applyProtection="1">
      <alignment horizontal="left" vertical="center"/>
      <protection locked="0"/>
    </xf>
    <xf numFmtId="0" fontId="75" fillId="0" borderId="1" xfId="1" applyFont="1" applyBorder="1" applyAlignment="1" applyProtection="1">
      <alignment horizontal="left" vertical="center"/>
      <protection locked="0"/>
    </xf>
    <xf numFmtId="0" fontId="75" fillId="0" borderId="39" xfId="1" applyFont="1" applyBorder="1" applyAlignment="1" applyProtection="1">
      <alignment horizontal="left" vertical="center"/>
      <protection locked="0"/>
    </xf>
    <xf numFmtId="0" fontId="71" fillId="6" borderId="23" xfId="1" applyFont="1" applyFill="1" applyBorder="1" applyAlignment="1" applyProtection="1">
      <alignment horizontal="center" vertical="center"/>
      <protection locked="0"/>
    </xf>
    <xf numFmtId="0" fontId="71" fillId="6" borderId="15" xfId="1" applyFont="1" applyFill="1" applyBorder="1" applyAlignment="1" applyProtection="1">
      <alignment horizontal="center" vertical="center"/>
      <protection locked="0"/>
    </xf>
    <xf numFmtId="0" fontId="71" fillId="0" borderId="12" xfId="1" applyFont="1" applyBorder="1" applyAlignment="1" applyProtection="1">
      <alignment horizontal="center" vertical="center"/>
      <protection locked="0"/>
    </xf>
    <xf numFmtId="0" fontId="71" fillId="0" borderId="13" xfId="1" applyFont="1" applyBorder="1" applyAlignment="1" applyProtection="1">
      <alignment horizontal="center" vertical="center"/>
      <protection locked="0"/>
    </xf>
    <xf numFmtId="0" fontId="80" fillId="0" borderId="38" xfId="1" applyFont="1" applyBorder="1" applyAlignment="1" applyProtection="1">
      <alignment horizontal="left" vertical="center"/>
      <protection locked="0"/>
    </xf>
    <xf numFmtId="0" fontId="80" fillId="0" borderId="1" xfId="1" applyFont="1" applyBorder="1" applyAlignment="1" applyProtection="1">
      <alignment horizontal="left" vertical="center"/>
      <protection locked="0"/>
    </xf>
    <xf numFmtId="0" fontId="80" fillId="0" borderId="39" xfId="1" applyFont="1" applyBorder="1" applyAlignment="1" applyProtection="1">
      <alignment horizontal="left" vertical="center"/>
      <protection locked="0"/>
    </xf>
    <xf numFmtId="167" fontId="75" fillId="0" borderId="38" xfId="1" applyNumberFormat="1" applyFont="1" applyBorder="1" applyAlignment="1" applyProtection="1">
      <alignment horizontal="left" vertical="center"/>
      <protection locked="0"/>
    </xf>
    <xf numFmtId="167" fontId="75" fillId="0" borderId="1" xfId="1" applyNumberFormat="1" applyFont="1" applyBorder="1" applyAlignment="1" applyProtection="1">
      <alignment horizontal="left" vertical="center"/>
      <protection locked="0"/>
    </xf>
    <xf numFmtId="167" fontId="75" fillId="0" borderId="39" xfId="1" applyNumberFormat="1" applyFont="1" applyBorder="1" applyAlignment="1" applyProtection="1">
      <alignment horizontal="left" vertical="center"/>
      <protection locked="0"/>
    </xf>
    <xf numFmtId="0" fontId="75" fillId="0" borderId="40" xfId="1" applyFont="1" applyBorder="1" applyAlignment="1" applyProtection="1">
      <alignment horizontal="left" vertical="center"/>
      <protection locked="0"/>
    </xf>
    <xf numFmtId="0" fontId="75" fillId="0" borderId="41" xfId="1" applyFont="1" applyBorder="1" applyAlignment="1" applyProtection="1">
      <alignment horizontal="left" vertical="center"/>
      <protection locked="0"/>
    </xf>
    <xf numFmtId="1" fontId="83" fillId="0" borderId="38" xfId="1" applyNumberFormat="1" applyFont="1" applyBorder="1" applyAlignment="1" applyProtection="1">
      <alignment horizontal="left" vertical="center"/>
      <protection locked="0"/>
    </xf>
    <xf numFmtId="1" fontId="83" fillId="0" borderId="1" xfId="1" applyNumberFormat="1" applyFont="1" applyBorder="1" applyAlignment="1" applyProtection="1">
      <alignment horizontal="left" vertical="center"/>
      <protection locked="0"/>
    </xf>
    <xf numFmtId="1" fontId="83" fillId="0" borderId="39" xfId="1" applyNumberFormat="1" applyFont="1" applyBorder="1" applyAlignment="1" applyProtection="1">
      <alignment horizontal="left" vertical="center"/>
      <protection locked="0"/>
    </xf>
    <xf numFmtId="0" fontId="71" fillId="5" borderId="6" xfId="1" applyFont="1" applyFill="1" applyBorder="1" applyAlignment="1" applyProtection="1">
      <alignment horizontal="center" vertical="center"/>
      <protection locked="0"/>
    </xf>
    <xf numFmtId="0" fontId="71" fillId="5" borderId="7" xfId="1" applyFont="1" applyFill="1" applyBorder="1" applyAlignment="1" applyProtection="1">
      <alignment horizontal="center" vertical="center"/>
      <protection locked="0"/>
    </xf>
    <xf numFmtId="0" fontId="71" fillId="5" borderId="8" xfId="1" applyFont="1" applyFill="1" applyBorder="1" applyAlignment="1" applyProtection="1">
      <alignment horizontal="center" vertical="center"/>
      <protection locked="0"/>
    </xf>
    <xf numFmtId="0" fontId="71" fillId="5" borderId="9" xfId="1" applyFont="1" applyFill="1" applyBorder="1" applyAlignment="1" applyProtection="1">
      <alignment horizontal="center" vertical="center"/>
      <protection locked="0"/>
    </xf>
    <xf numFmtId="0" fontId="71" fillId="5" borderId="12" xfId="1" applyFont="1" applyFill="1" applyBorder="1" applyAlignment="1" applyProtection="1">
      <alignment horizontal="center" vertical="center"/>
      <protection locked="0"/>
    </xf>
    <xf numFmtId="0" fontId="71" fillId="5" borderId="13" xfId="1" applyFont="1" applyFill="1" applyBorder="1" applyAlignment="1" applyProtection="1">
      <alignment horizontal="center" vertical="center"/>
      <protection locked="0"/>
    </xf>
    <xf numFmtId="0" fontId="75" fillId="0" borderId="14" xfId="1" applyFont="1" applyBorder="1" applyAlignment="1" applyProtection="1">
      <alignment horizontal="left" vertical="center"/>
      <protection locked="0"/>
    </xf>
    <xf numFmtId="0" fontId="75" fillId="0" borderId="15" xfId="1" applyFont="1" applyBorder="1" applyAlignment="1" applyProtection="1">
      <alignment horizontal="left" vertical="center"/>
      <protection locked="0"/>
    </xf>
    <xf numFmtId="1" fontId="74" fillId="0" borderId="38" xfId="1" applyNumberFormat="1" applyFont="1" applyBorder="1" applyAlignment="1" applyProtection="1">
      <alignment horizontal="left" vertical="center"/>
      <protection locked="0"/>
    </xf>
    <xf numFmtId="1" fontId="74" fillId="0" borderId="1" xfId="1" applyNumberFormat="1" applyFont="1" applyBorder="1" applyAlignment="1" applyProtection="1">
      <alignment horizontal="left" vertical="center"/>
      <protection locked="0"/>
    </xf>
    <xf numFmtId="1" fontId="74" fillId="0" borderId="39" xfId="1" applyNumberFormat="1" applyFont="1" applyBorder="1" applyAlignment="1" applyProtection="1">
      <alignment horizontal="left" vertical="center"/>
      <protection locked="0"/>
    </xf>
    <xf numFmtId="0" fontId="74" fillId="0" borderId="38" xfId="1" applyFont="1" applyBorder="1" applyAlignment="1" applyProtection="1">
      <alignment horizontal="left" vertical="center"/>
      <protection locked="0"/>
    </xf>
    <xf numFmtId="0" fontId="74" fillId="0" borderId="1" xfId="1" applyFont="1" applyBorder="1" applyAlignment="1" applyProtection="1">
      <alignment horizontal="left" vertical="center"/>
      <protection locked="0"/>
    </xf>
    <xf numFmtId="0" fontId="74" fillId="0" borderId="39" xfId="1" applyFont="1" applyBorder="1" applyAlignment="1" applyProtection="1">
      <alignment horizontal="left" vertical="center"/>
      <protection locked="0"/>
    </xf>
    <xf numFmtId="0" fontId="81" fillId="0" borderId="16" xfId="1" applyFont="1" applyBorder="1" applyAlignment="1" applyProtection="1">
      <alignment horizontal="left" vertical="center"/>
      <protection locked="0"/>
    </xf>
    <xf numFmtId="0" fontId="81" fillId="0" borderId="17" xfId="1" applyFont="1" applyBorder="1" applyAlignment="1" applyProtection="1">
      <alignment horizontal="left" vertical="center"/>
      <protection locked="0"/>
    </xf>
    <xf numFmtId="0" fontId="81" fillId="0" borderId="18" xfId="1" applyFont="1" applyBorder="1" applyAlignment="1" applyProtection="1">
      <alignment horizontal="left" vertical="center"/>
      <protection locked="0"/>
    </xf>
    <xf numFmtId="0" fontId="70" fillId="5" borderId="4" xfId="0" applyFont="1" applyFill="1" applyBorder="1" applyAlignment="1">
      <alignment horizontal="left" vertical="center" wrapText="1" indent="14"/>
    </xf>
    <xf numFmtId="0" fontId="25" fillId="5" borderId="1" xfId="0" applyFont="1" applyFill="1" applyBorder="1" applyAlignment="1">
      <alignment horizontal="center" vertical="center" wrapText="1"/>
    </xf>
    <xf numFmtId="0" fontId="25" fillId="5" borderId="2" xfId="0" applyFont="1" applyFill="1" applyBorder="1" applyAlignment="1">
      <alignment horizontal="center" vertical="center" wrapText="1"/>
    </xf>
    <xf numFmtId="0" fontId="25" fillId="5" borderId="3" xfId="0" applyFont="1" applyFill="1" applyBorder="1" applyAlignment="1">
      <alignment horizontal="center" vertical="center" wrapText="1"/>
    </xf>
    <xf numFmtId="0" fontId="25" fillId="5" borderId="37" xfId="0" applyFont="1" applyFill="1" applyBorder="1" applyAlignment="1">
      <alignment horizontal="center" vertical="center" wrapText="1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</cellXfs>
  <cellStyles count="5">
    <cellStyle name="Köprü" xfId="2" builtinId="8"/>
    <cellStyle name="Köprü 2" xfId="4" xr:uid="{09F68D97-CD46-4F85-B1C4-16514251869D}"/>
    <cellStyle name="Normal" xfId="0" builtinId="0"/>
    <cellStyle name="Normal 2" xfId="1" xr:uid="{D260A723-FD98-4FA1-A429-3B6CAFCC7C3B}"/>
    <cellStyle name="Normal 3" xfId="3" xr:uid="{30AC16D4-AC2F-42DF-B6B9-1442C705DC8B}"/>
  </cellStyles>
  <dxfs count="18">
    <dxf>
      <numFmt numFmtId="179" formatCode="[$€-2]\ #,##0.000"/>
    </dxf>
    <dxf>
      <numFmt numFmtId="180" formatCode="[$£-809]#,##0.000"/>
    </dxf>
    <dxf>
      <numFmt numFmtId="181" formatCode="[$$-409]#,##0.000"/>
    </dxf>
    <dxf>
      <numFmt numFmtId="182" formatCode="&quot;₺&quot;#,##0.000"/>
    </dxf>
    <dxf>
      <numFmt numFmtId="179" formatCode="[$€-2]\ #,##0.000"/>
    </dxf>
    <dxf>
      <numFmt numFmtId="181" formatCode="[$$-409]#,##0.000"/>
    </dxf>
    <dxf>
      <numFmt numFmtId="180" formatCode="[$£-809]#,##0.000"/>
    </dxf>
    <dxf>
      <numFmt numFmtId="182" formatCode="&quot;₺&quot;#,##0.000"/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9E7E7"/>
      <color rgb="FFD5D1D1"/>
      <color rgb="FFB5CAF5"/>
      <color rgb="FFA7C0F3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166689</xdr:colOff>
      <xdr:row>1</xdr:row>
      <xdr:rowOff>33336</xdr:rowOff>
    </xdr:from>
    <xdr:to>
      <xdr:col>1</xdr:col>
      <xdr:colOff>2760254</xdr:colOff>
      <xdr:row>6</xdr:row>
      <xdr:rowOff>171794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149" y="231456"/>
          <a:ext cx="2593565" cy="10680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</xdr:row>
          <xdr:rowOff>175260</xdr:rowOff>
        </xdr:from>
        <xdr:to>
          <xdr:col>14</xdr:col>
          <xdr:colOff>350520</xdr:colOff>
          <xdr:row>3</xdr:row>
          <xdr:rowOff>152400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OLUŞTUR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0</xdr:rowOff>
        </xdr:from>
        <xdr:to>
          <xdr:col>16</xdr:col>
          <xdr:colOff>22860</xdr:colOff>
          <xdr:row>1</xdr:row>
          <xdr:rowOff>0</xdr:rowOff>
        </xdr:to>
        <xdr:sp macro="" textlink="">
          <xdr:nvSpPr>
            <xdr:cNvPr id="1545" name="CommandButton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2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83820</xdr:colOff>
      <xdr:row>2</xdr:row>
      <xdr:rowOff>53340</xdr:rowOff>
    </xdr:from>
    <xdr:to>
      <xdr:col>16</xdr:col>
      <xdr:colOff>381000</xdr:colOff>
      <xdr:row>7</xdr:row>
      <xdr:rowOff>45720</xdr:rowOff>
    </xdr:to>
    <xdr:sp macro="[0]!Sayfa1.Düğme523_Tıkla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958840" y="784860"/>
          <a:ext cx="1516380" cy="922020"/>
        </a:xfrm>
        <a:prstGeom prst="rect">
          <a:avLst/>
        </a:prstGeom>
        <a:solidFill>
          <a:srgbClr val="B5CAF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>
              <a:solidFill>
                <a:sysClr val="windowText" lastClr="000000"/>
              </a:solidFill>
            </a:rPr>
            <a:t>Talep Renklendir ve Mail</a:t>
          </a:r>
          <a:r>
            <a:rPr lang="tr-TR" sz="1400" b="1" baseline="0">
              <a:solidFill>
                <a:sysClr val="windowText" lastClr="000000"/>
              </a:solidFill>
            </a:rPr>
            <a:t> Akışına Yapıştır</a:t>
          </a:r>
          <a:endParaRPr lang="tr-TR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91440</xdr:colOff>
      <xdr:row>7</xdr:row>
      <xdr:rowOff>137160</xdr:rowOff>
    </xdr:from>
    <xdr:to>
      <xdr:col>16</xdr:col>
      <xdr:colOff>22860</xdr:colOff>
      <xdr:row>11</xdr:row>
      <xdr:rowOff>99060</xdr:rowOff>
    </xdr:to>
    <xdr:sp macro="[0]!Sayfa1_PDF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417540" y="1805940"/>
          <a:ext cx="1150620" cy="7086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400" b="1">
              <a:solidFill>
                <a:sysClr val="windowText" lastClr="000000"/>
              </a:solidFill>
            </a:rPr>
            <a:t>PDF</a:t>
          </a:r>
          <a:r>
            <a:rPr lang="tr-TR" sz="1400" b="1" baseline="0">
              <a:solidFill>
                <a:sysClr val="windowText" lastClr="000000"/>
              </a:solidFill>
            </a:rPr>
            <a:t> OLUŞTUR</a:t>
          </a:r>
          <a:endParaRPr lang="tr-TR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410040</xdr:colOff>
      <xdr:row>147</xdr:row>
      <xdr:rowOff>123120</xdr:rowOff>
    </xdr:from>
    <xdr:to>
      <xdr:col>4</xdr:col>
      <xdr:colOff>1540530</xdr:colOff>
      <xdr:row>152</xdr:row>
      <xdr:rowOff>22516</xdr:rowOff>
    </xdr:to>
    <xdr:pic>
      <xdr:nvPicPr>
        <xdr:cNvPr id="2" name="Resim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414100" y="14951640"/>
          <a:ext cx="1155255" cy="821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7</xdr:col>
      <xdr:colOff>68400</xdr:colOff>
      <xdr:row>148</xdr:row>
      <xdr:rowOff>33840</xdr:rowOff>
    </xdr:from>
    <xdr:to>
      <xdr:col>7</xdr:col>
      <xdr:colOff>1488540</xdr:colOff>
      <xdr:row>152</xdr:row>
      <xdr:rowOff>22158</xdr:rowOff>
    </xdr:to>
    <xdr:pic>
      <xdr:nvPicPr>
        <xdr:cNvPr id="3" name="Resim 1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5455740" y="15045240"/>
          <a:ext cx="1443000" cy="7274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10</xdr:col>
      <xdr:colOff>103680</xdr:colOff>
      <xdr:row>148</xdr:row>
      <xdr:rowOff>33840</xdr:rowOff>
    </xdr:from>
    <xdr:to>
      <xdr:col>10</xdr:col>
      <xdr:colOff>1276140</xdr:colOff>
      <xdr:row>152</xdr:row>
      <xdr:rowOff>20793</xdr:rowOff>
    </xdr:to>
    <xdr:pic>
      <xdr:nvPicPr>
        <xdr:cNvPr id="4" name="Resim 1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7312200" y="15045240"/>
          <a:ext cx="1176270" cy="7089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1076760</xdr:colOff>
      <xdr:row>147</xdr:row>
      <xdr:rowOff>179280</xdr:rowOff>
    </xdr:from>
    <xdr:to>
      <xdr:col>5</xdr:col>
      <xdr:colOff>1955278</xdr:colOff>
      <xdr:row>152</xdr:row>
      <xdr:rowOff>20161</xdr:rowOff>
    </xdr:to>
    <xdr:pic>
      <xdr:nvPicPr>
        <xdr:cNvPr id="5" name="Resim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4010460" y="15007800"/>
          <a:ext cx="875940" cy="7514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90720</xdr:colOff>
      <xdr:row>147</xdr:row>
      <xdr:rowOff>67320</xdr:rowOff>
    </xdr:from>
    <xdr:to>
      <xdr:col>2</xdr:col>
      <xdr:colOff>1024932</xdr:colOff>
      <xdr:row>151</xdr:row>
      <xdr:rowOff>131639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5"/>
        <a:stretch/>
      </xdr:blipFill>
      <xdr:spPr>
        <a:xfrm>
          <a:off x="342180" y="14895840"/>
          <a:ext cx="1673865" cy="809175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</xdr:row>
          <xdr:rowOff>182880</xdr:rowOff>
        </xdr:from>
        <xdr:to>
          <xdr:col>13</xdr:col>
          <xdr:colOff>0</xdr:colOff>
          <xdr:row>4</xdr:row>
          <xdr:rowOff>22860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OLUŞTUR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410040</xdr:colOff>
      <xdr:row>116</xdr:row>
      <xdr:rowOff>123120</xdr:rowOff>
    </xdr:from>
    <xdr:to>
      <xdr:col>4</xdr:col>
      <xdr:colOff>1540530</xdr:colOff>
      <xdr:row>121</xdr:row>
      <xdr:rowOff>22512</xdr:rowOff>
    </xdr:to>
    <xdr:pic>
      <xdr:nvPicPr>
        <xdr:cNvPr id="2" name="Resim 1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414100" y="22853580"/>
          <a:ext cx="1122870" cy="809984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7</xdr:col>
      <xdr:colOff>68400</xdr:colOff>
      <xdr:row>117</xdr:row>
      <xdr:rowOff>33840</xdr:rowOff>
    </xdr:from>
    <xdr:to>
      <xdr:col>7</xdr:col>
      <xdr:colOff>1488540</xdr:colOff>
      <xdr:row>121</xdr:row>
      <xdr:rowOff>22152</xdr:rowOff>
    </xdr:to>
    <xdr:pic>
      <xdr:nvPicPr>
        <xdr:cNvPr id="3" name="Resim 1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7543620" y="22947180"/>
          <a:ext cx="1420140" cy="716024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10</xdr:col>
      <xdr:colOff>103680</xdr:colOff>
      <xdr:row>117</xdr:row>
      <xdr:rowOff>33840</xdr:rowOff>
    </xdr:from>
    <xdr:to>
      <xdr:col>10</xdr:col>
      <xdr:colOff>1276140</xdr:colOff>
      <xdr:row>121</xdr:row>
      <xdr:rowOff>20787</xdr:rowOff>
    </xdr:to>
    <xdr:pic>
      <xdr:nvPicPr>
        <xdr:cNvPr id="4" name="Resim 1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11305080" y="22947180"/>
          <a:ext cx="1176270" cy="71465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1076760</xdr:colOff>
      <xdr:row>116</xdr:row>
      <xdr:rowOff>179280</xdr:rowOff>
    </xdr:from>
    <xdr:to>
      <xdr:col>5</xdr:col>
      <xdr:colOff>1949563</xdr:colOff>
      <xdr:row>121</xdr:row>
      <xdr:rowOff>20157</xdr:rowOff>
    </xdr:to>
    <xdr:pic>
      <xdr:nvPicPr>
        <xdr:cNvPr id="5" name="Resim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5031540" y="22909740"/>
          <a:ext cx="875940" cy="7514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90720</xdr:colOff>
      <xdr:row>116</xdr:row>
      <xdr:rowOff>67320</xdr:rowOff>
    </xdr:from>
    <xdr:to>
      <xdr:col>2</xdr:col>
      <xdr:colOff>843110</xdr:colOff>
      <xdr:row>120</xdr:row>
      <xdr:rowOff>131638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>
        <a:blip xmlns:r="http://schemas.openxmlformats.org/officeDocument/2006/relationships" r:embed="rId5"/>
        <a:stretch/>
      </xdr:blipFill>
      <xdr:spPr>
        <a:xfrm>
          <a:off x="342180" y="22797780"/>
          <a:ext cx="1681485" cy="799649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16</xdr:col>
          <xdr:colOff>60960</xdr:colOff>
          <xdr:row>4</xdr:row>
          <xdr:rowOff>68580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OLUŞTUR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</xdr:row>
          <xdr:rowOff>175260</xdr:rowOff>
        </xdr:from>
        <xdr:to>
          <xdr:col>14</xdr:col>
          <xdr:colOff>350520</xdr:colOff>
          <xdr:row>3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7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OLUŞTUR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Yeşil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mailto:jens.pastyrik@display-ground.de" TargetMode="External"/><Relationship Id="rId18" Type="http://schemas.openxmlformats.org/officeDocument/2006/relationships/hyperlink" Target="http://www.ebets.at/" TargetMode="External"/><Relationship Id="rId26" Type="http://schemas.openxmlformats.org/officeDocument/2006/relationships/hyperlink" Target="http://www.hsi-promotion.com/" TargetMode="External"/><Relationship Id="rId39" Type="http://schemas.openxmlformats.org/officeDocument/2006/relationships/hyperlink" Target="mailto:office@papiertaschen-shop.at" TargetMode="External"/><Relationship Id="rId21" Type="http://schemas.openxmlformats.org/officeDocument/2006/relationships/hyperlink" Target="mailto:info@fast-pack.at" TargetMode="External"/><Relationship Id="rId34" Type="http://schemas.openxmlformats.org/officeDocument/2006/relationships/hyperlink" Target="http://www.meyerstemmle.de/" TargetMode="External"/><Relationship Id="rId42" Type="http://schemas.openxmlformats.org/officeDocument/2006/relationships/hyperlink" Target="http://www.2orcas.com/" TargetMode="External"/><Relationship Id="rId47" Type="http://schemas.openxmlformats.org/officeDocument/2006/relationships/hyperlink" Target="mailto:meyer@pema-verpackung.de" TargetMode="External"/><Relationship Id="rId50" Type="http://schemas.openxmlformats.org/officeDocument/2006/relationships/hyperlink" Target="http://www.premiumteam.at/" TargetMode="External"/><Relationship Id="rId55" Type="http://schemas.openxmlformats.org/officeDocument/2006/relationships/hyperlink" Target="mailto:lara.wieland@sackcontainer.ch" TargetMode="External"/><Relationship Id="rId63" Type="http://schemas.openxmlformats.org/officeDocument/2006/relationships/hyperlink" Target="mailto:nicole.willander@werbegeschenke.cc" TargetMode="External"/><Relationship Id="rId68" Type="http://schemas.openxmlformats.org/officeDocument/2006/relationships/hyperlink" Target="http://www.wipex.ch/" TargetMode="External"/><Relationship Id="rId7" Type="http://schemas.openxmlformats.org/officeDocument/2006/relationships/hyperlink" Target="http://www.bitsinmotion.de/" TargetMode="External"/><Relationship Id="rId2" Type="http://schemas.openxmlformats.org/officeDocument/2006/relationships/hyperlink" Target="mailto:office@abpack.at" TargetMode="External"/><Relationship Id="rId16" Type="http://schemas.openxmlformats.org/officeDocument/2006/relationships/hyperlink" Target="http://www.doccards.com/" TargetMode="External"/><Relationship Id="rId29" Type="http://schemas.openxmlformats.org/officeDocument/2006/relationships/hyperlink" Target="mailto:cbrandt@istac.at" TargetMode="External"/><Relationship Id="rId1" Type="http://schemas.openxmlformats.org/officeDocument/2006/relationships/hyperlink" Target="http://www.abpack.at/" TargetMode="External"/><Relationship Id="rId6" Type="http://schemas.openxmlformats.org/officeDocument/2006/relationships/hyperlink" Target="mailto:rebecca.zollinger@bbtrading.ch" TargetMode="External"/><Relationship Id="rId11" Type="http://schemas.openxmlformats.org/officeDocument/2006/relationships/hyperlink" Target="mailto:v.gmeiner@chocolatier.de" TargetMode="External"/><Relationship Id="rId24" Type="http://schemas.openxmlformats.org/officeDocument/2006/relationships/hyperlink" Target="http://www.graphicube.lu/" TargetMode="External"/><Relationship Id="rId32" Type="http://schemas.openxmlformats.org/officeDocument/2006/relationships/hyperlink" Target="http://www.kartonwerk.com/" TargetMode="External"/><Relationship Id="rId37" Type="http://schemas.openxmlformats.org/officeDocument/2006/relationships/hyperlink" Target="mailto:info@werbeagentur-murr.de" TargetMode="External"/><Relationship Id="rId40" Type="http://schemas.openxmlformats.org/officeDocument/2006/relationships/hyperlink" Target="http://www.papiertaschen-shop.at/" TargetMode="External"/><Relationship Id="rId45" Type="http://schemas.openxmlformats.org/officeDocument/2006/relationships/hyperlink" Target="mailto:rebecca.schwarz@papier-mettler.com" TargetMode="External"/><Relationship Id="rId53" Type="http://schemas.openxmlformats.org/officeDocument/2006/relationships/hyperlink" Target="mailto:paul.schild@qubic.ch" TargetMode="External"/><Relationship Id="rId58" Type="http://schemas.openxmlformats.org/officeDocument/2006/relationships/hyperlink" Target="http://www.schrema.de/" TargetMode="External"/><Relationship Id="rId66" Type="http://schemas.openxmlformats.org/officeDocument/2006/relationships/hyperlink" Target="http://www.werbezeichen.de/" TargetMode="External"/><Relationship Id="rId5" Type="http://schemas.openxmlformats.org/officeDocument/2006/relationships/hyperlink" Target="http://www.bbtrading.ch/" TargetMode="External"/><Relationship Id="rId15" Type="http://schemas.openxmlformats.org/officeDocument/2006/relationships/hyperlink" Target="mailto:info@doccards.com" TargetMode="External"/><Relationship Id="rId23" Type="http://schemas.openxmlformats.org/officeDocument/2006/relationships/hyperlink" Target="mailto:mireille@graphicube.lu" TargetMode="External"/><Relationship Id="rId28" Type="http://schemas.openxmlformats.org/officeDocument/2006/relationships/hyperlink" Target="http://www.logo.iba-hartmann.de/" TargetMode="External"/><Relationship Id="rId36" Type="http://schemas.openxmlformats.org/officeDocument/2006/relationships/hyperlink" Target="http://www.mitraco.com/" TargetMode="External"/><Relationship Id="rId49" Type="http://schemas.openxmlformats.org/officeDocument/2006/relationships/hyperlink" Target="mailto:michael@premiumteam.at" TargetMode="External"/><Relationship Id="rId57" Type="http://schemas.openxmlformats.org/officeDocument/2006/relationships/hyperlink" Target="mailto:r.riedel@schrema.de" TargetMode="External"/><Relationship Id="rId61" Type="http://schemas.openxmlformats.org/officeDocument/2006/relationships/hyperlink" Target="mailto:office@team4you.co.at" TargetMode="External"/><Relationship Id="rId10" Type="http://schemas.openxmlformats.org/officeDocument/2006/relationships/hyperlink" Target="http://www.druck-tragtaschen-verpackung.at/" TargetMode="External"/><Relationship Id="rId19" Type="http://schemas.openxmlformats.org/officeDocument/2006/relationships/hyperlink" Target="mailto:pilar.fantova@fantova-pp.com" TargetMode="External"/><Relationship Id="rId31" Type="http://schemas.openxmlformats.org/officeDocument/2006/relationships/hyperlink" Target="mailto:hallo@kartonwerk.com" TargetMode="External"/><Relationship Id="rId44" Type="http://schemas.openxmlformats.org/officeDocument/2006/relationships/hyperlink" Target="http://www.papi.info/" TargetMode="External"/><Relationship Id="rId52" Type="http://schemas.openxmlformats.org/officeDocument/2006/relationships/hyperlink" Target="http://www.printmybag.com/" TargetMode="External"/><Relationship Id="rId60" Type="http://schemas.openxmlformats.org/officeDocument/2006/relationships/hyperlink" Target="http://www.tuete.com/" TargetMode="External"/><Relationship Id="rId65" Type="http://schemas.openxmlformats.org/officeDocument/2006/relationships/hyperlink" Target="mailto:patricia.thaler@werbezeichen.de" TargetMode="External"/><Relationship Id="rId4" Type="http://schemas.openxmlformats.org/officeDocument/2006/relationships/hyperlink" Target="http://www.admixx.de/" TargetMode="External"/><Relationship Id="rId9" Type="http://schemas.openxmlformats.org/officeDocument/2006/relationships/hyperlink" Target="mailto:office@angerer-goeschl.at" TargetMode="External"/><Relationship Id="rId14" Type="http://schemas.openxmlformats.org/officeDocument/2006/relationships/hyperlink" Target="http://www.display-ground.de/" TargetMode="External"/><Relationship Id="rId22" Type="http://schemas.openxmlformats.org/officeDocument/2006/relationships/hyperlink" Target="http://www.fast-pack.at/" TargetMode="External"/><Relationship Id="rId27" Type="http://schemas.openxmlformats.org/officeDocument/2006/relationships/hyperlink" Target="mailto:samiram.makko@iba-hartmann.de" TargetMode="External"/><Relationship Id="rId30" Type="http://schemas.openxmlformats.org/officeDocument/2006/relationships/hyperlink" Target="http://www.istac.at/" TargetMode="External"/><Relationship Id="rId35" Type="http://schemas.openxmlformats.org/officeDocument/2006/relationships/hyperlink" Target="mailto:y.wang@mitraco.com" TargetMode="External"/><Relationship Id="rId43" Type="http://schemas.openxmlformats.org/officeDocument/2006/relationships/hyperlink" Target="mailto:jan.fritz@pap-i.com" TargetMode="External"/><Relationship Id="rId48" Type="http://schemas.openxmlformats.org/officeDocument/2006/relationships/hyperlink" Target="http://www.pema-verpackung.de/" TargetMode="External"/><Relationship Id="rId56" Type="http://schemas.openxmlformats.org/officeDocument/2006/relationships/hyperlink" Target="http://www.sackcontainer.ch/" TargetMode="External"/><Relationship Id="rId64" Type="http://schemas.openxmlformats.org/officeDocument/2006/relationships/hyperlink" Target="http://www.werbegeschenke.cc/" TargetMode="External"/><Relationship Id="rId69" Type="http://schemas.openxmlformats.org/officeDocument/2006/relationships/printerSettings" Target="../printerSettings/printerSettings5.bin"/><Relationship Id="rId8" Type="http://schemas.openxmlformats.org/officeDocument/2006/relationships/hyperlink" Target="mailto:wollberg@bitsinmotion.de" TargetMode="External"/><Relationship Id="rId51" Type="http://schemas.openxmlformats.org/officeDocument/2006/relationships/hyperlink" Target="mailto:murat@printmybag.com" TargetMode="External"/><Relationship Id="rId3" Type="http://schemas.openxmlformats.org/officeDocument/2006/relationships/hyperlink" Target="mailto:simon.kretschmer@admixx.de" TargetMode="External"/><Relationship Id="rId12" Type="http://schemas.openxmlformats.org/officeDocument/2006/relationships/hyperlink" Target="http://www.chocolatier.de/" TargetMode="External"/><Relationship Id="rId17" Type="http://schemas.openxmlformats.org/officeDocument/2006/relationships/hyperlink" Target="mailto:r.baumgartner@ebets.at" TargetMode="External"/><Relationship Id="rId25" Type="http://schemas.openxmlformats.org/officeDocument/2006/relationships/hyperlink" Target="mailto:sales2@hsi-promotion.com" TargetMode="External"/><Relationship Id="rId33" Type="http://schemas.openxmlformats.org/officeDocument/2006/relationships/hyperlink" Target="mailto:michael.herlitschka@meyerstemmle.de" TargetMode="External"/><Relationship Id="rId38" Type="http://schemas.openxmlformats.org/officeDocument/2006/relationships/hyperlink" Target="http://www.werbeagentur-murr.de/" TargetMode="External"/><Relationship Id="rId46" Type="http://schemas.openxmlformats.org/officeDocument/2006/relationships/hyperlink" Target="http://www.rp-verpackung.de/" TargetMode="External"/><Relationship Id="rId59" Type="http://schemas.openxmlformats.org/officeDocument/2006/relationships/hyperlink" Target="mailto:gaby@tuete.com" TargetMode="External"/><Relationship Id="rId67" Type="http://schemas.openxmlformats.org/officeDocument/2006/relationships/hyperlink" Target="mailto:r.ferreira@wipex.ch" TargetMode="External"/><Relationship Id="rId20" Type="http://schemas.openxmlformats.org/officeDocument/2006/relationships/hyperlink" Target="http://www.fantova-pp.com/" TargetMode="External"/><Relationship Id="rId41" Type="http://schemas.openxmlformats.org/officeDocument/2006/relationships/hyperlink" Target="mailto:malik@2orcas.com" TargetMode="External"/><Relationship Id="rId54" Type="http://schemas.openxmlformats.org/officeDocument/2006/relationships/hyperlink" Target="http://www.qubic.ch/" TargetMode="External"/><Relationship Id="rId62" Type="http://schemas.openxmlformats.org/officeDocument/2006/relationships/hyperlink" Target="http://www.team4you.co.at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6E971-D5CB-4768-ABE9-E697F1B4DBBF}">
  <sheetPr codeName="Sayfa8"/>
  <dimension ref="B1:D18"/>
  <sheetViews>
    <sheetView zoomScale="130" zoomScaleNormal="130" workbookViewId="0">
      <selection activeCell="G10" sqref="G10"/>
    </sheetView>
  </sheetViews>
  <sheetFormatPr defaultRowHeight="14.4"/>
  <cols>
    <col min="2" max="2" width="16.6640625" customWidth="1"/>
    <col min="3" max="3" width="30.88671875" customWidth="1"/>
    <col min="4" max="4" width="19.88671875" customWidth="1"/>
    <col min="13" max="13" width="15.6640625" customWidth="1"/>
  </cols>
  <sheetData>
    <row r="1" spans="2:4" ht="15" thickBot="1"/>
    <row r="2" spans="2:4" ht="21">
      <c r="B2" s="355" t="s">
        <v>287</v>
      </c>
      <c r="C2" s="356"/>
      <c r="D2" s="357"/>
    </row>
    <row r="3" spans="2:4" ht="15.6">
      <c r="B3" s="33" t="s">
        <v>100</v>
      </c>
      <c r="C3" s="27"/>
      <c r="D3" s="32" t="s">
        <v>286</v>
      </c>
    </row>
    <row r="4" spans="2:4">
      <c r="B4" s="33" t="s">
        <v>102</v>
      </c>
      <c r="C4" s="27"/>
      <c r="D4" s="31" t="s">
        <v>283</v>
      </c>
    </row>
    <row r="5" spans="2:4" ht="15.6">
      <c r="B5" s="33" t="s">
        <v>104</v>
      </c>
      <c r="C5" s="28"/>
      <c r="D5" s="23"/>
    </row>
    <row r="6" spans="2:4">
      <c r="B6" s="33" t="s">
        <v>106</v>
      </c>
      <c r="C6" s="42"/>
      <c r="D6" s="26"/>
    </row>
    <row r="7" spans="2:4">
      <c r="B7" s="33" t="s">
        <v>108</v>
      </c>
      <c r="C7" s="42"/>
      <c r="D7" s="24"/>
    </row>
    <row r="8" spans="2:4">
      <c r="B8" s="33" t="s">
        <v>110</v>
      </c>
      <c r="C8" s="29"/>
      <c r="D8" s="24"/>
    </row>
    <row r="9" spans="2:4" ht="15" thickBot="1">
      <c r="B9" s="34" t="s">
        <v>111</v>
      </c>
      <c r="C9" s="30"/>
      <c r="D9" s="25"/>
    </row>
    <row r="10" spans="2:4" ht="15" thickBot="1">
      <c r="B10" s="34" t="s">
        <v>126</v>
      </c>
      <c r="C10" s="358" t="s">
        <v>315</v>
      </c>
      <c r="D10" s="359"/>
    </row>
    <row r="18" spans="4:4" ht="38.25" customHeight="1">
      <c r="D18" s="53"/>
    </row>
  </sheetData>
  <mergeCells count="2">
    <mergeCell ref="B2:D2"/>
    <mergeCell ref="C10:D10"/>
  </mergeCells>
  <phoneticPr fontId="1" type="noConversion"/>
  <dataValidations count="1">
    <dataValidation type="list" allowBlank="1" showInputMessage="1" showErrorMessage="1" sqref="B2:D2" xr:uid="{67A00307-7AE3-411F-B68A-1B0F2D984844}">
      <formula1>#REF!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704AB84-0566-4C0F-8E00-7C999EBC093A}">
          <x14:formula1>
            <xm:f>'ÜRÜN ÖZELLİKLERİ'!$B$51:$B$53</xm:f>
          </x14:formula1>
          <xm:sqref>D4</xm:sqref>
        </x14:dataValidation>
        <x14:dataValidation type="list" allowBlank="1" showInputMessage="1" showErrorMessage="1" xr:uid="{D2F62C10-3F04-4949-A800-33E3ABA73929}">
          <x14:formula1>
            <xm:f>'ÜRÜN ÖZELLİKLERİ'!$T$20:$T$42</xm:f>
          </x14:formula1>
          <xm:sqref>C10:D10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6B008-045D-48FA-8621-93BDAA345D34}">
  <sheetPr codeName="Sayfa13">
    <tabColor rgb="FFFF0000"/>
    <pageSetUpPr fitToPage="1"/>
  </sheetPr>
  <dimension ref="A1:AW75"/>
  <sheetViews>
    <sheetView zoomScale="85" zoomScaleNormal="85" zoomScaleSheetLayoutView="100" workbookViewId="0">
      <selection activeCell="G14" sqref="G14:J14"/>
    </sheetView>
  </sheetViews>
  <sheetFormatPr defaultColWidth="9.109375" defaultRowHeight="14.4"/>
  <cols>
    <col min="1" max="1" width="3.6640625" style="65" customWidth="1"/>
    <col min="2" max="2" width="45" style="65" bestFit="1" customWidth="1"/>
    <col min="3" max="3" width="21.88671875" style="65" bestFit="1" customWidth="1"/>
    <col min="4" max="4" width="28.44140625" style="65" bestFit="1" customWidth="1"/>
    <col min="5" max="5" width="21.33203125" style="65" bestFit="1" customWidth="1"/>
    <col min="6" max="6" width="15.44140625" style="65" bestFit="1" customWidth="1"/>
    <col min="7" max="7" width="21.88671875" style="65" bestFit="1" customWidth="1"/>
    <col min="8" max="8" width="21.109375" style="65" bestFit="1" customWidth="1"/>
    <col min="9" max="9" width="20.33203125" style="65" bestFit="1" customWidth="1"/>
    <col min="10" max="10" width="17.33203125" style="65" bestFit="1" customWidth="1"/>
    <col min="11" max="11" width="21.109375" style="65" bestFit="1" customWidth="1"/>
    <col min="12" max="13" width="9.109375" style="65"/>
    <col min="14" max="14" width="13.44140625" style="65" customWidth="1"/>
    <col min="15" max="47" width="9.109375" style="65"/>
    <col min="48" max="48" width="17.5546875" style="65" customWidth="1"/>
    <col min="49" max="16384" width="9.109375" style="65"/>
  </cols>
  <sheetData>
    <row r="1" spans="2:49" ht="15.9" customHeight="1" thickBot="1">
      <c r="B1" s="73" t="s">
        <v>171</v>
      </c>
      <c r="F1" s="74" t="e">
        <f>+"'Sayfa2'!"&amp;RANGES</f>
        <v>#N/A</v>
      </c>
      <c r="AP1" s="65" t="s">
        <v>172</v>
      </c>
      <c r="AQ1" s="75" t="s">
        <v>173</v>
      </c>
      <c r="AR1" s="75" t="s">
        <v>173</v>
      </c>
      <c r="AS1" s="75" t="s">
        <v>174</v>
      </c>
      <c r="AT1" s="75" t="s">
        <v>173</v>
      </c>
      <c r="AU1" s="75">
        <v>0</v>
      </c>
      <c r="AV1" s="75" t="s">
        <v>173</v>
      </c>
      <c r="AW1" s="75" t="s">
        <v>173</v>
      </c>
    </row>
    <row r="2" spans="2:49">
      <c r="B2" s="76"/>
      <c r="C2" s="77"/>
      <c r="D2" s="78"/>
      <c r="E2" s="79"/>
      <c r="F2" s="360" t="s">
        <v>5</v>
      </c>
      <c r="G2" s="361"/>
      <c r="H2" s="362">
        <f ca="1">TODAY()</f>
        <v>45302</v>
      </c>
      <c r="I2" s="363"/>
      <c r="J2" s="364"/>
      <c r="AP2" s="65" t="s">
        <v>174</v>
      </c>
      <c r="AQ2" s="65" t="s">
        <v>70</v>
      </c>
      <c r="AR2" s="65" t="s">
        <v>175</v>
      </c>
      <c r="AS2" s="65" t="s">
        <v>172</v>
      </c>
      <c r="AT2" s="65" t="s">
        <v>176</v>
      </c>
      <c r="AU2" s="65">
        <v>160</v>
      </c>
      <c r="AV2" s="80" t="s">
        <v>177</v>
      </c>
      <c r="AW2" s="65" t="s">
        <v>178</v>
      </c>
    </row>
    <row r="3" spans="2:49" ht="15.6">
      <c r="B3" s="81"/>
      <c r="C3" s="82"/>
      <c r="D3" s="83"/>
      <c r="F3" s="365" t="s">
        <v>179</v>
      </c>
      <c r="G3" s="366"/>
      <c r="H3" s="367">
        <f>IF($G$14="Seçiniz."," ",IF($G$14="Ürün 1",Sayfa1!C9,IF($G$14="Ürün 2",Sayfa1!E9,IF($G$14="Ürün 3",Sayfa1!G9,IF($G$14="Ürün 4",Sayfa1!I9,IF($G$14="Ürün 5",Sayfa1!K9,IF($G$14="Ürün 6",Sayfa1!M9," ")))))))</f>
        <v>0</v>
      </c>
      <c r="I3" s="368"/>
      <c r="J3" s="369"/>
      <c r="AV3" s="80"/>
    </row>
    <row r="4" spans="2:49">
      <c r="B4" s="81"/>
      <c r="C4" s="82"/>
      <c r="D4" s="83"/>
      <c r="F4" s="365" t="s">
        <v>565</v>
      </c>
      <c r="G4" s="366"/>
      <c r="H4" s="370">
        <f>IF($G$14="Seçiniz."," ",IF($G$14="Ürün 1",Sayfa1!C8,IF($G$14="Ürün 2",Sayfa1!E8,IF($G$14="Ürün 3",Sayfa1!G8,IF($G$14="Ürün 4",Sayfa1!I8,IF($G$14="Ürün 5",Sayfa1!K8,IF($G$14="Ürün 6",Sayfa1!M8," ")))))))</f>
        <v>0</v>
      </c>
      <c r="I4" s="371"/>
      <c r="J4" s="372"/>
      <c r="AQ4" s="65" t="s">
        <v>180</v>
      </c>
      <c r="AR4" s="65" t="s">
        <v>181</v>
      </c>
      <c r="AT4" s="65" t="s">
        <v>182</v>
      </c>
      <c r="AU4" s="65">
        <v>190</v>
      </c>
      <c r="AV4" s="80" t="s">
        <v>183</v>
      </c>
      <c r="AW4" s="65" t="s">
        <v>184</v>
      </c>
    </row>
    <row r="5" spans="2:49">
      <c r="B5" s="81"/>
      <c r="C5" s="82"/>
      <c r="D5" s="83"/>
      <c r="F5" s="365" t="s">
        <v>185</v>
      </c>
      <c r="G5" s="366"/>
      <c r="H5" s="378"/>
      <c r="I5" s="379"/>
      <c r="J5" s="380"/>
      <c r="AV5" s="80"/>
    </row>
    <row r="6" spans="2:49">
      <c r="B6" s="81"/>
      <c r="C6" s="82"/>
      <c r="D6" s="83"/>
      <c r="F6" s="365" t="s">
        <v>186</v>
      </c>
      <c r="G6" s="366"/>
      <c r="H6" s="391"/>
      <c r="I6" s="392"/>
      <c r="J6" s="393"/>
      <c r="AQ6" s="65" t="s">
        <v>52</v>
      </c>
      <c r="AT6" s="65" t="s">
        <v>52</v>
      </c>
      <c r="AU6" s="65">
        <v>200</v>
      </c>
      <c r="AV6" s="80" t="s">
        <v>187</v>
      </c>
      <c r="AW6" s="65" t="s">
        <v>188</v>
      </c>
    </row>
    <row r="7" spans="2:49">
      <c r="B7" s="81"/>
      <c r="C7" s="82"/>
      <c r="D7" s="83"/>
      <c r="F7" s="365" t="s">
        <v>189</v>
      </c>
      <c r="G7" s="366"/>
      <c r="H7" s="383" t="s">
        <v>281</v>
      </c>
      <c r="I7" s="384"/>
      <c r="J7" s="385"/>
      <c r="AV7" s="80"/>
    </row>
    <row r="8" spans="2:49">
      <c r="B8" s="81"/>
      <c r="C8" s="82"/>
      <c r="D8" s="83"/>
      <c r="F8" s="365" t="s">
        <v>190</v>
      </c>
      <c r="G8" s="366"/>
      <c r="H8" s="383"/>
      <c r="I8" s="384"/>
      <c r="J8" s="385"/>
      <c r="AV8" s="80"/>
    </row>
    <row r="9" spans="2:49" ht="18">
      <c r="B9" s="81"/>
      <c r="C9" s="82"/>
      <c r="D9" s="83"/>
      <c r="F9" s="386" t="s">
        <v>191</v>
      </c>
      <c r="G9" s="387"/>
      <c r="H9" s="388" t="s">
        <v>192</v>
      </c>
      <c r="I9" s="389"/>
      <c r="J9" s="390"/>
      <c r="AQ9" s="75" t="s">
        <v>173</v>
      </c>
      <c r="AS9" s="75" t="s">
        <v>173</v>
      </c>
      <c r="AU9" s="65">
        <v>210</v>
      </c>
      <c r="AV9" s="80" t="s">
        <v>193</v>
      </c>
      <c r="AW9" s="65" t="s">
        <v>194</v>
      </c>
    </row>
    <row r="10" spans="2:49" ht="15" thickBot="1">
      <c r="B10" s="84"/>
      <c r="C10" s="85"/>
      <c r="D10" s="86"/>
      <c r="F10" s="400" t="s">
        <v>537</v>
      </c>
      <c r="G10" s="401"/>
      <c r="H10" s="87">
        <v>0.39500000000000002</v>
      </c>
      <c r="I10" s="17" t="s">
        <v>195</v>
      </c>
      <c r="J10" s="88">
        <f>H10*D18</f>
        <v>0</v>
      </c>
      <c r="AQ10" s="65" t="s">
        <v>196</v>
      </c>
      <c r="AS10" s="65" t="s">
        <v>197</v>
      </c>
      <c r="AU10" s="65">
        <v>250</v>
      </c>
      <c r="AV10" s="80" t="s">
        <v>198</v>
      </c>
      <c r="AW10" s="65" t="s">
        <v>52</v>
      </c>
    </row>
    <row r="11" spans="2:49" ht="15" thickBot="1">
      <c r="B11" s="402"/>
      <c r="C11" s="403"/>
      <c r="D11" s="404"/>
      <c r="F11" s="408" t="s">
        <v>538</v>
      </c>
      <c r="G11" s="409"/>
      <c r="H11" s="89">
        <v>9.6000000000000002E-2</v>
      </c>
      <c r="I11" s="18" t="s">
        <v>195</v>
      </c>
      <c r="J11" s="90">
        <f>H11*D18</f>
        <v>0</v>
      </c>
      <c r="AV11" s="80"/>
    </row>
    <row r="12" spans="2:49" ht="15" thickBot="1">
      <c r="B12" s="405"/>
      <c r="C12" s="406"/>
      <c r="D12" s="407"/>
      <c r="F12" s="91"/>
      <c r="G12" s="56" t="s">
        <v>199</v>
      </c>
      <c r="H12" s="19">
        <f>SUM(H10+H11)</f>
        <v>0.49099999999999999</v>
      </c>
      <c r="I12" s="20" t="s">
        <v>200</v>
      </c>
      <c r="J12" s="21">
        <f>SUM(J10+J11)</f>
        <v>0</v>
      </c>
      <c r="AV12" s="80"/>
    </row>
    <row r="13" spans="2:49" ht="15" customHeight="1" thickBot="1">
      <c r="B13" s="69" t="s">
        <v>201</v>
      </c>
      <c r="C13" s="373">
        <f>IF($G$14="Seçiniz."," ",IF($G$14="Ürün 1",Sayfa1!C5,IF($G$14="Ürün 2",Sayfa1!E5,IF($G$14="Ürün 3",Sayfa1!G5,IF($G$14="Ürün 4",Sayfa1!I5,IF($G$14="Ürün 5",Sayfa1!K5,IF($G$14="Ürün 6",Sayfa1!M5,)))))))</f>
        <v>0</v>
      </c>
      <c r="D13" s="374"/>
      <c r="E13" s="374"/>
      <c r="F13" s="375"/>
      <c r="G13" s="376" t="s">
        <v>267</v>
      </c>
      <c r="H13" s="376"/>
      <c r="I13" s="376"/>
      <c r="J13" s="377"/>
      <c r="AQ13" s="65" t="s">
        <v>202</v>
      </c>
      <c r="AU13" s="65">
        <v>280</v>
      </c>
      <c r="AV13" s="80" t="s">
        <v>203</v>
      </c>
    </row>
    <row r="14" spans="2:49" ht="15" customHeight="1" thickBot="1">
      <c r="B14" s="92" t="s">
        <v>204</v>
      </c>
      <c r="C14" s="378">
        <f>IF($G$14="Seçiniz."," ",IF($G$14="Ürün 1",IF(Sayfa1!C47="Diğer",Sayfa1!D47,Sayfa1!C47),IF($G$14="Ürün 2",IF(Sayfa1!E47="Diğer",Sayfa1!F47,Sayfa1!E47),IF($G$14="Ürün 3",IF(Sayfa1!G47="Diğer",Sayfa1!H47,Sayfa1!G47),IF($G$14="Ürün 4",IF(Sayfa1!I47="Diğer",Sayfa1!J47,Sayfa1!I47),IF($G$14="Ürün 5",IF(Sayfa1!K47="Diğer",Sayfa1!L47,Sayfa1!K47),IF($G$14="Ürün 6",IF(Sayfa1!M47="Diğer",Sayfa1!N47,Sayfa1!M47),)))))))</f>
        <v>0</v>
      </c>
      <c r="D14" s="379"/>
      <c r="E14" s="379"/>
      <c r="F14" s="380"/>
      <c r="G14" s="381" t="s">
        <v>288</v>
      </c>
      <c r="H14" s="381"/>
      <c r="I14" s="381"/>
      <c r="J14" s="382"/>
      <c r="AV14" s="80"/>
    </row>
    <row r="15" spans="2:49">
      <c r="B15" s="92" t="s">
        <v>205</v>
      </c>
      <c r="C15" s="394">
        <f>IF($G$14="Seçiniz."," ",IF($G$14="Ürün 1",Sayfa1!C7,IF($G$14="Ürün 2",Sayfa1!E7,IF($G$14="Ürün 3",Sayfa1!G7,IF($G$14="Ürün 4",Sayfa1!I7,IF($G$14="Ürün 5",Sayfa1!K7,IF($G$14="Ürün 6",Sayfa1!M7,)))))))</f>
        <v>0</v>
      </c>
      <c r="D15" s="395"/>
      <c r="E15" s="395"/>
      <c r="F15" s="396"/>
      <c r="G15" s="397" t="s">
        <v>206</v>
      </c>
      <c r="H15" s="398"/>
      <c r="I15" s="398"/>
      <c r="J15" s="399"/>
      <c r="AQ15" s="65" t="s">
        <v>207</v>
      </c>
      <c r="AU15" s="65">
        <v>300</v>
      </c>
      <c r="AV15" s="80" t="s">
        <v>208</v>
      </c>
    </row>
    <row r="16" spans="2:49">
      <c r="B16" s="92" t="s">
        <v>209</v>
      </c>
      <c r="C16" s="423">
        <f>IF($G$14="Seçiniz."," ",IF($G$14="Ürün 1",Sayfa1!C4,IF($G$14="Ürün 2",Sayfa1!E4,IF($G$14="Ürün 3",Sayfa1!G4,IF($G$14="Ürün 4",Sayfa1!I4,IF($G$14="Ürün 5",Sayfa1!K4,IF($G$14="Ürün 6",Sayfa1!M4,)))))))</f>
        <v>0</v>
      </c>
      <c r="D16" s="424"/>
      <c r="E16" s="424"/>
      <c r="F16" s="425"/>
      <c r="G16" s="426" t="s">
        <v>210</v>
      </c>
      <c r="H16" s="428" t="s">
        <v>211</v>
      </c>
      <c r="I16" s="428" t="s">
        <v>212</v>
      </c>
      <c r="J16" s="430" t="s">
        <v>213</v>
      </c>
      <c r="AU16" s="65" t="s">
        <v>52</v>
      </c>
      <c r="AV16" s="80" t="s">
        <v>214</v>
      </c>
    </row>
    <row r="17" spans="2:48" ht="15.6">
      <c r="B17" s="92" t="s">
        <v>215</v>
      </c>
      <c r="C17" s="432" t="str">
        <f>IF($G$14="Seçiniz.","",IF($G$14="Ürün 1",IF(Sayfa1!D4="","",Sayfa1!D4),
IF($G$14="Ürün 2",IF(Sayfa1!F4="","",Sayfa1!F4),
IF($G$14="Ürün 3",IF(Sayfa1!H4="","",Sayfa1!H4),
IF($G$14="Ürün 4",IF(Sayfa1!J4="","",Sayfa1!J4),
IF($G$14="Ürün 5",IF(Sayfa1!L4="","",Sayfa1!L4),
IF($G$14="Ürün 6",IF(Sayfa1!N4="","",Sayfa1!N4))))))))</f>
        <v/>
      </c>
      <c r="D17" s="433"/>
      <c r="E17" s="433"/>
      <c r="F17" s="434"/>
      <c r="G17" s="427"/>
      <c r="H17" s="429"/>
      <c r="I17" s="429"/>
      <c r="J17" s="431"/>
      <c r="AV17" s="80"/>
    </row>
    <row r="18" spans="2:48" ht="16.2" thickBot="1">
      <c r="B18" s="92" t="s">
        <v>216</v>
      </c>
      <c r="C18" s="93" t="s">
        <v>305</v>
      </c>
      <c r="D18" s="410">
        <f>IF(G14="Seçiniz.","",IF(AND(G14="Ürün 1",C18="Miktar 1"),'Quotation Sheet'!H23,IF(AND(G14="Ürün 1",C18="Miktar 2"),'Quotation Sheet'!H24,IF(AND(G14="Ürün 1",C18="Miktar 3"),'Quotation Sheet'!H25,IF(AND(G14="Ürün 1",C18="Miktar 4"),'Quotation Sheet'!H26,IF(AND(G14="Ürün 1",C18="Miktar 5"),'Quotation Sheet'!H27,IF(AND(G14="Ürün 2",C18="Miktar 1"),'Quotation Sheet'!H28,IF(AND(G14="Ürün 2",C18="Miktar 2"),'Quotation Sheet'!H29,IF(AND(G14="Ürün 2",C18="Miktar 3"),'Quotation Sheet'!H30,IF(AND(G14="Ürün 2",C18="Miktar 4"),'Quotation Sheet'!H31,IF(AND(G14="Ürün 2",C18="Miktar 5"),'Quotation Sheet'!H32,IF(AND(G14="Ürün 3",C18="Miktar 1"),'Quotation Sheet'!H33,IF(AND(G14="Ürün 3",C18="Miktar 2"),'Quotation Sheet'!H34,IF(AND(G14="Ürün 3",C18="Miktar 3"),'Quotation Sheet'!H35,IF(AND(G14="Ürün 3",C18="Miktar 4"),'Quotation Sheet'!H36,IF(AND(G14="Ürün 3",C18="Miktar 5"),'Quotation Sheet'!H37,IF(AND(G14="Ürün 4",C18="Miktar 1"),'Quotation Sheet'!H38,IF(AND(G14="Ürün 4",C18="Miktar 2"),'Quotation Sheet'!H39,IF(AND(G14="Ürün 4",C18="Miktar 3"),'Quotation Sheet'!H40,IF(AND(G14="Ürün 4",C18="Miktar 4"),'Quotation Sheet'!H41,IF(AND(G14="Ürün 4",C18="Miktar 5"),'Quotation Sheet'!H42,IF(AND(G14="Ürün 5",C18="Miktar 1"),'Quotation Sheet'!H43,IF(AND(G14="Ürün 5",C18="Miktar 2"),'Quotation Sheet'!H44,IF(AND(G14="Ürün 5",C18="Miktar 3"),'Quotation Sheet'!H45,IF(AND(G14="Ürün 5",C18="Miktar 4"),'Quotation Sheet'!H46,IF(AND(G14="Ürün 5",C18="Miktar 5"),'Quotation Sheet'!H47,IF(AND(G14="Ürün 6",C18="Miktar 1"),'Quotation Sheet'!H48,IF(AND(G14="Ürün 6",C18="Miktar 2"),'Quotation Sheet'!H49,IF(AND(G14="Ürün 6",C18="Miktar 3"),'Quotation Sheet'!H50,IF(AND(G14="Ürün 6",C18="Miktar 4"),'Quotation Sheet'!H51,IF(AND(G14="Ürün 6",C18="Miktar 5"),'Quotation Sheet'!H52,)))))))))))))))))))))))))))))))</f>
        <v>0</v>
      </c>
      <c r="E18" s="410"/>
      <c r="F18" s="411"/>
      <c r="G18" s="57">
        <v>16</v>
      </c>
      <c r="H18" s="58">
        <v>8</v>
      </c>
      <c r="I18" s="58">
        <v>12</v>
      </c>
      <c r="J18" s="59" t="str">
        <f>IF(G14="Seçiniz."," ",IF(G14="Ürün 1",RIGHT(Sayfa1!C11,1),IF(G14="Ürün 2",RIGHT(Sayfa1!E11,1),IF(G14="Ürün 3",RIGHT(Sayfa1!G11,1),IF(G14="Ürün 4",RIGHT(Sayfa1!I11,1),IF(G14="Ürün 5",RIGHT(Sayfa1!K11,1),IF(G14="Ürün 6",RIGHT(Sayfa1!M11,1),)))))))</f>
        <v/>
      </c>
      <c r="AP18" s="75" t="s">
        <v>173</v>
      </c>
      <c r="AQ18" s="75" t="s">
        <v>173</v>
      </c>
      <c r="AR18" s="75" t="s">
        <v>173</v>
      </c>
      <c r="AT18" s="75" t="s">
        <v>173</v>
      </c>
      <c r="AV18" s="80" t="s">
        <v>52</v>
      </c>
    </row>
    <row r="19" spans="2:48" ht="15" thickBot="1">
      <c r="B19" s="94" t="s">
        <v>217</v>
      </c>
      <c r="C19" s="412" t="str">
        <f>IF($G$14="Seçiniz.","",IF($G$14="Ürün 1",IF(Sayfa1!C61="","",Sayfa1!C61),
IF($G$14="Ürün 2",IF(Sayfa1!E61="","",Sayfa1!E61),
IF($G$14="Ürün 3",IF(Sayfa1!G61="","",Sayfa1!G61),
IF($G$14="Ürün 4",IF(Sayfa1!I61="","",Sayfa1!I61),
IF($G$14="Ürün 5",IF(Sayfa1!K61="","",Sayfa1!K61),
IF($G$14="Ürün 6",IF(Sayfa1!M61="","",Sayfa1!M61))))))))</f>
        <v/>
      </c>
      <c r="D19" s="412"/>
      <c r="E19" s="412"/>
      <c r="F19" s="412"/>
      <c r="G19" s="412"/>
      <c r="H19" s="412"/>
      <c r="I19" s="412"/>
      <c r="J19" s="413"/>
      <c r="AP19" s="75"/>
      <c r="AQ19" s="75"/>
      <c r="AR19" s="75"/>
      <c r="AT19" s="75"/>
      <c r="AV19" s="80"/>
    </row>
    <row r="20" spans="2:48" ht="15" customHeight="1" thickBot="1">
      <c r="B20" s="95"/>
      <c r="J20" s="96"/>
      <c r="AP20" s="65">
        <v>1</v>
      </c>
      <c r="AQ20" s="65" t="s">
        <v>219</v>
      </c>
      <c r="AR20" s="65" t="s">
        <v>174</v>
      </c>
      <c r="AT20" s="65" t="s">
        <v>220</v>
      </c>
      <c r="AV20" s="80"/>
    </row>
    <row r="21" spans="2:48">
      <c r="B21" s="414" t="s">
        <v>221</v>
      </c>
      <c r="C21" s="415"/>
      <c r="D21" s="415"/>
      <c r="E21" s="415"/>
      <c r="F21" s="415"/>
      <c r="G21" s="415"/>
      <c r="H21" s="415"/>
      <c r="I21" s="415"/>
      <c r="J21" s="416"/>
      <c r="N21" s="97"/>
      <c r="AP21" s="65">
        <v>2</v>
      </c>
      <c r="AQ21" s="65" t="s">
        <v>52</v>
      </c>
      <c r="AR21" s="65">
        <v>1</v>
      </c>
      <c r="AT21" s="65" t="s">
        <v>222</v>
      </c>
      <c r="AV21" s="80"/>
    </row>
    <row r="22" spans="2:48" ht="11.25" customHeight="1" thickBot="1">
      <c r="B22" s="417"/>
      <c r="C22" s="418"/>
      <c r="D22" s="418"/>
      <c r="E22" s="418"/>
      <c r="F22" s="418"/>
      <c r="G22" s="418"/>
      <c r="H22" s="418"/>
      <c r="I22" s="418"/>
      <c r="J22" s="419"/>
      <c r="P22" s="65" t="s">
        <v>99</v>
      </c>
      <c r="AP22" s="65">
        <v>3</v>
      </c>
      <c r="AR22" s="65">
        <v>2</v>
      </c>
      <c r="AT22" s="65" t="s">
        <v>52</v>
      </c>
    </row>
    <row r="23" spans="2:48" ht="15" thickBot="1">
      <c r="B23" s="420" t="s">
        <v>9</v>
      </c>
      <c r="C23" s="421"/>
      <c r="D23" s="44" t="s">
        <v>28</v>
      </c>
      <c r="E23" s="420" t="s">
        <v>569</v>
      </c>
      <c r="F23" s="422"/>
      <c r="G23" s="421"/>
      <c r="H23" s="75" t="s">
        <v>223</v>
      </c>
      <c r="I23" s="420" t="s">
        <v>224</v>
      </c>
      <c r="J23" s="421"/>
      <c r="AP23" s="65">
        <v>4</v>
      </c>
      <c r="AR23" s="65">
        <v>3</v>
      </c>
    </row>
    <row r="24" spans="2:48" ht="15" thickBot="1">
      <c r="B24" s="408" t="str">
        <f>IF($G$14="Seçiniz."," ",IF($G$14="Ürün 1",IF(OR(Sayfa1!C13="",Sayfa1!C13="Seçiniz"),"",Sayfa1!C13),IF($G$14="Ürün 2",IF(OR(Sayfa1!E13="",Sayfa1!E13="Seçiniz"),"",Sayfa1!E13),IF($G$14="Ürün 3",IF(OR(Sayfa1!G13="",Sayfa1!G13="Seçiniz"),"",Sayfa1!G13),IF($G$14="Ürün 4",IF(OR(Sayfa1!I13="",Sayfa1!I13="Seçiniz"),"",Sayfa1!I13),IF($G$14="Ürün 5",IF(OR(Sayfa1!K13="",Sayfa1!K13="Seçiniz"),"",Sayfa1!K13),IF($G$14="Ürün 6",IF(OR(Sayfa1!M13="",Sayfa1!M13="Seçiniz"),"",Sayfa1!M13))))))))</f>
        <v/>
      </c>
      <c r="C24" s="409"/>
      <c r="D24" s="60">
        <f>IF($G$14="Seçiniz."," ",IF($G$14="Ürün 1",Sayfa1!C12,IF($G$14="Ürün 2",Sayfa1!E12,IF($G$14="Ürün 3",Sayfa1!G12,IF($G$14="Ürün 4",Sayfa1!I12,IF($G$14="Ürün 5",Sayfa1!K12,(IF($G$14="Ürün 6",Sayfa1!M12))))))))</f>
        <v>0</v>
      </c>
      <c r="E24" s="437" t="str">
        <f>IF(G14="Seçiniz.","",IF(G14="Ürün 1",IF(OR(B24="Seçiniz",B24=""),"",IF(B24="DIŞ BASKI",'Quotation Sheet'!E59,IF(B24="İÇ BASKI",'Quotation Sheet'!E60,IF(B24="İÇ + DIŞ BASKI",CONCATENATE('Quotation Sheet'!E60,"   ",'Quotation Sheet'!E59))))),IF(G14="Ürün 2",IF(OR(B24="Seçiniz",B24=""),"",IF(B24="DIŞ BASKI",'Quotation Sheet'!F59,IF(B24="İÇ BASKI",'Quotation Sheet'!F60,IF(B24="İÇ + DIŞ BASKI",CONCATENATE('Quotation Sheet'!F60,"   ",'Quotation Sheet'!F59))))),IF(G14="Ürün 3",IF(OR(B24="Seçiniz",B24=""),"",IF(B24="DIŞ BASKI",'Quotation Sheet'!G59,IF(B24="İÇ BASKI",'Quotation Sheet'!G60,IF(B24="İÇ + DIŞ BASKI",CONCATENATE('Quotation Sheet'!G60,"   ",'Quotation Sheet'!G59))))),IF(G14="Ürün 4",IF(OR(B24="Seçiniz",B24=""),"",IF(B24="DIŞ BASKI",'Quotation Sheet'!H59,IF(B24="İÇ BASKI",'Quotation Sheet'!H60,IF(B24="İÇ + DIŞ BASKI",CONCATENATE('Quotation Sheet'!H60,"   ",'Quotation Sheet'!H59))))),IF(G14="Ürün 5",IF(OR(B24="Seçiniz",B24=""),"",IF(B24="DIŞ BASKI",'Quotation Sheet'!I59,IF(B24="İÇ BASKI",'Quotation Sheet'!I60,IF(B24="İÇ + DIŞ BASKI",CONCATENATE('Quotation Sheet'!I60,"   ",'Quotation Sheet'!I59))))),IF(G14="Ürün 6",IF(OR(B24="Seçiniz",B24=""),"",IF(B24="DIŞ BASKI",'Quotation Sheet'!K59,IF(B24="İÇ BASKI",'Quotation Sheet'!K60,IF(B24="İÇ + DIŞ BASKI",CONCATENATE('Quotation Sheet'!K60,"   ",'Quotation Sheet'!K59)))))))
)))))</f>
        <v/>
      </c>
      <c r="F24" s="438"/>
      <c r="G24" s="439"/>
      <c r="H24" s="135"/>
      <c r="I24" s="437"/>
      <c r="J24" s="439"/>
      <c r="AP24" s="65" t="s">
        <v>225</v>
      </c>
      <c r="AR24" s="65">
        <v>4</v>
      </c>
    </row>
    <row r="25" spans="2:48" ht="19.5" customHeight="1" thickBot="1">
      <c r="B25" s="440" t="str">
        <f>IF($G$14="Seçiniz.","",IF($G$14="Ürün 1",IF(Sayfa1!D13="","",Sayfa1!D13),
IF($G$14="Ürün 2",IF(Sayfa1!F13="","",Sayfa1!F13),
IF($G$14="Ürün 3",IF(Sayfa1!H13="","",Sayfa1!H13),
IF($G$14="Ürün 4",IF(Sayfa1!J13="","",Sayfa1!J13),
IF($G$14="Ürün 5",IF(Sayfa1!L13="","",Sayfa1!L13),
IF($G$14="Ürün 6",IF(Sayfa1!N13="","",Sayfa1!N13))))))))</f>
        <v/>
      </c>
      <c r="C25" s="441"/>
      <c r="D25" s="60" t="str">
        <f>IF($G$14="Seçiniz.","",IF($G$14="Ürün 1",IF(Sayfa1!D12="","",Sayfa1!D12),
IF($G$14="Ürün 2",IF(Sayfa1!F12="","",Sayfa1!F12),
IF($G$14="Ürün 3",IF(Sayfa1!H12="","",Sayfa1!H12),
IF($G$14="Ürün 4",IF(Sayfa1!J12="","",Sayfa1!J12),
IF($G$14="Ürün 5",IF(Sayfa1!L12="","",Sayfa1!L12),
IF($G$14="Ürün 6",IF(Sayfa1!N12="","",Sayfa1!N12))))))))</f>
        <v/>
      </c>
      <c r="E25" s="442"/>
      <c r="F25" s="443"/>
      <c r="G25" s="443"/>
      <c r="H25" s="443"/>
      <c r="I25" s="443"/>
      <c r="J25" s="444"/>
    </row>
    <row r="26" spans="2:48" ht="21.6" thickBot="1">
      <c r="B26" s="445" t="s">
        <v>226</v>
      </c>
      <c r="C26" s="446"/>
      <c r="D26" s="447"/>
      <c r="E26" s="447"/>
      <c r="F26" s="447"/>
      <c r="G26" s="447"/>
      <c r="H26" s="447"/>
      <c r="I26" s="447"/>
      <c r="J26" s="448"/>
    </row>
    <row r="27" spans="2:48">
      <c r="B27" s="61" t="s">
        <v>227</v>
      </c>
      <c r="C27" s="62" t="s">
        <v>228</v>
      </c>
      <c r="D27" s="48" t="s">
        <v>539</v>
      </c>
      <c r="E27" s="48" t="s">
        <v>271</v>
      </c>
      <c r="F27" s="48" t="s">
        <v>272</v>
      </c>
      <c r="G27" s="48" t="s">
        <v>273</v>
      </c>
      <c r="H27" s="48" t="s">
        <v>274</v>
      </c>
      <c r="I27" s="48" t="s">
        <v>275</v>
      </c>
      <c r="J27" s="98" t="s">
        <v>276</v>
      </c>
    </row>
    <row r="28" spans="2:48" ht="26.25" customHeight="1">
      <c r="B28" s="449">
        <f>IF($G$14="Seçiniz."," ",IF($G$14="Ürün 1",Sayfa1!C17,IF($G$14="Ürün 2",Sayfa1!E17,IF($G$14="Ürün 3",Sayfa1!G17,IF($G$14="Ürün 4",Sayfa1!I17,IF($G$14="Ürün 5",Sayfa1!K17,IF($G$14="Ürün 6",Sayfa1!M17,)))))))</f>
        <v>0</v>
      </c>
      <c r="C28" s="63">
        <f>IF($G$14="Seçiniz."," ",IF($G$14="Ürün 1",Sayfa1!D17,IF($G$14="Ürün 2",Sayfa1!F17,IF($G$14="Ürün 3",Sayfa1!H17,IF($G$14="Ürün 4",Sayfa1!J17,IF($G$14="Ürün 5",Sayfa1!L17,IF($G$14="Ürün 6",Sayfa1!N17,)))))))</f>
        <v>0</v>
      </c>
      <c r="D28" s="452" t="str">
        <f>IF($G$14="Seçiniz."," ",
IF($G$14="Ürün 1",IF(OR(Sayfa1!C18="Seçiniz.",Sayfa1!C18=""),"",IF(Sayfa1!C18="Diğer",Sayfa1!D18,Sayfa1!C18)),
IF($G$14="Ürün 2",IF(OR(Sayfa1!E18="Seçiniz.",Sayfa1!E18=""),"",IF(Sayfa1!E18="Diğer",Sayfa1!F18,Sayfa1!E18)),
IF($G$14="Ürün 3",IF(OR(Sayfa1!G18="Seçiniz.",Sayfa1!G18=""),"",IF(Sayfa1!G18="Diğer",Sayfa1!H18,Sayfa1!G18)),
IF($G$14="Ürün 4",IF(OR(Sayfa1!I18="Seçiniz.",Sayfa1!I18=""),"",IF(Sayfa1!I18="Diğer",Sayfa1!J18,Sayfa1!I18)),
IF($G$14="Ürün 5",IF(OR(Sayfa1!K18="Seçiniz.",Sayfa1!K18=""),"",IF(Sayfa1!K18="Diğer",Sayfa1!L18,Sayfa1!K18)),
IF($G$14="Ürün 6",IF(OR(Sayfa1!M18="Seçiniz.",Sayfa1!M18=""),"",IF(Sayfa1!M18="Diğer",Sayfa1!N18,Sayfa1!M18)),
" "
)))))))</f>
        <v/>
      </c>
      <c r="E28" s="52" t="str">
        <f>IF($G$14="Seçiniz."," ",IF($G$14="Ürün 1",IF(OR(Sayfa1!C31="Seçiniz",Sayfa1!C31=""),"",Sayfa1!C31),IF($G$14="Ürün 2",IF(OR(Sayfa1!E31="Seçiniz",Sayfa1!E31=""),"",Sayfa1!E31),IF($G$14="Ürün 3",IF(OR(Sayfa1!G31="Seçiniz",Sayfa1!G31=""),"",Sayfa1!G31),IF($G$14="Ürün 4",IF(OR(Sayfa1!I31="Seçiniz",Sayfa1!I31=""),"",Sayfa1!I31),IF($G$14="Ürün 5",IF(OR(Sayfa1!K31="Seçiniz",Sayfa1!K31=""),"",Sayfa1!K31),IF($G$14="Ürün 6",IF(OR(Sayfa1!M31="Seçiniz",Sayfa1!M31=""),"",Sayfa1!M31))))))))</f>
        <v/>
      </c>
      <c r="F28" s="52" t="str">
        <f>IF($G$14="Seçiniz."," ",IF($G$14="Ürün 1",IF(OR(Sayfa1!C32="Seçiniz",Sayfa1!C31=""),"",Sayfa1!C32),IF($G$14="Ürün 2",IF(OR(Sayfa1!E32="Seçiniz",Sayfa1!E32=""),"",Sayfa1!E32),IF($G$14="Ürün 3",IF(OR(Sayfa1!G32="Seçiniz",Sayfa1!G32=""),"",Sayfa1!G32),IF($G$14="Ürün 4",IF(OR(Sayfa1!I32="Seçiniz",Sayfa1!I32=""),"",Sayfa1!I32),IF($G$14="Ürün 5",IF(OR(Sayfa1!K32="Seçiniz",Sayfa1!K32=""),"",Sayfa1!K32),IF($G$14="Ürün 6",IF(OR(Sayfa1!M32="Seçiniz",Sayfa1!M32=""),"",Sayfa1!M32))))))))</f>
        <v/>
      </c>
      <c r="G28" s="52" t="str">
        <f>IF($G$14="Seçiniz."," ",IF($G$14="Ürün 1",IF(OR(Sayfa1!C33="Seçiniz",Sayfa1!C33=""),"",Sayfa1!C33),IF($G$14="Ürün 2",IF(OR(Sayfa1!E33="Seçiniz",Sayfa1!E33=""),"",Sayfa1!E33),IF($G$14="Ürün 3",IF(OR(Sayfa1!G33="Seçiniz",Sayfa1!G33=""),"",Sayfa1!G33),IF($G$14="Ürün 4",IF(OR(Sayfa1!I33="Seçiniz",Sayfa1!I33=""),"",Sayfa1!I33),IF($G$14="Ürün 5",IF(OR(Sayfa1!K33="Seçiniz",Sayfa1!K33=""),"",Sayfa1!K33),IF($G$14="Ürün 6",IF(OR(Sayfa1!M33="Seçiniz",Sayfa1!M33=""),"",Sayfa1!M33))))))))</f>
        <v/>
      </c>
      <c r="H28" s="52" t="str">
        <f>IF($G$14="Seçiniz."," ",IF($G$14="Ürün 1",IF(OR(Sayfa1!C34="Seçiniz",Sayfa1!C34=""),"",Sayfa1!C34),IF($G$14="Ürün 2",IF(OR(Sayfa1!E34="Seçiniz",Sayfa1!E34=""),"",Sayfa1!E34),IF($G$14="Ürün 3",IF(OR(Sayfa1!G34="Seçiniz",Sayfa1!G34=""),"",Sayfa1!G34),IF($G$14="Ürün 4",IF(OR(Sayfa1!I34="Seçiniz",Sayfa1!I34=""),"",Sayfa1!I34),IF($G$14="Ürün 5",IF(OR(Sayfa1!K34="Seçiniz",Sayfa1!K34=""),"",Sayfa1!K34),IF($G$14="Ürün 6",IF(OR(Sayfa1!M34="Seçiniz",Sayfa1!M34=""),"",Sayfa1!M34))))))))</f>
        <v/>
      </c>
      <c r="I28" s="52" t="str">
        <f>IF($G$14="Seçiniz."," ",IF($G$14="Ürün 1",IF(OR(Sayfa1!C35="Seçiniz",Sayfa1!C35=""),"",Sayfa1!C35),IF($G$14="Ürün 2",IF(OR(Sayfa1!E35="Seçiniz",Sayfa1!E35=""),"",Sayfa1!E35),IF($G$14="Ürün 3",IF(OR(Sayfa1!G35="Seçiniz",Sayfa1!G35=""),"",Sayfa1!G35),IF($G$14="Ürün 4",IF(OR(Sayfa1!I35="Seçiniz",Sayfa1!I35=""),"",Sayfa1!I35),IF($G$14="Ürün 5",IF(OR(Sayfa1!K35="Seçiniz",Sayfa1!K35=""),"",Sayfa1!K35),IF($G$14="Ürün 6",IF(OR(Sayfa1!M35="Seçiniz",Sayfa1!M35=""),"",Sayfa1!M35))))))))</f>
        <v/>
      </c>
      <c r="J28" s="64" t="str">
        <f>IF($G$14="Seçiniz."," ",IF($G$14="Ürün 1",IF(OR(Sayfa1!C36="Seçiniz",Sayfa1!C36=""),"",Sayfa1!C36),IF($G$14="Ürün 2",IF(OR(Sayfa1!E36="Seçiniz",Sayfa1!E36=""),"",Sayfa1!E36),IF($G$14="Ürün 3",IF(OR(Sayfa1!G36="Seçiniz",Sayfa1!G36=""),"",Sayfa1!G36),IF($G$14="Ürün 4",IF(OR(Sayfa1!I36="Seçiniz",Sayfa1!I36=""),"",Sayfa1!I36),IF($G$14="Ürün 5",IF(OR(Sayfa1!K36="Seçiniz",Sayfa1!K36=""),"",Sayfa1!K36),IF($G$14="Ürün 6",IF(OR(Sayfa1!M36="Seçiniz",Sayfa1!M36=""),"",Sayfa1!M36))))))))</f>
        <v/>
      </c>
    </row>
    <row r="29" spans="2:48" ht="27" customHeight="1">
      <c r="B29" s="450"/>
      <c r="C29" s="63"/>
      <c r="D29" s="453"/>
      <c r="E29" s="125">
        <f>IF($G$14="Seçiniz."," ",IF($G$14="Ürün 1",IF(Sayfa1!C31="Seçiniz","",Sayfa1!D31),IF($G$14="Ürün 2",IF(Sayfa1!E31="Seçiniz","",Sayfa1!F31),IF($G$14="Ürün 3",IF(Sayfa1!G31="Seçiniz","",Sayfa1!H31),IF($G$14="Ürün 4",IF(Sayfa1!I31="Seçiniz","",Sayfa1!J31),IF($G$14="Ürün 5",IF(Sayfa1!K31="Seçiniz","",Sayfa1!L31),IF($G$14="Ürün 6",IF(Sayfa1!M31="Seçiniz","",Sayfa1!N31))))))))</f>
        <v>0</v>
      </c>
      <c r="F29" s="123">
        <f>IF($G$14="Seçiniz."," ",IF($G$14="Ürün 1",IF(Sayfa1!C32="Seçiniz","",Sayfa1!D32),IF($G$14="Ürün 2",IF(Sayfa1!E32="Seçiniz","",Sayfa1!F32),IF($G$14="Ürün 3",IF(Sayfa1!G32="Seçiniz","",Sayfa1!H32),IF($G$14="Ürün 4",IF(Sayfa1!I32="Seçiniz","",Sayfa1!J32),IF($G$14="Ürün 5",IF(Sayfa1!K32="Seçiniz","",Sayfa1!L32),IF($G$14="Ürün 6",IF(Sayfa1!M32="Seçiniz","",Sayfa1!N32))))))))</f>
        <v>0</v>
      </c>
      <c r="G29" s="123">
        <f>IF($G$14="Seçiniz."," ",IF($G$14="Ürün 1",IF(Sayfa1!C33="Seçiniz","",Sayfa1!D33),IF($G$14="Ürün 2",IF(Sayfa1!E33="Seçiniz","",Sayfa1!F33),IF($G$14="Ürün 3",IF(Sayfa1!G33="Seçiniz","",Sayfa1!H33),IF($G$14="Ürün 4",IF(Sayfa1!I33="Seçiniz","",Sayfa1!J33),IF($G$14="Ürün 5",IF(Sayfa1!K33="Seçiniz","",Sayfa1!L33),IF($G$14="Ürün 6",IF(Sayfa1!M33="Seçiniz","",Sayfa1!N33))))))))</f>
        <v>0</v>
      </c>
      <c r="H29" s="126">
        <f>IF($G$14="Seçiniz."," ",IF($G$14="Ürün 1",IF(Sayfa1!C34="Seçiniz","",Sayfa1!D34),IF($G$14="Ürün 2",IF(Sayfa1!E34="Seçiniz","",Sayfa1!F34),IF($G$14="Ürün 3",IF(Sayfa1!G34="Seçiniz","",Sayfa1!H34),IF($G$14="Ürün 4",IF(Sayfa1!I34="Seçiniz","",Sayfa1!J34),IF($G$14="Ürün 5",IF(Sayfa1!K34="Seçiniz","",Sayfa1!L34),IF($G$14="Ürün 6",IF(Sayfa1!M34="Seçiniz","",Sayfa1!N34))))))))</f>
        <v>0</v>
      </c>
      <c r="I29" s="126">
        <f>IF($G$14="Seçiniz."," ",IF($G$14="Ürün 1",IF(Sayfa1!C35="Seçiniz","",Sayfa1!D35),IF($G$14="Ürün 2",IF(Sayfa1!E35="Seçiniz","",Sayfa1!F35),IF($G$14="Ürün 3",IF(Sayfa1!G35="Seçiniz","",Sayfa1!H35),IF($G$14="Ürün 4",IF(Sayfa1!I35="Seçiniz","",Sayfa1!J35),IF($G$14="Ürün 5",IF(Sayfa1!K35="Seçiniz","",Sayfa1!L35),IF($G$14="Ürün 6",IF(Sayfa1!M35="Seçiniz","",Sayfa1!N35))))))))</f>
        <v>0</v>
      </c>
      <c r="J29" s="131">
        <f>IF($G$14="Seçiniz."," ",IF($G$14="Ürün 1",IF(Sayfa1!C36="Seçiniz","",Sayfa1!D36),IF($G$14="Ürün 2",IF(Sayfa1!E36="Seçiniz","",Sayfa1!F36),IF($G$14="Ürün 3",IF(Sayfa1!G36="Seçiniz","",Sayfa1!H36),IF($G$14="Ürün 4",IF(Sayfa1!I36="Seçiniz","",Sayfa1!J36),IF($G$14="Ürün 5",IF(Sayfa1!K36="Seçiniz","",Sayfa1!L36),IF($G$14="Ürün 6",IF(Sayfa1!M36="Seçiniz","",Sayfa1!N36))))))))</f>
        <v>0</v>
      </c>
    </row>
    <row r="30" spans="2:48" ht="26.25" customHeight="1">
      <c r="B30" s="450"/>
      <c r="C30" s="66"/>
      <c r="D30" s="43" t="s">
        <v>540</v>
      </c>
      <c r="E30" s="45" t="s">
        <v>277</v>
      </c>
      <c r="F30" s="46" t="s">
        <v>278</v>
      </c>
      <c r="G30" s="46" t="s">
        <v>279</v>
      </c>
      <c r="H30" s="47" t="s">
        <v>280</v>
      </c>
      <c r="I30" s="132" t="s">
        <v>525</v>
      </c>
      <c r="J30" s="130"/>
    </row>
    <row r="31" spans="2:48" ht="28.5" customHeight="1">
      <c r="B31" s="450"/>
      <c r="C31" s="99"/>
      <c r="D31" s="452" t="str">
        <f>IF($G$14="Seçiniz."," ",
IF($G$14="Ürün 1",IF(OR(Sayfa1!C19="Seçiniz.",Sayfa1!C19=""),"",IF(Sayfa1!C19="Diğer",Sayfa1!D19,Sayfa1!C19)),
IF($G$14="Ürün 2",IF(OR(Sayfa1!E19="Seçiniz.",Sayfa1!E19=""),"",IF(Sayfa1!E19="Diğer",Sayfa1!F19,Sayfa1!E19)),
IF($G$14="Ürün 3",IF(OR(Sayfa1!G19="Seçiniz.",Sayfa1!G19=""),"",IF(Sayfa1!G19="Diğer",Sayfa1!H19,Sayfa1!G19)),
IF($G$14="Ürün 4",IF(OR(Sayfa1!I19="Seçiniz.",Sayfa1!I19=""),"",IF(Sayfa1!I19="Diğer",Sayfa1!J19,Sayfa1!I19)),
IF($G$14="Ürün 5",IF(OR(Sayfa1!K19="Seçiniz.",Sayfa1!K19=""),"",IF(Sayfa1!K19="Diğer",Sayfa1!L19,Sayfa1!K19)),
IF($G$14="Ürün 6",IF(OR(Sayfa1!M19="Seçiniz.",Sayfa1!M19=""),"",IF(Sayfa1!M19="Diğer",Sayfa1!N19,Sayfa1!M19)),
" "
)))))))</f>
        <v/>
      </c>
      <c r="E31" s="52" t="str">
        <f>IF($G$14="Seçiniz."," ",IF($G$14="Ürün 1",IF(OR(Sayfa1!C37="Seçiniz",Sayfa1!C37=""),"",Sayfa1!C37),IF($G$14="Ürün 2",IF(OR(Sayfa1!E37="Seçiniz",Sayfa1!E37=""),"",Sayfa1!E37),IF($G$14="Ürün 3",IF(OR(Sayfa1!G37="Seçiniz",Sayfa1!G37=""),"",Sayfa1!G37),IF($G$14="Ürün 4",IF(OR(Sayfa1!I37="Seçiniz",Sayfa1!I37=""),"",Sayfa1!I37),IF($G$14="Ürün 5",IF(OR(Sayfa1!K37="Seçiniz",Sayfa1!K37=""),"",Sayfa1!K37),IF($G$14="Ürün 6",IF(OR(Sayfa1!M37="Seçiniz",Sayfa1!M37=""),"",Sayfa1!M37))))))))</f>
        <v/>
      </c>
      <c r="F31" s="52" t="str">
        <f>IF($G$14="Seçiniz."," ",IF($G$14="Ürün 1",IF(OR(Sayfa1!C38="Seçiniz",Sayfa1!C38=""),"",Sayfa1!C38),IF($G$14="Ürün 2",IF(OR(Sayfa1!E38="Seçiniz",Sayfa1!E38=""),"",Sayfa1!E38),IF($G$14="Ürün 3",IF(OR(Sayfa1!G38="Seçiniz",Sayfa1!G38=""),"",Sayfa1!G38),IF($G$14="Ürün 4",IF(OR(Sayfa1!I38="Seçiniz",Sayfa1!I38=""),"",Sayfa1!I38),IF($G$14="Ürün 5",IF(OR(Sayfa1!K38="Seçiniz",Sayfa1!K38=""),"",Sayfa1!K38),IF($G$14="Ürün 6",IF(OR(Sayfa1!M38="Seçiniz",Sayfa1!M38=""),"",Sayfa1!M38))))))))</f>
        <v/>
      </c>
      <c r="G31" s="52" t="str">
        <f>IF($G$14="Seçiniz."," ",IF($G$14="Ürün 1",IF(OR(Sayfa1!C39="Seçiniz",Sayfa1!C39=""),"",Sayfa1!C39),IF($G$14="Ürün 2",IF(OR(Sayfa1!E39="Seçiniz",Sayfa1!E39=""),"",Sayfa1!E39),IF($G$14="Ürün 3",IF(OR(Sayfa1!G39="Seçiniz",Sayfa1!G39=""),"",Sayfa1!G39),IF($G$14="Ürün 4",IF(OR(Sayfa1!I39="Seçiniz",Sayfa1!I39=""),"",Sayfa1!I39),IF($G$14="Ürün 5",IF(OR(Sayfa1!K39="Seçiniz",Sayfa1!K39=""),"",Sayfa1!K39),IF($G$14="Ürün 6",IF(OR(Sayfa1!M39="Seçiniz",Sayfa1!M39=""),"",Sayfa1!M39))))))))</f>
        <v/>
      </c>
      <c r="H31" s="64" t="str">
        <f>IF($G$14="Seçiniz."," ",IF($G$14="Ürün 1",IF(OR(Sayfa1!C40="Seçiniz",Sayfa1!C40=""),"",Sayfa1!C40),IF($G$14="Ürün 2",IF(OR(Sayfa1!E40="Seçiniz",Sayfa1!E40=""),"",Sayfa1!E40),IF($G$14="Ürün 3",IF(OR(Sayfa1!G40="Seçiniz",Sayfa1!G40=""),"",Sayfa1!G40),IF($G$14="Ürün 4",IF(OR(Sayfa1!I40="Seçiniz",Sayfa1!I40=""),"",Sayfa1!I40),IF($G$14="Ürün 5",IF(OR(Sayfa1!K40="Seçiniz",Sayfa1!K40=""),"",Sayfa1!K40),IF($G$14="Ürün 6",IF(OR(Sayfa1!M40="Seçiniz",Sayfa1!M40=""),"",Sayfa1!M40))))))))</f>
        <v/>
      </c>
      <c r="I31" s="133" t="str">
        <f>IF($G$14="Seçiniz."," ",IF($G$14="Ürün 1",IF(OR(Sayfa1!C41="Seçiniz",Sayfa1!C41=""),"",Sayfa1!C41),IF($G$14="Ürün 2",IF(OR(Sayfa1!E41="Seçiniz",Sayfa1!E41=""),"",Sayfa1!E41),IF($G$14="Ürün 3",IF(OR(Sayfa1!G41="Seçiniz",Sayfa1!G41=""),"",Sayfa1!G41),IF($G$14="Ürün 4",IF(OR(Sayfa1!I41="Seçiniz",Sayfa1!I41=""),"",Sayfa1!I41),IF($G$14="Ürün 5",IF(OR(Sayfa1!K41="Seçiniz",Sayfa1!K41=""),"",Sayfa1!K41),IF($G$14="Ürün 6",IF(OR(Sayfa1!M41="Seçiniz",Sayfa1!M41=""),"",Sayfa1!M41))))))))</f>
        <v/>
      </c>
      <c r="J31" s="134"/>
    </row>
    <row r="32" spans="2:48" ht="19.5" customHeight="1">
      <c r="B32" s="451"/>
      <c r="C32" s="100"/>
      <c r="D32" s="453"/>
      <c r="E32" s="123">
        <f>IF($G$14="Seçiniz."," ",IF($G$14="Ürün 1",IF(Sayfa1!C37="Seçiniz","",Sayfa1!D37),IF($G$14="Ürün 2",IF(Sayfa1!E37="Seçiniz","",Sayfa1!F37),IF($G$14="Ürün 3",IF(Sayfa1!G37="Seçiniz","",Sayfa1!H37),IF($G$14="Ürün 4",IF(Sayfa1!I37="Seçiniz","",Sayfa1!J37),IF($G$14="Ürün 5",IF(Sayfa1!K37="Seçiniz","",Sayfa1!L37),IF($G$14="Ürün 6",IF(Sayfa1!M37="Seçiniz","",Sayfa1!N37))))))))</f>
        <v>0</v>
      </c>
      <c r="F32" s="123">
        <f>IF($G$14="Seçiniz."," ",IF($G$14="Ürün 1",IF(Sayfa1!C38="Seçiniz","",Sayfa1!D38),IF($G$14="Ürün 2",IF(Sayfa1!E38="Seçiniz","",Sayfa1!F38),IF($G$14="Ürün 3",IF(Sayfa1!G38="Seçiniz","",Sayfa1!H38),IF($G$14="Ürün 4",IF(Sayfa1!I38="Seçiniz","",Sayfa1!J38),IF($G$14="Ürün 5",IF(Sayfa1!K38="Seçiniz","",Sayfa1!L38),IF($G$14="Ürün 6",IF(Sayfa1!M38="Seçiniz","",Sayfa1!N38))))))))</f>
        <v>0</v>
      </c>
      <c r="G32" s="123">
        <f>IF($G$14="Seçiniz."," ",IF($G$14="Ürün 1",IF(Sayfa1!C39="Seçiniz","",Sayfa1!D39),IF($G$14="Ürün 2",IF(Sayfa1!E39="Seçiniz","",Sayfa1!F39),IF($G$14="Ürün 3",IF(Sayfa1!G39="Seçiniz","",Sayfa1!H39),IF($G$14="Ürün 4",IF(Sayfa1!I39="Seçiniz","",Sayfa1!J39),IF($G$14="Ürün 5",IF(Sayfa1!K39="Seçiniz","",Sayfa1!L39),IF($G$14="Ürün 6",IF(Sayfa1!M39="Seçiniz","",Sayfa1!N39))))))))</f>
        <v>0</v>
      </c>
      <c r="H32" s="124">
        <f>IF($G$14="Seçiniz."," ",IF($G$14="Ürün 1",IF(Sayfa1!C40="Seçiniz","",Sayfa1!D40),IF($G$14="Ürün 2",IF(Sayfa1!E40="Seçiniz","",Sayfa1!F40),IF($G$14="Ürün 3",IF(Sayfa1!G40="Seçiniz","",Sayfa1!H40),IF($G$14="Ürün 4",IF(Sayfa1!I40="Seçiniz","",Sayfa1!J40),IF($G$14="Ürün 5",IF(Sayfa1!K40="Seçiniz","",Sayfa1!L40),IF($G$14="Ürün 6",IF(Sayfa1!M40="Seçiniz","",Sayfa1!N40))))))))</f>
        <v>0</v>
      </c>
      <c r="I32" s="67">
        <f>IF($G$14="Seçiniz."," ",IF($G$14="Ürün 1",Sayfa1!D41,IF($G$14="Ürün 2",Sayfa1!F41,IF($G$14="Ürün 3",Sayfa1!H41,IF($G$14="Ürün 4",Sayfa1!J41,IF($G$14="Ürün 5",Sayfa1!L41,IF($G$14="Ürün 6",Sayfa1!N41," ")))))))</f>
        <v>0</v>
      </c>
      <c r="J32" s="134"/>
    </row>
    <row r="33" spans="2:10" ht="19.5" customHeight="1">
      <c r="B33" s="122"/>
      <c r="C33" s="454"/>
      <c r="D33" s="455"/>
      <c r="E33" s="455"/>
      <c r="F33" s="455"/>
      <c r="G33" s="455"/>
      <c r="H33" s="455"/>
      <c r="I33" s="455"/>
      <c r="J33" s="456"/>
    </row>
    <row r="34" spans="2:10" ht="10.5" customHeight="1" thickBot="1">
      <c r="B34" s="84"/>
      <c r="C34" s="85"/>
      <c r="D34" s="85"/>
      <c r="E34" s="85"/>
      <c r="F34" s="457"/>
      <c r="G34" s="457"/>
      <c r="H34" s="457"/>
      <c r="I34" s="457"/>
      <c r="J34" s="458"/>
    </row>
    <row r="35" spans="2:10" ht="18.899999999999999" customHeight="1" thickBot="1">
      <c r="B35" s="101" t="s">
        <v>690</v>
      </c>
      <c r="C35" s="459" t="str">
        <f>IF($G$14="Seçiniz.","",IF($G$14="Ürün 1",IF(Sayfa1!C20="","",Sayfa1!C20),
IF($G$14="Ürün 2",IF(Sayfa1!E20="","",Sayfa1!E20),
IF($G$14="Ürün 3",IF(Sayfa1!G20="","",Sayfa1!G20),
IF($G$14="Ürün 4",IF(Sayfa1!I20="","",Sayfa1!I20),
IF($G$14="Ürün 5",IF(Sayfa1!K20="","",Sayfa1!K20),
IF($G$14="Ürün 6",IF(Sayfa1!M20="","",Sayfa1!M20))))))))</f>
        <v/>
      </c>
      <c r="D35" s="460"/>
      <c r="E35" s="102" t="str">
        <f>IF(C35="", " ",
 IF($G$14="Seçiniz.", "",
  IF($G$14="Ürün 1",
   IF(Sayfa1!C20="ÇİFT (GÖVDE + KATLAMA)",
    CONCATENATE(VALUE(LEFT(Sayfa1!D20,3)/2), " + ", VALUE(LEFT(Sayfa1!D20,3)/2)),
    Sayfa1!D20),
   IF($G$14="Ürün 2",
    IF(Sayfa1!E20="ÇİFT (GÖVDE + KATLAMA)",
     CONCATENATE(VALUE(LEFT(Sayfa1!F20,3)/2), " + ", VALUE(LEFT(Sayfa1!F20,3)/2)),
     Sayfa1!F20),
    IF($G$14="Ürün 3",
     IF(Sayfa1!G20="ÇİFT (GÖVDE + KATLAMA)",
      CONCATENATE(VALUE(LEFT(Sayfa1!H20,3)/2), " + ", VALUE(LEFT(Sayfa1!H20,3)/2)),
      Sayfa1!H20),
     IF($G$14="Ürün 4",
      IF(Sayfa1!I20="ÇİFT (GÖVDE + KATLAMA)",
       CONCATENATE(VALUE(LEFT(Sayfa1!J20,3)/2), " + ", VALUE(LEFT(Sayfa1!J20,3)/2)),
       Sayfa1!J20),
      IF($G$14="Ürün 5",
       IF(Sayfa1!K20="ÇİFT (GÖVDE + KATLAMA)",
        CONCATENATE(VALUE(LEFT(Sayfa1!L20,3)/2), " + ", VALUE(LEFT(Sayfa1!L20,3)/2)),
        Sayfa1!L20),
       IF($G$14="Ürün 6",
        IF(Sayfa1!M20="ÇİFT (GÖVDE + KATLAMA)",
         CONCATENATE(VALUE(LEFT(Sayfa1!N20,3)/2), " + ", VALUE(LEFT(Sayfa1!N20,3)/2)),
        Sayfa1!N20)
       )
      )
     )
    )
   )
  )
 )
)</f>
        <v xml:space="preserve"> </v>
      </c>
      <c r="F35" s="461"/>
      <c r="G35" s="462"/>
      <c r="H35" s="462"/>
      <c r="I35" s="462"/>
      <c r="J35" s="463"/>
    </row>
    <row r="36" spans="2:10" ht="18.899999999999999" customHeight="1" thickBot="1">
      <c r="B36" s="146" t="s">
        <v>691</v>
      </c>
      <c r="C36" s="470" t="str">
        <f>IF($G$14="Seçiniz."," ",
IF($G$14="Ürün 1",IF(OR(Sayfa1!C21="Seçiniz.",Sayfa1!C21=""),"",IF(Sayfa1!C21="Diğer",Sayfa1!D21,Sayfa1!C21)),
IF($G$14="Ürün 2",IF(OR(Sayfa1!E21="Seçiniz.",Sayfa1!E21=""),"",IF(Sayfa1!E21="Diğer",Sayfa1!F21,Sayfa1!E21)),
IF($G$14="Ürün 3",IF(OR(Sayfa1!G21="Seçiniz.",Sayfa1!G21=""),"",IF(Sayfa1!G21="Diğer",Sayfa1!H21,Sayfa1!G21)),
IF($G$14="Ürün 4",IF(OR(Sayfa1!I21="Seçiniz.",Sayfa1!I21=""),"",IF(Sayfa1!I21="Diğer",Sayfa1!J21,Sayfa1!I21)),
IF($G$14="Ürün 5",IF(OR(Sayfa1!K21="Seçiniz.",Sayfa1!K21=""),"",IF(Sayfa1!K21="Diğer",Sayfa1!L121,Sayfa1!K21)),
IF($G$14="Ürün 6",IF(OR(Sayfa1!M21="Seçiniz.",Sayfa1!M21=""),"",IF(Sayfa1!M21="Diğer",Sayfa1!N21,Sayfa1!M21)),
" "
)))))))</f>
        <v/>
      </c>
      <c r="D36" s="471"/>
      <c r="E36" s="144" t="str">
        <f>IF($G$14="Seçiniz.","",IF($G$14="Ürün 1",IF(Sayfa1!D21="","",Sayfa1!D21),
IF($G$14="Ürün 2",IF(Sayfa1!F21="","",Sayfa1!F21),
IF($G$14="Ürün 3",IF(Sayfa1!H21="","",Sayfa1!H21),
IF($G$14="Ürün 4",IF(Sayfa1!J21="","",Sayfa1!J21),
IF($G$14="Ürün 5",IF(Sayfa1!L21="","",Sayfa1!L21),
IF($G$14="Ürün 6",IF(Sayfa1!N21="","",Sayfa1!N21))))))))</f>
        <v/>
      </c>
      <c r="F36" s="464"/>
      <c r="G36" s="465"/>
      <c r="H36" s="465"/>
      <c r="I36" s="465"/>
      <c r="J36" s="466"/>
    </row>
    <row r="37" spans="2:10" ht="18.899999999999999" customHeight="1" thickBot="1">
      <c r="B37" s="103" t="s">
        <v>694</v>
      </c>
      <c r="C37" s="472" t="str">
        <f>IF($G$14="Seçiniz.","",IF($G$14="Ürün 1",IF(OR(Sayfa1!C22="Seçiniz.",Sayfa1!C22="DİP KARTON YOK",Sayfa1!C22=""),"",Sayfa1!C22),
IF($G$14="Ürün 2",IF(OR(Sayfa1!E22="Seçiniz.",Sayfa1!E22="DİP KARTON YOK",Sayfa1!E22=""),"",Sayfa1!E22),
IF($G$14="Ürün 3",IF(OR(Sayfa1!G22="Seçiniz.",Sayfa1!G22="DİP KARTON YOK",Sayfa1!G22=""),"",Sayfa1!G22),
IF($G$14="Ürün 4",IF(OR(Sayfa1!I22="Seçiniz.",Sayfa1!I22="DİP KARTON YOK",Sayfa1!I22=""),"",Sayfa1!I22),
IF($G$14="Ürün 5",IF(OR(Sayfa1!K22="Seçiniz.",Sayfa1!K22="DİP KARTON YOK",Sayfa1!K22=""),"",Sayfa1!K22),
IF($G$14="Ürün 6",IF(OR(Sayfa1!M22="Seçiniz.",Sayfa1MK21="DİP KARTON YOK",Sayfa1!M22=""),"",Sayfa1!K22))))))))</f>
        <v/>
      </c>
      <c r="D37" s="473"/>
      <c r="E37" s="104" t="str">
        <f>IF($G$14="Seçiniz.","",IF($G$14="Ürün 1",IF(Sayfa1!D22="","",Sayfa1!D22),
IF($G$14="Ürün 2",IF(Sayfa1!F22="","",Sayfa1!F22),
IF($G$14="Ürün 3",IF(Sayfa1!H22="","",Sayfa1!H22),
IF($G$14="Ürün 4",IF(Sayfa1!J22="","",Sayfa1!J22),
IF($G$14="Ürün 5",IF(Sayfa1!L22="","",Sayfa1!L22),
IF($G$14="Ürün 6",IF(Sayfa1!N22="","",Sayfa1!N22))))))))</f>
        <v/>
      </c>
      <c r="F37" s="467"/>
      <c r="G37" s="468"/>
      <c r="H37" s="468"/>
      <c r="I37" s="468"/>
      <c r="J37" s="469"/>
    </row>
    <row r="38" spans="2:10" ht="18.899999999999999" customHeight="1" thickBot="1">
      <c r="B38" s="105"/>
      <c r="C38" s="106"/>
      <c r="D38" s="106"/>
      <c r="E38" s="107"/>
      <c r="F38" s="82"/>
      <c r="G38" s="82"/>
      <c r="H38" s="82"/>
      <c r="I38" s="82"/>
      <c r="J38" s="83"/>
    </row>
    <row r="39" spans="2:10" ht="18.600000000000001" customHeight="1">
      <c r="B39" s="68" t="s">
        <v>230</v>
      </c>
      <c r="C39" s="435" t="s">
        <v>231</v>
      </c>
      <c r="D39" s="436"/>
      <c r="E39" s="435" t="s">
        <v>232</v>
      </c>
      <c r="F39" s="436"/>
      <c r="G39" s="474" t="s">
        <v>233</v>
      </c>
      <c r="H39" s="475"/>
      <c r="I39" s="476" t="s">
        <v>234</v>
      </c>
      <c r="J39" s="477"/>
    </row>
    <row r="40" spans="2:10" ht="18.600000000000001" customHeight="1">
      <c r="B40" s="70">
        <f>IF($G$14="Seçiniz."," ",IF($G$14="Ürün 1",IF(Sayfa1!C23="DİĞER",Sayfa1!D23,Sayfa1!C23),
IF($G$14="Ürün 2",IF(Sayfa1!E23="DİĞER",Sayfa1!F23,Sayfa1!E23),
IF($G$14="Ürün 3",IF(Sayfa1!G23="DİĞER",Sayfa1!H23,Sayfa1!G23),
IF($G$14="Ürün 4",IF(Sayfa1!I23="DİĞER",Sayfa1!J23,Sayfa1!I23),
IF($G$14="Ürün 5",IF(Sayfa1!K23="DİĞER",Sayfa1!L23,Sayfa1!K23),
IF($G$14="Ürün 6",IF(Sayfa1!M23="DİĞER",Sayfa1!N23,Sayfa1!M23))))))))</f>
        <v>0</v>
      </c>
      <c r="C40" s="365">
        <f>IF(OR($G$14="Seçiniz.",Sayfa1!C26="Seçiniz.")," ",
IF($G$14="Ürün 1",Sayfa1!C26,
IF($G$14="Ürün 2",Sayfa1!E26,
IF($G$14="Ürün 3",Sayfa1!G26,
IF($G$14="Ürün 4",Sayfa1!I26,
IF($G$14="Ürün 5",Sayfa1!K26,
IF($G$14="Ürün 6",Sayfa1!M26,)))))))</f>
        <v>0</v>
      </c>
      <c r="D40" s="366"/>
      <c r="E40" s="365">
        <f>IF($G$14="Seçiniz."," ",IF($G$14="Ürün 1",Sayfa1!C27,IF($G$14="Ürün 2",Sayfa1!E27,IF($G$14="Ürün 3",Sayfa1!G27,IF($G$14="Ürün 4",Sayfa1!I27,IF($G$14="Ürün 5",Sayfa1!K27,IF($G$14="Ürün 6",Sayfa1!M27,)))))))</f>
        <v>0</v>
      </c>
      <c r="F40" s="366"/>
      <c r="G40" s="532">
        <f>IF(C43="YOK"," ",IF($G$14="Seçiniz."," ",IF($G$14="Ürün 1",Sayfa1!C30,IF($G$14="Ürün 2",Sayfa1!E30,IF($G$14="Ürün 3",Sayfa1!G30,IF($G$14="Ürün 4",Sayfa1!I30,IF($G$14="Ürün 5",Sayfa1!K30,IF($G$14="Ürün 6",Sayfa1!M30,))))))))</f>
        <v>0</v>
      </c>
      <c r="H40" s="533"/>
      <c r="I40" s="514"/>
      <c r="J40" s="515"/>
    </row>
    <row r="41" spans="2:10" ht="18.600000000000001" customHeight="1">
      <c r="B41" s="70">
        <f>IF($G$14="Seçiniz.", " ", IF($G$14="Ürün 1",IF(Sayfa1!C24="DİĞER",Sayfa1!D24,Sayfa1!C24),
    IF($G$14="Ürün 2",IF(Sayfa1!E24="DİĞER",Sayfa1!F24,Sayfa1!E24),
    IF($G$14="Ürün 3",IF(Sayfa1!G24="DİĞER",Sayfa1!H24,Sayfa1!G24),
    IF($G$14="Ürün 4",IF(Sayfa1!I24="DİĞER",Sayfa1!J24,Sayfa1!I24),
    IF($G$14="Ürün 5",IF(Sayfa1!K24="DİĞER",Sayfa1!L24,Sayfa1!K24),
    IF($G$14="Ürün 6", IF(Sayfa1!M24="DİĞER",Sayfa1!N24,Sayfa1!M24))))))))</f>
        <v>0</v>
      </c>
      <c r="C41" s="365">
        <f>IF($G$14="Seçiniz."," ",IF($G$14="Ürün 1",Sayfa1!D26,IF($G$14="Ürün 2",Sayfa1!F26,IF($G$14="Ürün 3",Sayfa1!H26,IF($G$14="Ürün 4",Sayfa1!J26,IF($G$14="Ürün 5",Sayfa1!L26,IF($G$14="Ürün 6",Sayfa1!N26,)))))))</f>
        <v>0</v>
      </c>
      <c r="D41" s="366"/>
      <c r="E41" s="520" t="s">
        <v>591</v>
      </c>
      <c r="F41" s="521"/>
      <c r="G41" s="522">
        <f>IF(G14="Seçiniz."," ",IF(G14="Ürün 1",Sayfa1!D30,IF(G14="Ürün 2",Sayfa1!F30,IF(G14="Ürün 3",Sayfa1!H30,IF(G14="Ürün 4",Sayfa1!J30,IF(G14="Ürün 5",Sayfa1!L30,IF(G14="Ürün 6",Sayfa1!N30,)))))))</f>
        <v>0</v>
      </c>
      <c r="H41" s="523"/>
      <c r="I41" s="516"/>
      <c r="J41" s="517"/>
    </row>
    <row r="42" spans="2:10" ht="18.600000000000001" customHeight="1">
      <c r="B42" s="71" t="str">
        <f>IF($G$14="Seçiniz."," ",IF($G$14="Ürün 1",CONCATENATE(Sayfa1!C25,"  ",Sayfa1!D25),IF($G$14="Ürün 2",CONCATENATE(Sayfa1!E25,"  ",Sayfa1!F25),IF($G$14="Ürün 3",CONCATENATE(Sayfa1!G25,"  ",Sayfa1!H25),IF($G$14="Ürün 4",CONCATENATE(Sayfa1!I25,"  ",Sayfa1!J25),IF($G$14="Ürün 5",CONCATENATE(Sayfa1!K25,"  ",Sayfa1!L25),IF($G$14="Ürün 6",CONCATENATE(Sayfa1!M25,"  ",Sayfa1!N25,))))))))</f>
        <v xml:space="preserve">  </v>
      </c>
      <c r="C42" s="365"/>
      <c r="D42" s="366"/>
      <c r="E42" s="365" t="str">
        <f>IF($G$14="Seçiniz."," ",IF($G$14="Ürün 1",IF(OR(Sayfa1!C28="",Sayfa1!C28="Seçiniz."),"",IF(Sayfa1!C28="DİĞER",Sayfa1!D28,CONCATENATE(Sayfa1!C28,"/ ",Sayfa1!D28))),
IF($G$14="Ürün 2",IF(OR(Sayfa1!E28="",Sayfa1!E28="Seçiniz."),"",IF(Sayfa1!E28="DİĞER",Sayfa1!F28,CONCATENATE(Sayfa1!E28,"/ ",Sayfa1!F28))),
IF($G$14="Ürün 3",IF(OR(Sayfa1!G28="",Sayfa1!G28="Seçiniz."),"",IF(Sayfa1!G28="DİĞER",Sayfa1!H28,CONCATENATE(Sayfa1!G28,"/ ",Sayfa1!H28))),
IF($G$14="Ürün 4",IF(OR(Sayfa1!I28="",Sayfa1!I28="Seçiniz."),"",IF(Sayfa1!I28="DİĞER",Sayfa1!J28,CONCATENATE(Sayfa1!I28,"/ ",Sayfa1!J28))),
IF($G$14="Ürün 5",IF(OR(Sayfa1!K28="",Sayfa1!K28="Seçiniz."),"",IF(Sayfa1!K28="DİĞER",Sayfa1!L28,CONCATENATE(Sayfa1!K28,"/ ",Sayfa1!L28))),
IF($G$14="Ürün 6",IF(OR(Sayfa1!M28="",Sayfa1!M28="Seçiniz."),"",IF(Sayfa1!M28="DİĞER",Sayfa1!N28,CONCATENATE(Sayfa1!M28,"/ ",Sayfa1N28))))))))))</f>
        <v/>
      </c>
      <c r="F42" s="366"/>
      <c r="G42" s="524"/>
      <c r="H42" s="525"/>
      <c r="I42" s="516"/>
      <c r="J42" s="517"/>
    </row>
    <row r="43" spans="2:10" ht="18.600000000000001" customHeight="1" thickBot="1">
      <c r="B43" s="72"/>
      <c r="C43" s="526"/>
      <c r="D43" s="527"/>
      <c r="E43" s="528" t="str">
        <f>IF($G$14="Seçiniz."," ",IF($G$14="Ürün 1",IF(OR(Sayfa1!C29="",Sayfa1!C29="Seçiniz."),"",IF(Sayfa1!C29="DİĞER",Sayfa1!D28,CONCATENATE(Sayfa1!C29,"/ ",Sayfa1!D29))),
IF($G$14="Ürün 2",IF(OR(Sayfa1!E29="",Sayfa1!E29="Seçiniz."),"",IF(Sayfa1!E29="DİĞER",Sayfa1!F29,CONCATENATE(Sayfa1!E29,"/ ",Sayfa1!F29))),
IF($G$14="Ürün 3",IF(OR(Sayfa1!G29="",Sayfa1!G29="Seçiniz."),"",IF(Sayfa1!G29="DİĞER",Sayfa1!H29,CONCATENATE(Sayfa1!G29,"/ ",Sayfa1!H29))),
IF($G$14="Ürün 4",IF(OR(Sayfa1!I29="",Sayfa1!I29="Seçiniz."),"",IF(Sayfa1!I29="DİĞER",Sayfa1!J29,CONCATENATE(Sayfa1!I29,"/ ",Sayfa1!J29))),
IF($G$14="Ürün 5",IF(OR(Sayfa1!K29="",Sayfa1!K29="Seçiniz."),"",IF(Sayfa1!K29="DİĞER",Sayfa1!L29,CONCATENATE(Sayfa1!K29,"/ ",Sayfa1!L29))),
IF($G$14="Ürün 6",IF(OR(Sayfa1!M29="",Sayfa1!M29="Seçiniz."),"",IF(Sayfa1!M29="DİĞER",Sayfa1!N29,CONCATENATE(Sayfa1!M29,"/ ",Sayfa1N29))))))))))</f>
        <v/>
      </c>
      <c r="F43" s="529"/>
      <c r="G43" s="530"/>
      <c r="H43" s="531"/>
      <c r="I43" s="516"/>
      <c r="J43" s="517"/>
    </row>
    <row r="44" spans="2:10" ht="18.600000000000001" customHeight="1">
      <c r="B44" s="492"/>
      <c r="C44" s="493"/>
      <c r="D44" s="493"/>
      <c r="E44" s="493"/>
      <c r="F44" s="494"/>
      <c r="G44" s="499"/>
      <c r="H44" s="500"/>
      <c r="I44" s="516"/>
      <c r="J44" s="517"/>
    </row>
    <row r="45" spans="2:10" ht="18.600000000000001" customHeight="1">
      <c r="B45" s="495"/>
      <c r="C45" s="496"/>
      <c r="D45" s="496"/>
      <c r="E45" s="496"/>
      <c r="F45" s="497"/>
      <c r="G45" s="501"/>
      <c r="H45" s="502"/>
      <c r="I45" s="516"/>
      <c r="J45" s="517"/>
    </row>
    <row r="46" spans="2:10" ht="18.600000000000001" customHeight="1">
      <c r="B46" s="495"/>
      <c r="C46" s="496"/>
      <c r="D46" s="496"/>
      <c r="E46" s="496"/>
      <c r="F46" s="497"/>
      <c r="G46" s="503"/>
      <c r="H46" s="504"/>
      <c r="I46" s="516"/>
      <c r="J46" s="517"/>
    </row>
    <row r="47" spans="2:10" ht="18.600000000000001" customHeight="1">
      <c r="B47" s="495"/>
      <c r="C47" s="496"/>
      <c r="D47" s="496"/>
      <c r="E47" s="496"/>
      <c r="F47" s="497"/>
      <c r="G47" s="505"/>
      <c r="H47" s="506"/>
      <c r="I47" s="516"/>
      <c r="J47" s="517"/>
    </row>
    <row r="48" spans="2:10" ht="18.600000000000001" customHeight="1" thickBot="1">
      <c r="B48" s="495"/>
      <c r="C48" s="496"/>
      <c r="D48" s="496"/>
      <c r="E48" s="496"/>
      <c r="F48" s="497"/>
      <c r="G48" s="507"/>
      <c r="H48" s="491"/>
      <c r="I48" s="518"/>
      <c r="J48" s="519"/>
    </row>
    <row r="49" spans="2:10" ht="18.600000000000001" customHeight="1" thickBot="1">
      <c r="B49" s="498"/>
      <c r="C49" s="457"/>
      <c r="D49" s="457"/>
      <c r="E49" s="457"/>
      <c r="F49" s="458"/>
      <c r="G49" s="108"/>
      <c r="H49" s="108"/>
      <c r="I49" s="108"/>
      <c r="J49" s="109"/>
    </row>
    <row r="50" spans="2:10" ht="18.600000000000001" customHeight="1" thickBot="1">
      <c r="B50" s="508" t="s">
        <v>235</v>
      </c>
      <c r="C50" s="509"/>
      <c r="D50" s="509"/>
      <c r="E50" s="510"/>
      <c r="F50" s="511" t="s">
        <v>236</v>
      </c>
      <c r="G50" s="512"/>
      <c r="H50" s="512"/>
      <c r="I50" s="512"/>
      <c r="J50" s="513"/>
    </row>
    <row r="51" spans="2:10" ht="18.600000000000001" customHeight="1" thickBot="1">
      <c r="B51" s="478" t="s">
        <v>237</v>
      </c>
      <c r="C51" s="479"/>
      <c r="D51" s="479"/>
      <c r="E51" s="480"/>
      <c r="F51" s="481" t="s">
        <v>238</v>
      </c>
      <c r="G51" s="482"/>
      <c r="H51" s="482"/>
      <c r="I51" s="483" t="str">
        <f>IF($G$14="Seçiniz."," ",
IF($G$14="Ürün 1",IF(Sayfa1!C55="Diğer",Sayfa1!D55,CONCATENATE(Sayfa1!C55," ",Sayfa1!D55)),
IF($G$14="Ürün 2",IF(Sayfa1!E55="Diğer",Sayfa1!F55,CONCATENATE(Sayfa1!E55," ",Sayfa1!F55)),
IF($G$14="Ürün 3",IF(Sayfa1!G55="Diğer",Sayfa1!H55,CONCATENATE(Sayfa1!G55," ",Sayfa1!H55)),
IF($G$14="Ürün 4",IF(Sayfa1!I55="Diğer",Sayfa1!J55,CONCATENATE(Sayfa1!I55," ",Sayfa1!J55)),
IF($G$14="Ürün 5",IF(Sayfa1!K55="Diğer",Sayfa1!L55,CONCATENATE(Sayfa1!K55," ",Sayfa1!L55)),
IF($G$14="Ürün 6",IF(Sayfa1!M55="Diğer",Sayfa1!N55,CONCATENATE(Sayfa1!M55," ",Sayfa1!N55)),
" "
)))))))</f>
        <v xml:space="preserve"> </v>
      </c>
      <c r="J51" s="484"/>
    </row>
    <row r="52" spans="2:10" ht="18.600000000000001" customHeight="1" thickBot="1">
      <c r="B52" s="485"/>
      <c r="C52" s="486"/>
      <c r="D52" s="486"/>
      <c r="E52" s="487"/>
      <c r="F52" s="488" t="s">
        <v>239</v>
      </c>
      <c r="G52" s="489"/>
      <c r="H52" s="489"/>
      <c r="I52" s="490"/>
      <c r="J52" s="491"/>
    </row>
    <row r="53" spans="2:10" ht="30" customHeight="1">
      <c r="B53" s="534" t="s">
        <v>240</v>
      </c>
      <c r="C53" s="535"/>
      <c r="D53" s="535"/>
      <c r="E53" s="536"/>
      <c r="F53" s="537" t="s">
        <v>241</v>
      </c>
      <c r="G53" s="538"/>
      <c r="H53" s="539"/>
      <c r="I53" s="481">
        <f>IF($G$14="Seçiniz."," ",
IF($G$14="Ürün 1",IF(Sayfa1!C56="Diğer",Sayfa1!D56,Sayfa1!C56),
IF($G$14="Ürün 2",IF(Sayfa1!E56="Diğer",Sayfa1!F56,Sayfa1!E56),
IF($G$14="Ürün 3",IF(Sayfa1!G56="Diğer",Sayfa1!H56,Sayfa1!G56),
IF($G$14="Ürün 4",IF(Sayfa1!I56="Diğer",Sayfa1!J56,Sayfa1!I56),
IF($G$14="Ürün 5",IF(Sayfa1!K56="Diğer",Sayfa1!L56,Sayfa1!K56),
IF($G$14="Ürün 6",IF(Sayfa1!M56="Diğer",Sayfa1!N56,Sayfa1!M56),
" "
)))))))</f>
        <v>0</v>
      </c>
      <c r="J53" s="540"/>
    </row>
    <row r="54" spans="2:10" ht="30" customHeight="1">
      <c r="B54" s="541">
        <f>IF($G$14="Seçiniz."," ",IF($G$14="Ürün 1",Sayfa1!C49,IF($G$14="Ürün 2",Sayfa1!E49,IF($G$14="Ürün 3",Sayfa1!G49,IF($G$14="Ürün 4",Sayfa1!I49,IF($G$14="Ürün 5",Sayfa1!K49,IF($G$14="Ürün 6",Sayfa1!M49,)))))))</f>
        <v>0</v>
      </c>
      <c r="C54" s="542"/>
      <c r="D54" s="542"/>
      <c r="E54" s="543"/>
      <c r="F54" s="547" t="s">
        <v>493</v>
      </c>
      <c r="G54" s="548"/>
      <c r="H54" s="549"/>
      <c r="I54" s="550" t="str">
        <f>IF(G14="Seçiniz.","",IF(G14="Ürün 1",IF(OR(Sayfa1!C57="SEÇİNİZ.",Sayfa1!C57=""),"",CONCATENATE(Sayfa1!C57," ",Sayfa1!D57)),IF(G14="Ürün 2",IF(OR(Sayfa1!E57="SEÇİNİZ.",Sayfa1!E57=""),"",CONCATENATE(Sayfa1!E57," ",Sayfa1!F57)),IF(G14="Ürün 3",IF(OR(Sayfa1!G57="SEÇİNİZ.",Sayfa1!G57=""),"",CONCATENATE(Sayfa1!G57," ",Sayfa1!H57)),IF(G14="Ürün 4",IF(OR(Sayfa1!I57="SEÇİNİZ.",Sayfa1!I57=""),"",CONCATENATE(Sayfa1!I57," ",Sayfa1!J57)),IF(G14="Ürün 5",IF(OR(Sayfa1!K57="SEÇİNİZ.",Sayfa1!K57=""),"",CONCATENATE(Sayfa1!K57," ",Sayfa1!L57)),IF(G14="Ürün 6",IF(OR(Sayfa1!M57="SEÇİNİZ.",Sayfa1!M57=""),"",CONCATENATE(Sayfa1!M57," ",Sayfa1!N57)))))))))</f>
        <v/>
      </c>
      <c r="J54" s="551"/>
    </row>
    <row r="55" spans="2:10" ht="18.600000000000001" customHeight="1">
      <c r="B55" s="541"/>
      <c r="C55" s="542"/>
      <c r="D55" s="542"/>
      <c r="E55" s="543"/>
      <c r="F55" s="547" t="s">
        <v>242</v>
      </c>
      <c r="G55" s="548"/>
      <c r="H55" s="549"/>
      <c r="I55" s="552">
        <f>IF($G$14="Seçiniz."," ",
IF($G$14="Ürün 1",IF(Sayfa1!C58="Diğer",Sayfa1!D58,Sayfa1!C58),
IF($G$14="Ürün 2",IF(Sayfa1!E58="Diğer",Sayfa1!F58,Sayfa1!E58),
IF($G$14="Ürün 3",IF(Sayfa1!G58="Diğer",Sayfa1!H58,Sayfa1!G58),
IF($G$14="Ürün 4",IF(Sayfa1!I58="Diğer",Sayfa1!J58,Sayfa1!I58),
IF($G$14="Ürün 5",IF(Sayfa1!K58="Diğer",Sayfa1!L58,Sayfa1!K58),
IF($G$14="Ürün 6",IF(Sayfa1!M58="Diğer",Sayfa1!N58,Sayfa1!M58),
" "
)))))))</f>
        <v>0</v>
      </c>
      <c r="J55" s="553"/>
    </row>
    <row r="56" spans="2:10" ht="18.600000000000001" customHeight="1">
      <c r="B56" s="541"/>
      <c r="C56" s="542"/>
      <c r="D56" s="542"/>
      <c r="E56" s="543"/>
      <c r="F56" s="547" t="s">
        <v>243</v>
      </c>
      <c r="G56" s="548"/>
      <c r="H56" s="549"/>
      <c r="I56" s="554"/>
      <c r="J56" s="555"/>
    </row>
    <row r="57" spans="2:10" ht="18.600000000000001" customHeight="1" thickBot="1">
      <c r="B57" s="541"/>
      <c r="C57" s="542"/>
      <c r="D57" s="542"/>
      <c r="E57" s="543"/>
      <c r="F57" s="556" t="s">
        <v>244</v>
      </c>
      <c r="G57" s="557"/>
      <c r="H57" s="558"/>
      <c r="I57" s="559"/>
      <c r="J57" s="560"/>
    </row>
    <row r="58" spans="2:10" ht="21.75" customHeight="1" thickBot="1">
      <c r="B58" s="541"/>
      <c r="C58" s="542"/>
      <c r="D58" s="542"/>
      <c r="E58" s="543"/>
      <c r="F58" s="561" t="s">
        <v>245</v>
      </c>
      <c r="G58" s="562"/>
      <c r="H58" s="563"/>
      <c r="I58" s="564"/>
      <c r="J58" s="565"/>
    </row>
    <row r="59" spans="2:10" ht="18.600000000000001" customHeight="1" thickBot="1">
      <c r="B59" s="544"/>
      <c r="C59" s="545"/>
      <c r="D59" s="545"/>
      <c r="E59" s="546"/>
      <c r="F59" s="511" t="s">
        <v>246</v>
      </c>
      <c r="G59" s="512"/>
      <c r="H59" s="512"/>
      <c r="I59" s="512"/>
      <c r="J59" s="513"/>
    </row>
    <row r="60" spans="2:10" ht="40.5" customHeight="1">
      <c r="B60" s="54" t="s">
        <v>567</v>
      </c>
      <c r="C60" s="566"/>
      <c r="D60" s="566"/>
      <c r="E60" s="567"/>
      <c r="F60" s="568" t="str">
        <f>IF($G$14="Seçiniz."," ",IF($G$14="Ürün 1",IF(Sayfa1!C59="VAR",Sayfa1!D59,"YOK"),IF($G$14="Ürün 2",IF(Sayfa1!E59="VAR",Sayfa1!F59,"YOK"),IF($G$14="Ürün 3",IF(Sayfa1!G59="VAR",Sayfa1!H59,"YOK"),IF($G$14="Ürün 4",IF(Sayfa1!I59="VAR",Sayfa1!J59,"YOK"),IF($G$14="Ürün 5",IF(Sayfa1!K59="VAR",Sayfa1!L59,"YOK"),IF($G$14="Ürün 6",IF(Sayfa1!M59="VAR",Sayfa1!N59,"YOK"),)))))))</f>
        <v>YOK</v>
      </c>
      <c r="G60" s="569"/>
      <c r="H60" s="569"/>
      <c r="I60" s="569"/>
      <c r="J60" s="570"/>
    </row>
    <row r="61" spans="2:10" ht="18.600000000000001" customHeight="1">
      <c r="B61" s="55" t="s">
        <v>247</v>
      </c>
      <c r="C61" s="486">
        <f>IF($G$14="Seçiniz."," ",IF($G$14="Ürün 1",Sayfa1!C54,IF($G$14="Ürün 2",Sayfa1!E54,IF($G$14="Ürün 3",Sayfa1!G54,IF($G$14="Ürün 4",Sayfa1!I54,IF($G$14="Ürün 5",Sayfa1!K54,IF($G$14="Ürün 6",Sayfa1!M54,)))))))</f>
        <v>0</v>
      </c>
      <c r="D61" s="486"/>
      <c r="E61" s="577"/>
      <c r="F61" s="571"/>
      <c r="G61" s="572"/>
      <c r="H61" s="572"/>
      <c r="I61" s="572"/>
      <c r="J61" s="573"/>
    </row>
    <row r="62" spans="2:10" ht="18.600000000000001" customHeight="1">
      <c r="B62" s="110" t="s">
        <v>248</v>
      </c>
      <c r="C62" s="486" t="s">
        <v>592</v>
      </c>
      <c r="D62" s="486"/>
      <c r="E62" s="577"/>
      <c r="F62" s="571"/>
      <c r="G62" s="572"/>
      <c r="H62" s="572"/>
      <c r="I62" s="572"/>
      <c r="J62" s="573"/>
    </row>
    <row r="63" spans="2:10" ht="18.600000000000001" customHeight="1" thickBot="1">
      <c r="B63" s="110" t="s">
        <v>249</v>
      </c>
      <c r="C63" s="127">
        <f>IF($G$14="Seçiniz."," ",IF($G$14="Ürün 1",IF(Sayfa1!C48="Diğer",Sayfa1!D48,Sayfa1!C48),IF($G$14="Ürün 2",IF(Sayfa1!E48="Diğer",Sayfa1!F48,Sayfa1!E48),IF($G$14="Ürün 3",IF(Sayfa1!G48="Diğer",Sayfa1!H48,Sayfa1!G48),IF($G$14="Ürün 4",IF(Sayfa1!I48="Diğer",Sayfa1!J48,Sayfa1!I48),IF($G$14="Ürün 5",IF(Sayfa1!K48="Diğer",Sayfa1!L48,Sayfa1!K48),IF($G$14="Ürün 6",IF(Sayfa1!M48="Diğer",Sayfa1!N48,Sayfa1!M48),)))))))</f>
        <v>0</v>
      </c>
      <c r="D63" s="128" t="s">
        <v>250</v>
      </c>
      <c r="E63" s="129">
        <f>IF($G$14="Seçiniz."," ",IF($G$14="Ürün 1",Sayfa1!C51,IF($G$14="Ürün 2",Sayfa1!E51,IF($G$14="Ürün 3",Sayfa1!G51,IF($G$14="Ürün 4",Sayfa1!I51,IF($G$14="Ürün 5",Sayfa1!K51,IF($G$14="Ürün 6",Sayfa1!M51,)))))))</f>
        <v>0</v>
      </c>
      <c r="F63" s="574"/>
      <c r="G63" s="575"/>
      <c r="H63" s="575"/>
      <c r="I63" s="575"/>
      <c r="J63" s="576"/>
    </row>
    <row r="64" spans="2:10" ht="18.600000000000001" customHeight="1" thickBot="1">
      <c r="B64" s="110" t="s">
        <v>251</v>
      </c>
      <c r="C64" s="599" t="str">
        <f>IF($G$14="Seçiniz.","",IF($G$14="Ürün 1",IF(Sayfa1!C6="","",Sayfa1!C6),IF($G$14="Ürün 2",IF(Sayfa1!E6="","",Sayfa1!E6),IF($G$14="Ürün 3",IF(Sayfa1!G6="","",Sayfa1!G6),IF($G$14="Ürün 4",IF(Sayfa1!I6="","",Sayfa1!I6),IF($G$14="Ürün 5",IF(Sayfa1!K6="","",Sayfa1!K6),IF($G$14="Ürün 6",IF(Sayfa1!M6="","",Sayfa1!M6))))))))</f>
        <v/>
      </c>
      <c r="D64" s="599"/>
      <c r="E64" s="600"/>
      <c r="F64" s="511" t="s">
        <v>252</v>
      </c>
      <c r="G64" s="512"/>
      <c r="H64" s="512"/>
      <c r="I64" s="512"/>
      <c r="J64" s="513"/>
    </row>
    <row r="65" spans="1:10" ht="18.600000000000001" customHeight="1">
      <c r="B65" s="55" t="s">
        <v>253</v>
      </c>
      <c r="C65" s="601" t="str">
        <f>IF($G$14="Seçiniz.","",IF($G$14="Ürün 1",IF(Sayfa1!C52="","",Sayfa1!C52),IF($G$14="Ürün 2",IF(Sayfa1!E52="","",Sayfa1!E52),IF($G$14="Ürün 3",IF(Sayfa1!G52="","",Sayfa1!G52),IF($G$14="Ürün 4",IF(Sayfa1!I52="","",Sayfa1!I52),IF($G$14="Ürün 5",IF(Sayfa1!K52="","",Sayfa1!K52),IF($G$14="Ürün 6",IF(Sayfa1!M52="","",Sayfa1!M52))))))))</f>
        <v/>
      </c>
      <c r="D65" s="602"/>
      <c r="E65" s="603"/>
      <c r="F65" s="604">
        <f>IF($G$14="Seçiniz."," ",IF($G$14="Ürün 1",Sayfa1!C60,IF($G$14="Ürün 2",Sayfa1!E60,IF($G$14="Ürün 3",Sayfa1!G60,IF($G$14="Ürün 4",Sayfa1!I60,IF($G$14="Ürün 5",Sayfa1!K60,IF($G$14="Ürün 6",Sayfa1!M60,)))))))</f>
        <v>0</v>
      </c>
      <c r="G65" s="605"/>
      <c r="H65" s="605"/>
      <c r="I65" s="605"/>
      <c r="J65" s="606"/>
    </row>
    <row r="66" spans="1:10" ht="18.600000000000001" customHeight="1" thickBot="1">
      <c r="B66" s="111" t="s">
        <v>254</v>
      </c>
      <c r="C66" s="613" t="str">
        <f>IF($G$14="Seçiniz."," ",IF($G$14="Ürün 1",CONCATENATE("+",Sayfa1!C50),IF($G$14="Ürün 2",CONCATENATE("+",Sayfa1!E50),IF($G$14="Ürün 3",CONCATENATE("+",Sayfa1!G50),IF($G$14="Ürün 4",CONCATENATE("+",Sayfa1!I50),IF($G$14="Ürün 5",CONCATENATE("+",Sayfa1!K50),IF($G$14="Ürün 6",CONCATENATE("+",Sayfa1!M50),)))))))</f>
        <v>+</v>
      </c>
      <c r="D66" s="614"/>
      <c r="E66" s="615"/>
      <c r="F66" s="607"/>
      <c r="G66" s="608"/>
      <c r="H66" s="608"/>
      <c r="I66" s="608"/>
      <c r="J66" s="609"/>
    </row>
    <row r="67" spans="1:10" ht="18.600000000000001" customHeight="1" thickBot="1">
      <c r="B67" s="511" t="s">
        <v>255</v>
      </c>
      <c r="C67" s="512"/>
      <c r="D67" s="512"/>
      <c r="E67" s="513"/>
      <c r="F67" s="607"/>
      <c r="G67" s="608"/>
      <c r="H67" s="608"/>
      <c r="I67" s="608"/>
      <c r="J67" s="609"/>
    </row>
    <row r="68" spans="1:10" ht="18.600000000000001" customHeight="1">
      <c r="B68" s="578" t="s">
        <v>256</v>
      </c>
      <c r="C68" s="579"/>
      <c r="D68" s="579"/>
      <c r="E68" s="580"/>
      <c r="F68" s="607"/>
      <c r="G68" s="608"/>
      <c r="H68" s="608"/>
      <c r="I68" s="608"/>
      <c r="J68" s="609"/>
    </row>
    <row r="69" spans="1:10" ht="18.600000000000001" customHeight="1" thickBot="1">
      <c r="B69" s="485"/>
      <c r="C69" s="486"/>
      <c r="D69" s="486"/>
      <c r="E69" s="487"/>
      <c r="F69" s="610"/>
      <c r="G69" s="611"/>
      <c r="H69" s="611"/>
      <c r="I69" s="611"/>
      <c r="J69" s="612"/>
    </row>
    <row r="70" spans="1:10" ht="18.600000000000001" customHeight="1" thickBot="1">
      <c r="B70" s="578" t="s">
        <v>257</v>
      </c>
      <c r="C70" s="579"/>
      <c r="D70" s="579"/>
      <c r="E70" s="580"/>
      <c r="F70" s="511" t="s">
        <v>258</v>
      </c>
      <c r="G70" s="512"/>
      <c r="H70" s="512"/>
      <c r="I70" s="512"/>
      <c r="J70" s="513"/>
    </row>
    <row r="71" spans="1:10" ht="18.600000000000001" customHeight="1">
      <c r="B71" s="581"/>
      <c r="C71" s="582"/>
      <c r="D71" s="582"/>
      <c r="E71" s="583"/>
      <c r="F71" s="590"/>
      <c r="G71" s="591"/>
      <c r="H71" s="591"/>
      <c r="I71" s="591"/>
      <c r="J71" s="592"/>
    </row>
    <row r="72" spans="1:10" ht="18.600000000000001" customHeight="1">
      <c r="B72" s="584"/>
      <c r="C72" s="585"/>
      <c r="D72" s="585"/>
      <c r="E72" s="586"/>
      <c r="F72" s="593"/>
      <c r="G72" s="594"/>
      <c r="H72" s="594"/>
      <c r="I72" s="594"/>
      <c r="J72" s="595"/>
    </row>
    <row r="73" spans="1:10" ht="18.600000000000001" customHeight="1" thickBot="1">
      <c r="A73" s="112" t="str">
        <f>RIGHT(I55,2)</f>
        <v>0</v>
      </c>
      <c r="B73" s="587"/>
      <c r="C73" s="588"/>
      <c r="D73" s="588"/>
      <c r="E73" s="589"/>
      <c r="F73" s="596"/>
      <c r="G73" s="597"/>
      <c r="H73" s="597"/>
      <c r="I73" s="597"/>
      <c r="J73" s="598"/>
    </row>
    <row r="74" spans="1:10" ht="15.9" customHeight="1"/>
    <row r="75" spans="1:10">
      <c r="B75" s="65" t="s">
        <v>99</v>
      </c>
    </row>
  </sheetData>
  <mergeCells count="111">
    <mergeCell ref="C60:E60"/>
    <mergeCell ref="F60:J63"/>
    <mergeCell ref="C61:E61"/>
    <mergeCell ref="C62:E62"/>
    <mergeCell ref="B70:E70"/>
    <mergeCell ref="F70:J70"/>
    <mergeCell ref="B71:E73"/>
    <mergeCell ref="F71:J73"/>
    <mergeCell ref="C64:E64"/>
    <mergeCell ref="F64:J64"/>
    <mergeCell ref="C65:E65"/>
    <mergeCell ref="F65:J69"/>
    <mergeCell ref="C66:E66"/>
    <mergeCell ref="B67:E67"/>
    <mergeCell ref="B68:E68"/>
    <mergeCell ref="B69:E69"/>
    <mergeCell ref="B53:E53"/>
    <mergeCell ref="F53:H53"/>
    <mergeCell ref="I53:J53"/>
    <mergeCell ref="B54:E59"/>
    <mergeCell ref="F54:H54"/>
    <mergeCell ref="I54:J54"/>
    <mergeCell ref="F55:H55"/>
    <mergeCell ref="I55:J55"/>
    <mergeCell ref="F56:H56"/>
    <mergeCell ref="I56:J56"/>
    <mergeCell ref="F57:H57"/>
    <mergeCell ref="I57:J57"/>
    <mergeCell ref="F58:H58"/>
    <mergeCell ref="I58:J58"/>
    <mergeCell ref="F59:J59"/>
    <mergeCell ref="B51:E51"/>
    <mergeCell ref="F51:H51"/>
    <mergeCell ref="I51:J51"/>
    <mergeCell ref="B52:E52"/>
    <mergeCell ref="F52:H52"/>
    <mergeCell ref="I52:J52"/>
    <mergeCell ref="B44:F49"/>
    <mergeCell ref="G44:H44"/>
    <mergeCell ref="G45:H45"/>
    <mergeCell ref="G46:H48"/>
    <mergeCell ref="B50:E50"/>
    <mergeCell ref="F50:J50"/>
    <mergeCell ref="I40:J48"/>
    <mergeCell ref="C41:D41"/>
    <mergeCell ref="E41:F41"/>
    <mergeCell ref="G41:H42"/>
    <mergeCell ref="C42:D42"/>
    <mergeCell ref="E42:F42"/>
    <mergeCell ref="C43:D43"/>
    <mergeCell ref="E43:F43"/>
    <mergeCell ref="G43:H43"/>
    <mergeCell ref="C40:D40"/>
    <mergeCell ref="E40:F40"/>
    <mergeCell ref="G40:H40"/>
    <mergeCell ref="C39:D39"/>
    <mergeCell ref="E39:F39"/>
    <mergeCell ref="B24:C24"/>
    <mergeCell ref="E24:G24"/>
    <mergeCell ref="I24:J24"/>
    <mergeCell ref="B25:C25"/>
    <mergeCell ref="E25:J25"/>
    <mergeCell ref="B26:J26"/>
    <mergeCell ref="B28:B32"/>
    <mergeCell ref="D28:D29"/>
    <mergeCell ref="D31:D32"/>
    <mergeCell ref="C33:J33"/>
    <mergeCell ref="F34:J34"/>
    <mergeCell ref="C35:D35"/>
    <mergeCell ref="F35:J37"/>
    <mergeCell ref="C36:D36"/>
    <mergeCell ref="C37:D37"/>
    <mergeCell ref="G39:H39"/>
    <mergeCell ref="I39:J39"/>
    <mergeCell ref="C15:F15"/>
    <mergeCell ref="G15:J15"/>
    <mergeCell ref="F10:G10"/>
    <mergeCell ref="B11:D12"/>
    <mergeCell ref="F11:G11"/>
    <mergeCell ref="D18:F18"/>
    <mergeCell ref="C19:J19"/>
    <mergeCell ref="B21:J22"/>
    <mergeCell ref="B23:C23"/>
    <mergeCell ref="E23:G23"/>
    <mergeCell ref="I23:J23"/>
    <mergeCell ref="C16:F16"/>
    <mergeCell ref="G16:G17"/>
    <mergeCell ref="H16:H17"/>
    <mergeCell ref="I16:I17"/>
    <mergeCell ref="J16:J17"/>
    <mergeCell ref="C17:F17"/>
    <mergeCell ref="F2:G2"/>
    <mergeCell ref="H2:J2"/>
    <mergeCell ref="F3:G3"/>
    <mergeCell ref="H3:J3"/>
    <mergeCell ref="F4:G4"/>
    <mergeCell ref="H4:J4"/>
    <mergeCell ref="C13:F13"/>
    <mergeCell ref="G13:J13"/>
    <mergeCell ref="C14:F14"/>
    <mergeCell ref="G14:J14"/>
    <mergeCell ref="F8:G8"/>
    <mergeCell ref="H8:J8"/>
    <mergeCell ref="F9:G9"/>
    <mergeCell ref="H9:J9"/>
    <mergeCell ref="F5:G5"/>
    <mergeCell ref="H5:J5"/>
    <mergeCell ref="F6:G6"/>
    <mergeCell ref="H6:J6"/>
    <mergeCell ref="F7:G7"/>
    <mergeCell ref="H7:J7"/>
  </mergeCells>
  <conditionalFormatting sqref="C35:C37">
    <cfRule type="containsText" dxfId="17" priority="3" operator="containsText" text="VAR">
      <formula>NOT(ISERROR(SEARCH("VAR",C35)))</formula>
    </cfRule>
  </conditionalFormatting>
  <conditionalFormatting sqref="E35:E37">
    <cfRule type="containsText" dxfId="16" priority="4" operator="containsText" text="VAR">
      <formula>NOT(ISERROR(SEARCH("VAR",E35)))</formula>
    </cfRule>
  </conditionalFormatting>
  <conditionalFormatting sqref="E28:J29 E31 F31:I32">
    <cfRule type="cellIs" dxfId="15" priority="1" operator="equal">
      <formula>0</formula>
    </cfRule>
  </conditionalFormatting>
  <conditionalFormatting sqref="B40:B42">
    <cfRule type="containsText" dxfId="14" priority="2" operator="containsText" text="VAR">
      <formula>NOT(ISERROR(SEARCH("VAR",B40)))</formula>
    </cfRule>
  </conditionalFormatting>
  <dataValidations count="9">
    <dataValidation allowBlank="1" showInputMessage="1" showErrorMessage="1" prompt="Doldurunuz." sqref="B52:E52" xr:uid="{7CBED6B5-0D09-44AD-B9CA-8C8D9620BC9B}"/>
    <dataValidation allowBlank="1" showInputMessage="1" showErrorMessage="1" prompt="Fatura adresi giriniz." sqref="B71:E73" xr:uid="{648D91AF-E1C4-45AC-89B7-4230EFBF7C1F}"/>
    <dataValidation allowBlank="1" showInputMessage="1" showErrorMessage="1" prompt="Fatura unvanı giriniz." sqref="B69:E69" xr:uid="{A8FC96A6-8C03-440B-BDA8-80B905DF36E2}"/>
    <dataValidation allowBlank="1" showInputMessage="1" showErrorMessage="1" prompt="EĞER BASKI TİPİ İÇ+DIŞ BASKI ise İÇ VE DIŞ BASKI SIRASIYLA GELMİŞTİR. " sqref="E24:G24" xr:uid="{6EFFDA69-9526-49BD-9B7F-A36ADC856BB3}"/>
    <dataValidation allowBlank="1" showInputMessage="1" showErrorMessage="1" prompt="Nakliye birim fiyatını giriniz." sqref="H11" xr:uid="{C82C5C23-9513-4315-8E0A-9CA73D084D23}"/>
    <dataValidation allowBlank="1" showInputMessage="1" showErrorMessage="1" prompt="Lütfen ürün seçimine göre Proforma'daki ürün birim fiyatını giriniz!" sqref="H10" xr:uid="{4F5D1FC6-931F-4AAD-A44C-5B5A20B12330}"/>
    <dataValidation type="list" allowBlank="1" showInputMessage="1" showErrorMessage="1" sqref="E38" xr:uid="{E3F15C02-39B7-4C54-9C6E-7492C3726CAB}">
      <formula1>$AW$1:$AW$10</formula1>
    </dataValidation>
    <dataValidation type="list" allowBlank="1" showInputMessage="1" showErrorMessage="1" sqref="C62:E62" xr:uid="{30ECEA5A-FB55-481F-99AE-AB9BC84458B2}">
      <formula1>"SEÇİNİZ.,FARKETMEZ,LİFTLİ"</formula1>
    </dataValidation>
    <dataValidation type="list" allowBlank="1" showInputMessage="1" showErrorMessage="1" sqref="H8:J8" xr:uid="{3765D8A0-2DFB-4E4E-A9DF-021D276E76CB}">
      <formula1>INDIRECT($F$1)</formula1>
    </dataValidation>
  </dataValidations>
  <printOptions horizontalCentered="1" verticalCentered="1"/>
  <pageMargins left="0.25" right="0.25" top="0.75" bottom="0.75" header="0.3" footer="0.3"/>
  <pageSetup paperSize="9" scale="4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ExcelKaydet">
                <anchor moveWithCells="1" sizeWithCells="1">
                  <from>
                    <xdr:col>11</xdr:col>
                    <xdr:colOff>251460</xdr:colOff>
                    <xdr:row>1</xdr:row>
                    <xdr:rowOff>175260</xdr:rowOff>
                  </from>
                  <to>
                    <xdr:col>14</xdr:col>
                    <xdr:colOff>350520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051C86F-845B-44E2-A086-B7F9FA545676}">
          <x14:formula1>
            <xm:f>Sayfa2!$J$2:$J$19</xm:f>
          </x14:formula1>
          <xm:sqref>H7:J7</xm:sqref>
        </x14:dataValidation>
        <x14:dataValidation type="list" allowBlank="1" showInputMessage="1" showErrorMessage="1" prompt="Lütfen ürün numarası seçiniz." xr:uid="{C8E20E30-7D8D-4CA3-BE90-76DFB21A0FD8}">
          <x14:formula1>
            <xm:f>'ÜRÜN ÖZELLİKLERİ'!$A$51:$A$57</xm:f>
          </x14:formula1>
          <xm:sqref>G14:J14</xm:sqref>
        </x14:dataValidation>
        <x14:dataValidation type="list" allowBlank="1" showInputMessage="1" showErrorMessage="1" xr:uid="{9CF1DBAE-BA05-4BE2-A344-AD4BF71A3F5E}">
          <x14:formula1>
            <xm:f>'ÜRÜN ÖZELLİKLERİ'!$D$51:$D$56</xm:f>
          </x14:formula1>
          <xm:sqref>C18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T239"/>
  <sheetViews>
    <sheetView tabSelected="1" zoomScaleNormal="100" workbookViewId="0">
      <selection activeCell="C17" sqref="C17"/>
    </sheetView>
  </sheetViews>
  <sheetFormatPr defaultColWidth="8.88671875" defaultRowHeight="14.4"/>
  <cols>
    <col min="1" max="1" width="4.33203125" style="150" customWidth="1"/>
    <col min="2" max="2" width="40.5546875" style="150" customWidth="1"/>
    <col min="3" max="3" width="20.33203125" style="150" customWidth="1"/>
    <col min="4" max="4" width="20.44140625" style="150" customWidth="1"/>
    <col min="5" max="5" width="19.33203125" style="150" hidden="1" customWidth="1"/>
    <col min="6" max="6" width="19.5546875" style="150" hidden="1" customWidth="1"/>
    <col min="7" max="7" width="16.6640625" style="150" hidden="1" customWidth="1"/>
    <col min="8" max="8" width="16.5546875" style="150" hidden="1" customWidth="1"/>
    <col min="9" max="9" width="18.6640625" style="150" hidden="1" customWidth="1"/>
    <col min="10" max="10" width="16.5546875" style="150" hidden="1" customWidth="1"/>
    <col min="11" max="11" width="20.109375" style="150" hidden="1" customWidth="1"/>
    <col min="12" max="12" width="18.109375" style="150" hidden="1" customWidth="1"/>
    <col min="13" max="13" width="20.33203125" style="150" hidden="1" customWidth="1"/>
    <col min="14" max="14" width="15.6640625" style="150" hidden="1" customWidth="1"/>
    <col min="15" max="16384" width="8.88671875" style="150"/>
  </cols>
  <sheetData>
    <row r="1" spans="1:20" ht="44.25" customHeight="1">
      <c r="B1" s="1030" t="s">
        <v>706</v>
      </c>
      <c r="C1" s="339" t="s">
        <v>1126</v>
      </c>
      <c r="D1" s="340" t="s">
        <v>92</v>
      </c>
      <c r="E1" s="616" t="s">
        <v>93</v>
      </c>
      <c r="F1" s="617"/>
      <c r="G1" s="616" t="s">
        <v>94</v>
      </c>
      <c r="H1" s="617"/>
      <c r="I1" s="616" t="s">
        <v>95</v>
      </c>
      <c r="J1" s="617"/>
      <c r="K1" s="616" t="s">
        <v>96</v>
      </c>
      <c r="L1" s="617"/>
      <c r="M1" s="616" t="s">
        <v>97</v>
      </c>
      <c r="N1" s="617"/>
    </row>
    <row r="2" spans="1:20" s="151" customFormat="1" ht="13.8">
      <c r="A2" s="618" t="s">
        <v>708</v>
      </c>
      <c r="B2" s="619"/>
      <c r="C2" s="618" t="s">
        <v>288</v>
      </c>
      <c r="D2" s="619"/>
      <c r="E2" s="633"/>
      <c r="F2" s="617"/>
      <c r="G2" s="633"/>
      <c r="H2" s="617"/>
      <c r="I2" s="633"/>
      <c r="J2" s="617"/>
      <c r="K2" s="633"/>
      <c r="L2" s="617"/>
      <c r="M2" s="633"/>
      <c r="N2" s="617"/>
    </row>
    <row r="3" spans="1:20" s="152" customFormat="1">
      <c r="A3" s="1031" t="s">
        <v>5</v>
      </c>
      <c r="B3" s="1031"/>
      <c r="C3" s="631">
        <f ca="1">TODAY()</f>
        <v>45302</v>
      </c>
      <c r="D3" s="631"/>
      <c r="E3" s="634">
        <f ca="1">TODAY()</f>
        <v>45302</v>
      </c>
      <c r="F3" s="635"/>
      <c r="G3" s="634">
        <f ca="1">TODAY()</f>
        <v>45302</v>
      </c>
      <c r="H3" s="635"/>
      <c r="I3" s="634">
        <f ca="1">TODAY()</f>
        <v>45302</v>
      </c>
      <c r="J3" s="635"/>
      <c r="K3" s="634">
        <f ca="1">TODAY()</f>
        <v>45302</v>
      </c>
      <c r="L3" s="635"/>
      <c r="M3" s="634">
        <f ca="1">TODAY()</f>
        <v>45302</v>
      </c>
      <c r="N3" s="635"/>
    </row>
    <row r="4" spans="1:20" s="152" customFormat="1">
      <c r="A4" s="1031" t="s">
        <v>709</v>
      </c>
      <c r="B4" s="1031"/>
      <c r="C4" s="341"/>
      <c r="D4" s="341"/>
      <c r="E4" s="324"/>
      <c r="F4" s="324"/>
      <c r="G4" s="324"/>
      <c r="H4" s="324"/>
      <c r="I4" s="324" t="s">
        <v>281</v>
      </c>
      <c r="J4" s="324"/>
      <c r="K4" s="324" t="s">
        <v>281</v>
      </c>
      <c r="L4" s="324"/>
      <c r="M4" s="324" t="s">
        <v>281</v>
      </c>
      <c r="N4" s="324"/>
    </row>
    <row r="5" spans="1:20" s="152" customFormat="1">
      <c r="A5" s="1031" t="s">
        <v>6</v>
      </c>
      <c r="B5" s="1031"/>
      <c r="C5" s="343"/>
      <c r="D5" s="342"/>
      <c r="E5" s="325"/>
      <c r="F5" s="325"/>
      <c r="G5" s="325"/>
      <c r="H5" s="325"/>
      <c r="I5" s="325"/>
      <c r="J5" s="325"/>
      <c r="K5" s="325"/>
      <c r="L5" s="325"/>
      <c r="M5" s="325"/>
      <c r="N5" s="325"/>
    </row>
    <row r="6" spans="1:20" s="152" customFormat="1" ht="15" customHeight="1">
      <c r="A6" s="1032" t="s">
        <v>559</v>
      </c>
      <c r="B6" s="1033"/>
      <c r="C6" s="623"/>
      <c r="D6" s="623"/>
      <c r="E6" s="625"/>
      <c r="F6" s="625"/>
      <c r="G6" s="625"/>
      <c r="H6" s="625"/>
      <c r="I6" s="625"/>
      <c r="J6" s="625"/>
      <c r="K6" s="625"/>
      <c r="L6" s="625"/>
      <c r="M6" s="625"/>
      <c r="N6" s="625"/>
    </row>
    <row r="7" spans="1:20" s="152" customFormat="1" ht="15" customHeight="1">
      <c r="A7" s="1031" t="s">
        <v>506</v>
      </c>
      <c r="B7" s="1031"/>
      <c r="C7" s="623"/>
      <c r="D7" s="623"/>
      <c r="E7" s="625"/>
      <c r="F7" s="625"/>
      <c r="G7" s="625"/>
      <c r="H7" s="625"/>
      <c r="I7" s="625"/>
      <c r="J7" s="625"/>
      <c r="K7" s="625"/>
      <c r="L7" s="625"/>
      <c r="M7" s="625"/>
      <c r="N7" s="625"/>
    </row>
    <row r="8" spans="1:20" s="152" customFormat="1" ht="15" customHeight="1">
      <c r="A8" s="1031" t="s">
        <v>0</v>
      </c>
      <c r="B8" s="1031"/>
      <c r="C8" s="623"/>
      <c r="D8" s="623"/>
      <c r="E8" s="625"/>
      <c r="F8" s="625"/>
      <c r="G8" s="625"/>
      <c r="H8" s="625"/>
      <c r="I8" s="625"/>
      <c r="J8" s="625"/>
      <c r="K8" s="625"/>
      <c r="L8" s="625"/>
      <c r="M8" s="625"/>
      <c r="N8" s="625"/>
    </row>
    <row r="9" spans="1:20" s="152" customFormat="1">
      <c r="A9" s="618" t="s">
        <v>7</v>
      </c>
      <c r="B9" s="619"/>
      <c r="C9" s="629"/>
      <c r="D9" s="630"/>
      <c r="E9" s="627"/>
      <c r="F9" s="628"/>
      <c r="G9" s="627"/>
      <c r="H9" s="628"/>
      <c r="I9" s="627" t="s">
        <v>33</v>
      </c>
      <c r="J9" s="628"/>
      <c r="K9" s="627" t="s">
        <v>33</v>
      </c>
      <c r="L9" s="628"/>
      <c r="M9" s="627" t="s">
        <v>33</v>
      </c>
      <c r="N9" s="628"/>
    </row>
    <row r="10" spans="1:20" s="152" customFormat="1" ht="15" customHeight="1">
      <c r="A10" s="618" t="s">
        <v>4</v>
      </c>
      <c r="B10" s="619"/>
      <c r="C10" s="623"/>
      <c r="D10" s="623"/>
      <c r="E10" s="625"/>
      <c r="F10" s="625"/>
      <c r="G10" s="625"/>
      <c r="H10" s="625"/>
      <c r="I10" s="625"/>
      <c r="J10" s="625"/>
      <c r="K10" s="625"/>
      <c r="L10" s="625"/>
      <c r="M10" s="625"/>
      <c r="N10" s="625"/>
    </row>
    <row r="11" spans="1:20" s="152" customFormat="1">
      <c r="A11" s="1032" t="s">
        <v>707</v>
      </c>
      <c r="B11" s="1033"/>
      <c r="C11" s="623"/>
      <c r="D11" s="623"/>
      <c r="E11" s="625"/>
      <c r="F11" s="625"/>
      <c r="G11" s="625"/>
      <c r="H11" s="625"/>
      <c r="I11" s="625"/>
      <c r="J11" s="625"/>
      <c r="K11" s="625"/>
      <c r="L11" s="625"/>
      <c r="M11" s="625"/>
      <c r="N11" s="625"/>
    </row>
    <row r="12" spans="1:20" s="152" customFormat="1" ht="14.4" customHeight="1">
      <c r="A12" s="1032" t="s">
        <v>28</v>
      </c>
      <c r="B12" s="1033"/>
      <c r="C12" s="345"/>
      <c r="D12" s="341"/>
      <c r="E12" s="328"/>
      <c r="F12" s="324"/>
      <c r="G12" s="328"/>
      <c r="H12" s="324"/>
      <c r="I12" s="328" t="s">
        <v>33</v>
      </c>
      <c r="J12" s="324"/>
      <c r="K12" s="328" t="s">
        <v>33</v>
      </c>
      <c r="L12" s="324"/>
      <c r="M12" s="328" t="s">
        <v>33</v>
      </c>
      <c r="N12" s="324"/>
      <c r="S12" s="152" t="s">
        <v>1110</v>
      </c>
    </row>
    <row r="13" spans="1:20" s="152" customFormat="1" ht="14.4" customHeight="1">
      <c r="A13" s="1032" t="s">
        <v>9</v>
      </c>
      <c r="B13" s="1033"/>
      <c r="C13" s="341"/>
      <c r="D13" s="341"/>
      <c r="E13" s="324"/>
      <c r="F13" s="324"/>
      <c r="G13" s="324"/>
      <c r="H13" s="324"/>
      <c r="I13" s="324" t="s">
        <v>33</v>
      </c>
      <c r="J13" s="324"/>
      <c r="K13" s="324" t="s">
        <v>33</v>
      </c>
      <c r="L13" s="324"/>
      <c r="M13" s="324" t="s">
        <v>33</v>
      </c>
      <c r="N13" s="324"/>
    </row>
    <row r="14" spans="1:20" s="152" customFormat="1">
      <c r="A14" s="1032" t="s">
        <v>560</v>
      </c>
      <c r="B14" s="1033"/>
      <c r="C14" s="343"/>
      <c r="D14" s="346"/>
      <c r="E14" s="326"/>
      <c r="F14" s="329"/>
      <c r="G14" s="326"/>
      <c r="H14" s="329"/>
      <c r="I14" s="326"/>
      <c r="J14" s="329"/>
      <c r="K14" s="326"/>
      <c r="L14" s="329"/>
      <c r="M14" s="326"/>
      <c r="N14" s="329"/>
    </row>
    <row r="15" spans="1:20" s="152" customFormat="1" ht="14.4" customHeight="1">
      <c r="A15" s="1032" t="s">
        <v>561</v>
      </c>
      <c r="B15" s="1033"/>
      <c r="C15" s="343"/>
      <c r="D15" s="346"/>
      <c r="E15" s="326"/>
      <c r="F15" s="329"/>
      <c r="G15" s="326"/>
      <c r="H15" s="329"/>
      <c r="I15" s="326"/>
      <c r="J15" s="329"/>
      <c r="K15" s="326"/>
      <c r="L15" s="329"/>
      <c r="M15" s="326"/>
      <c r="N15" s="329"/>
      <c r="T15" s="152" t="s">
        <v>1110</v>
      </c>
    </row>
    <row r="16" spans="1:20" s="152" customFormat="1" ht="14.4" customHeight="1">
      <c r="A16" s="1032" t="s">
        <v>27</v>
      </c>
      <c r="B16" s="1033"/>
      <c r="C16" s="341"/>
      <c r="D16" s="341"/>
      <c r="E16" s="324"/>
      <c r="F16" s="324"/>
      <c r="G16" s="324"/>
      <c r="H16" s="324"/>
      <c r="I16" s="324" t="s">
        <v>33</v>
      </c>
      <c r="J16" s="324"/>
      <c r="K16" s="324" t="s">
        <v>33</v>
      </c>
      <c r="L16" s="324"/>
      <c r="M16" s="324" t="s">
        <v>33</v>
      </c>
      <c r="N16" s="324"/>
    </row>
    <row r="17" spans="1:15" s="152" customFormat="1" ht="14.4" customHeight="1">
      <c r="A17" s="1032" t="s">
        <v>562</v>
      </c>
      <c r="B17" s="1033"/>
      <c r="C17" s="343"/>
      <c r="D17" s="347"/>
      <c r="E17" s="326"/>
      <c r="F17" s="330"/>
      <c r="G17" s="326"/>
      <c r="H17" s="330"/>
      <c r="I17" s="326"/>
      <c r="J17" s="330"/>
      <c r="K17" s="326"/>
      <c r="L17" s="330"/>
      <c r="M17" s="326"/>
      <c r="N17" s="330"/>
    </row>
    <row r="18" spans="1:15" s="152" customFormat="1" ht="14.4" customHeight="1">
      <c r="A18" s="1032" t="s">
        <v>486</v>
      </c>
      <c r="B18" s="1033"/>
      <c r="C18" s="341"/>
      <c r="D18" s="341"/>
      <c r="E18" s="324"/>
      <c r="F18" s="324"/>
      <c r="G18" s="324"/>
      <c r="H18" s="324"/>
      <c r="I18" s="324" t="s">
        <v>281</v>
      </c>
      <c r="J18" s="324"/>
      <c r="K18" s="324" t="s">
        <v>281</v>
      </c>
      <c r="L18" s="324"/>
      <c r="M18" s="324" t="s">
        <v>281</v>
      </c>
      <c r="N18" s="324"/>
    </row>
    <row r="19" spans="1:15" s="152" customFormat="1" ht="27.6" customHeight="1">
      <c r="A19" s="1032" t="s">
        <v>487</v>
      </c>
      <c r="B19" s="1033"/>
      <c r="C19" s="341"/>
      <c r="D19" s="341"/>
      <c r="E19" s="324"/>
      <c r="F19" s="324"/>
      <c r="G19" s="324"/>
      <c r="H19" s="324"/>
      <c r="I19" s="324" t="s">
        <v>281</v>
      </c>
      <c r="J19" s="324"/>
      <c r="K19" s="324" t="s">
        <v>281</v>
      </c>
      <c r="L19" s="324"/>
      <c r="M19" s="324" t="s">
        <v>281</v>
      </c>
      <c r="N19" s="324"/>
    </row>
    <row r="20" spans="1:15" s="152" customFormat="1" ht="24" customHeight="1">
      <c r="A20" s="1032" t="s">
        <v>563</v>
      </c>
      <c r="B20" s="1033"/>
      <c r="C20" s="341"/>
      <c r="D20" s="348"/>
      <c r="E20" s="324"/>
      <c r="F20" s="331"/>
      <c r="G20" s="324"/>
      <c r="H20" s="331"/>
      <c r="I20" s="324" t="s">
        <v>281</v>
      </c>
      <c r="J20" s="331"/>
      <c r="K20" s="324" t="s">
        <v>281</v>
      </c>
      <c r="L20" s="331"/>
      <c r="M20" s="324" t="s">
        <v>281</v>
      </c>
      <c r="N20" s="331"/>
    </row>
    <row r="21" spans="1:15" s="152" customFormat="1" ht="14.4" customHeight="1">
      <c r="A21" s="1032" t="s">
        <v>600</v>
      </c>
      <c r="B21" s="1033"/>
      <c r="C21" s="341"/>
      <c r="D21" s="341"/>
      <c r="E21" s="324"/>
      <c r="F21" s="324"/>
      <c r="G21" s="324"/>
      <c r="H21" s="324"/>
      <c r="I21" s="324" t="s">
        <v>281</v>
      </c>
      <c r="J21" s="324"/>
      <c r="K21" s="324" t="s">
        <v>281</v>
      </c>
      <c r="L21" s="324"/>
      <c r="M21" s="324" t="s">
        <v>281</v>
      </c>
      <c r="N21" s="324"/>
    </row>
    <row r="22" spans="1:15" s="152" customFormat="1" ht="14.4" customHeight="1">
      <c r="A22" s="1032" t="s">
        <v>601</v>
      </c>
      <c r="B22" s="1033"/>
      <c r="C22" s="341"/>
      <c r="D22" s="344"/>
      <c r="E22" s="324"/>
      <c r="F22" s="327"/>
      <c r="G22" s="324"/>
      <c r="H22" s="327"/>
      <c r="I22" s="324" t="s">
        <v>281</v>
      </c>
      <c r="J22" s="327"/>
      <c r="K22" s="324" t="s">
        <v>281</v>
      </c>
      <c r="L22" s="327"/>
      <c r="M22" s="324" t="s">
        <v>281</v>
      </c>
      <c r="N22" s="327"/>
    </row>
    <row r="23" spans="1:15" s="152" customFormat="1" ht="24" customHeight="1">
      <c r="A23" s="1032" t="s">
        <v>82</v>
      </c>
      <c r="B23" s="1033"/>
      <c r="C23" s="341"/>
      <c r="D23" s="344"/>
      <c r="E23" s="324"/>
      <c r="F23" s="327"/>
      <c r="G23" s="324"/>
      <c r="H23" s="327"/>
      <c r="I23" s="324" t="s">
        <v>33</v>
      </c>
      <c r="J23" s="327"/>
      <c r="K23" s="324" t="s">
        <v>33</v>
      </c>
      <c r="L23" s="327"/>
      <c r="M23" s="324" t="s">
        <v>33</v>
      </c>
      <c r="N23" s="327"/>
      <c r="O23" s="154"/>
    </row>
    <row r="24" spans="1:15" s="152" customFormat="1">
      <c r="A24" s="1032" t="s">
        <v>83</v>
      </c>
      <c r="B24" s="1033"/>
      <c r="C24" s="341"/>
      <c r="D24" s="341"/>
      <c r="E24" s="324"/>
      <c r="F24" s="324"/>
      <c r="G24" s="324"/>
      <c r="H24" s="324"/>
      <c r="I24" s="324" t="s">
        <v>33</v>
      </c>
      <c r="J24" s="324"/>
      <c r="K24" s="324" t="s">
        <v>33</v>
      </c>
      <c r="L24" s="324"/>
      <c r="M24" s="324" t="s">
        <v>33</v>
      </c>
      <c r="N24" s="324"/>
    </row>
    <row r="25" spans="1:15" s="152" customFormat="1">
      <c r="A25" s="1032" t="s">
        <v>566</v>
      </c>
      <c r="B25" s="1033"/>
      <c r="C25" s="341"/>
      <c r="D25" s="341"/>
      <c r="E25" s="324"/>
      <c r="F25" s="324"/>
      <c r="G25" s="324"/>
      <c r="H25" s="324"/>
      <c r="I25" s="324" t="s">
        <v>281</v>
      </c>
      <c r="J25" s="324"/>
      <c r="K25" s="324" t="s">
        <v>281</v>
      </c>
      <c r="L25" s="324"/>
      <c r="M25" s="324" t="s">
        <v>281</v>
      </c>
      <c r="N25" s="324"/>
    </row>
    <row r="26" spans="1:15" s="152" customFormat="1">
      <c r="A26" s="1032" t="s">
        <v>564</v>
      </c>
      <c r="B26" s="1033"/>
      <c r="C26" s="341"/>
      <c r="D26" s="341"/>
      <c r="E26" s="324"/>
      <c r="F26" s="324"/>
      <c r="G26" s="324"/>
      <c r="H26" s="324"/>
      <c r="I26" s="324" t="s">
        <v>281</v>
      </c>
      <c r="J26" s="324"/>
      <c r="K26" s="324" t="s">
        <v>281</v>
      </c>
      <c r="L26" s="324"/>
      <c r="M26" s="324" t="s">
        <v>281</v>
      </c>
      <c r="N26" s="324"/>
    </row>
    <row r="27" spans="1:15" s="152" customFormat="1" ht="14.4" customHeight="1">
      <c r="A27" s="1032" t="s">
        <v>232</v>
      </c>
      <c r="B27" s="1033"/>
      <c r="C27" s="341"/>
      <c r="D27" s="344"/>
      <c r="E27" s="324"/>
      <c r="F27" s="327"/>
      <c r="G27" s="324"/>
      <c r="H27" s="327"/>
      <c r="I27" s="324" t="s">
        <v>281</v>
      </c>
      <c r="J27" s="327"/>
      <c r="K27" s="324" t="s">
        <v>281</v>
      </c>
      <c r="L27" s="327"/>
      <c r="M27" s="324" t="s">
        <v>281</v>
      </c>
      <c r="N27" s="332"/>
    </row>
    <row r="28" spans="1:15" s="152" customFormat="1">
      <c r="A28" s="1032" t="s">
        <v>521</v>
      </c>
      <c r="B28" s="1033"/>
      <c r="C28" s="341"/>
      <c r="D28" s="341"/>
      <c r="E28" s="324"/>
      <c r="F28" s="324"/>
      <c r="G28" s="324"/>
      <c r="H28" s="324"/>
      <c r="I28" s="324" t="s">
        <v>281</v>
      </c>
      <c r="J28" s="324"/>
      <c r="K28" s="324" t="s">
        <v>281</v>
      </c>
      <c r="L28" s="324"/>
      <c r="M28" s="324" t="s">
        <v>281</v>
      </c>
      <c r="N28" s="324"/>
    </row>
    <row r="29" spans="1:15" s="152" customFormat="1" ht="21" customHeight="1">
      <c r="A29" s="1032" t="s">
        <v>522</v>
      </c>
      <c r="B29" s="1033"/>
      <c r="C29" s="341"/>
      <c r="D29" s="341"/>
      <c r="E29" s="324"/>
      <c r="F29" s="324"/>
      <c r="G29" s="324"/>
      <c r="H29" s="324"/>
      <c r="I29" s="324" t="s">
        <v>281</v>
      </c>
      <c r="J29" s="324"/>
      <c r="K29" s="324" t="s">
        <v>281</v>
      </c>
      <c r="L29" s="324"/>
      <c r="M29" s="324" t="s">
        <v>281</v>
      </c>
      <c r="N29" s="324"/>
    </row>
    <row r="30" spans="1:15" s="152" customFormat="1" ht="14.4" customHeight="1">
      <c r="A30" s="1032" t="s">
        <v>716</v>
      </c>
      <c r="B30" s="1033"/>
      <c r="C30" s="341"/>
      <c r="D30" s="349"/>
      <c r="E30" s="324"/>
      <c r="F30" s="333"/>
      <c r="G30" s="324"/>
      <c r="H30" s="333"/>
      <c r="I30" s="324" t="s">
        <v>281</v>
      </c>
      <c r="J30" s="333"/>
      <c r="K30" s="324" t="s">
        <v>281</v>
      </c>
      <c r="L30" s="333"/>
      <c r="M30" s="324" t="s">
        <v>281</v>
      </c>
      <c r="N30" s="333"/>
    </row>
    <row r="31" spans="1:15" s="152" customFormat="1" ht="14.4" customHeight="1">
      <c r="A31" s="1032" t="s">
        <v>715</v>
      </c>
      <c r="B31" s="1033"/>
      <c r="C31" s="341"/>
      <c r="D31" s="349"/>
      <c r="E31" s="324"/>
      <c r="F31" s="333"/>
      <c r="G31" s="324"/>
      <c r="H31" s="333"/>
      <c r="I31" s="324" t="s">
        <v>33</v>
      </c>
      <c r="J31" s="333"/>
      <c r="K31" s="324" t="s">
        <v>33</v>
      </c>
      <c r="L31" s="333"/>
      <c r="M31" s="324" t="s">
        <v>33</v>
      </c>
      <c r="N31" s="333"/>
    </row>
    <row r="32" spans="1:15" s="152" customFormat="1" ht="24.6" customHeight="1">
      <c r="A32" s="1032" t="s">
        <v>1103</v>
      </c>
      <c r="B32" s="1033"/>
      <c r="C32" s="341"/>
      <c r="D32" s="349"/>
      <c r="E32" s="324"/>
      <c r="F32" s="333"/>
      <c r="G32" s="324"/>
      <c r="H32" s="333"/>
      <c r="I32" s="324" t="s">
        <v>33</v>
      </c>
      <c r="J32" s="333"/>
      <c r="K32" s="324" t="s">
        <v>33</v>
      </c>
      <c r="L32" s="333"/>
      <c r="M32" s="324" t="s">
        <v>33</v>
      </c>
      <c r="N32" s="333"/>
    </row>
    <row r="33" spans="1:14" s="152" customFormat="1" ht="14.4" customHeight="1">
      <c r="A33" s="1032" t="s">
        <v>1104</v>
      </c>
      <c r="B33" s="1033"/>
      <c r="C33" s="341"/>
      <c r="D33" s="349"/>
      <c r="E33" s="324"/>
      <c r="F33" s="333"/>
      <c r="G33" s="324"/>
      <c r="H33" s="333"/>
      <c r="I33" s="324" t="s">
        <v>33</v>
      </c>
      <c r="J33" s="333"/>
      <c r="K33" s="324" t="s">
        <v>33</v>
      </c>
      <c r="L33" s="333"/>
      <c r="M33" s="324" t="s">
        <v>33</v>
      </c>
      <c r="N33" s="333"/>
    </row>
    <row r="34" spans="1:14" s="152" customFormat="1" ht="14.4" customHeight="1">
      <c r="A34" s="1032" t="s">
        <v>576</v>
      </c>
      <c r="B34" s="1033"/>
      <c r="C34" s="341"/>
      <c r="D34" s="341"/>
      <c r="E34" s="324"/>
      <c r="F34" s="324"/>
      <c r="G34" s="324"/>
      <c r="H34" s="324"/>
      <c r="I34" s="324" t="s">
        <v>33</v>
      </c>
      <c r="J34" s="324"/>
      <c r="K34" s="324" t="s">
        <v>33</v>
      </c>
      <c r="L34" s="324"/>
      <c r="M34" s="324" t="s">
        <v>33</v>
      </c>
      <c r="N34" s="324"/>
    </row>
    <row r="35" spans="1:14" s="152" customFormat="1" ht="14.4" customHeight="1">
      <c r="A35" s="1032" t="s">
        <v>577</v>
      </c>
      <c r="B35" s="1033"/>
      <c r="C35" s="341"/>
      <c r="D35" s="341"/>
      <c r="E35" s="324"/>
      <c r="F35" s="324"/>
      <c r="G35" s="324"/>
      <c r="H35" s="324"/>
      <c r="I35" s="324" t="s">
        <v>33</v>
      </c>
      <c r="J35" s="324"/>
      <c r="K35" s="324" t="s">
        <v>33</v>
      </c>
      <c r="L35" s="324"/>
      <c r="M35" s="324" t="s">
        <v>33</v>
      </c>
      <c r="N35" s="324"/>
    </row>
    <row r="36" spans="1:14" s="152" customFormat="1" ht="14.4" customHeight="1">
      <c r="A36" s="1032" t="s">
        <v>578</v>
      </c>
      <c r="B36" s="1033"/>
      <c r="C36" s="341"/>
      <c r="D36" s="349"/>
      <c r="E36" s="324"/>
      <c r="F36" s="333"/>
      <c r="G36" s="324"/>
      <c r="H36" s="333"/>
      <c r="I36" s="324" t="s">
        <v>33</v>
      </c>
      <c r="J36" s="333"/>
      <c r="K36" s="324" t="s">
        <v>33</v>
      </c>
      <c r="L36" s="333"/>
      <c r="M36" s="324" t="s">
        <v>33</v>
      </c>
      <c r="N36" s="333"/>
    </row>
    <row r="37" spans="1:14" s="152" customFormat="1" ht="14.4" customHeight="1">
      <c r="A37" s="1032" t="s">
        <v>701</v>
      </c>
      <c r="B37" s="1033"/>
      <c r="C37" s="341"/>
      <c r="D37" s="349"/>
      <c r="E37" s="324"/>
      <c r="F37" s="333"/>
      <c r="G37" s="324"/>
      <c r="H37" s="333"/>
      <c r="I37" s="324" t="s">
        <v>33</v>
      </c>
      <c r="J37" s="333"/>
      <c r="K37" s="324" t="s">
        <v>33</v>
      </c>
      <c r="L37" s="333"/>
      <c r="M37" s="324" t="s">
        <v>33</v>
      </c>
      <c r="N37" s="333"/>
    </row>
    <row r="38" spans="1:14" s="152" customFormat="1" ht="14.4" customHeight="1">
      <c r="A38" s="1032" t="s">
        <v>692</v>
      </c>
      <c r="B38" s="1033"/>
      <c r="C38" s="341"/>
      <c r="D38" s="341"/>
      <c r="E38" s="324"/>
      <c r="F38" s="324"/>
      <c r="G38" s="324"/>
      <c r="H38" s="324"/>
      <c r="I38" s="324" t="s">
        <v>33</v>
      </c>
      <c r="J38" s="324"/>
      <c r="K38" s="324" t="s">
        <v>33</v>
      </c>
      <c r="L38" s="324"/>
      <c r="M38" s="324" t="s">
        <v>33</v>
      </c>
      <c r="N38" s="324"/>
    </row>
    <row r="39" spans="1:14" s="152" customFormat="1" ht="14.4" customHeight="1">
      <c r="A39" s="1032" t="s">
        <v>579</v>
      </c>
      <c r="B39" s="1033"/>
      <c r="C39" s="341"/>
      <c r="D39" s="341"/>
      <c r="E39" s="324"/>
      <c r="F39" s="324"/>
      <c r="G39" s="324"/>
      <c r="H39" s="324"/>
      <c r="I39" s="324" t="s">
        <v>33</v>
      </c>
      <c r="J39" s="324"/>
      <c r="K39" s="324" t="s">
        <v>33</v>
      </c>
      <c r="L39" s="324"/>
      <c r="M39" s="324" t="s">
        <v>33</v>
      </c>
      <c r="N39" s="324"/>
    </row>
    <row r="40" spans="1:14" s="152" customFormat="1" ht="14.4" customHeight="1">
      <c r="A40" s="1032" t="s">
        <v>580</v>
      </c>
      <c r="B40" s="1033"/>
      <c r="C40" s="341"/>
      <c r="D40" s="341"/>
      <c r="E40" s="324"/>
      <c r="F40" s="324"/>
      <c r="G40" s="324"/>
      <c r="H40" s="324"/>
      <c r="I40" s="324" t="s">
        <v>33</v>
      </c>
      <c r="J40" s="324"/>
      <c r="K40" s="324" t="s">
        <v>33</v>
      </c>
      <c r="L40" s="324"/>
      <c r="M40" s="324" t="s">
        <v>33</v>
      </c>
      <c r="N40" s="324"/>
    </row>
    <row r="41" spans="1:14" s="152" customFormat="1" ht="14.4" customHeight="1">
      <c r="A41" s="1032" t="s">
        <v>581</v>
      </c>
      <c r="B41" s="1033"/>
      <c r="C41" s="341"/>
      <c r="D41" s="341"/>
      <c r="E41" s="324"/>
      <c r="F41" s="324"/>
      <c r="G41" s="324"/>
      <c r="H41" s="324"/>
      <c r="I41" s="324" t="s">
        <v>33</v>
      </c>
      <c r="J41" s="324"/>
      <c r="K41" s="324" t="s">
        <v>33</v>
      </c>
      <c r="L41" s="324"/>
      <c r="M41" s="324" t="s">
        <v>33</v>
      </c>
      <c r="N41" s="324"/>
    </row>
    <row r="42" spans="1:14" s="152" customFormat="1" ht="14.4" customHeight="1">
      <c r="A42" s="1032" t="s">
        <v>36</v>
      </c>
      <c r="B42" s="1033"/>
      <c r="C42" s="629"/>
      <c r="D42" s="630"/>
      <c r="E42" s="627"/>
      <c r="F42" s="628"/>
      <c r="G42" s="627"/>
      <c r="H42" s="628"/>
      <c r="I42" s="627"/>
      <c r="J42" s="628"/>
      <c r="K42" s="627"/>
      <c r="L42" s="628"/>
      <c r="M42" s="627"/>
      <c r="N42" s="628"/>
    </row>
    <row r="43" spans="1:14" s="152" customFormat="1" ht="14.4" customHeight="1">
      <c r="A43" s="1032" t="s">
        <v>37</v>
      </c>
      <c r="B43" s="1033"/>
      <c r="C43" s="629"/>
      <c r="D43" s="630"/>
      <c r="E43" s="627"/>
      <c r="F43" s="628"/>
      <c r="G43" s="627"/>
      <c r="H43" s="628"/>
      <c r="I43" s="627"/>
      <c r="J43" s="628"/>
      <c r="K43" s="627"/>
      <c r="L43" s="628"/>
      <c r="M43" s="627"/>
      <c r="N43" s="628"/>
    </row>
    <row r="44" spans="1:14" s="152" customFormat="1" ht="14.4" customHeight="1">
      <c r="A44" s="1032" t="s">
        <v>38</v>
      </c>
      <c r="B44" s="1033"/>
      <c r="C44" s="629"/>
      <c r="D44" s="630"/>
      <c r="E44" s="627"/>
      <c r="F44" s="628"/>
      <c r="G44" s="627"/>
      <c r="H44" s="628"/>
      <c r="I44" s="627"/>
      <c r="J44" s="628"/>
      <c r="K44" s="627"/>
      <c r="L44" s="628"/>
      <c r="M44" s="627"/>
      <c r="N44" s="628"/>
    </row>
    <row r="45" spans="1:14" s="152" customFormat="1" ht="14.4" customHeight="1">
      <c r="A45" s="1032" t="s">
        <v>80</v>
      </c>
      <c r="B45" s="1033"/>
      <c r="C45" s="629"/>
      <c r="D45" s="630"/>
      <c r="E45" s="627"/>
      <c r="F45" s="628"/>
      <c r="G45" s="627"/>
      <c r="H45" s="628"/>
      <c r="I45" s="627"/>
      <c r="J45" s="628"/>
      <c r="K45" s="627"/>
      <c r="L45" s="628"/>
      <c r="M45" s="627"/>
      <c r="N45" s="628"/>
    </row>
    <row r="46" spans="1:14" s="152" customFormat="1" ht="14.4" customHeight="1">
      <c r="A46" s="1032" t="s">
        <v>81</v>
      </c>
      <c r="B46" s="1033"/>
      <c r="C46" s="629"/>
      <c r="D46" s="630"/>
      <c r="E46" s="627"/>
      <c r="F46" s="628"/>
      <c r="G46" s="627"/>
      <c r="H46" s="628"/>
      <c r="I46" s="627"/>
      <c r="J46" s="628"/>
      <c r="K46" s="627"/>
      <c r="L46" s="628"/>
      <c r="M46" s="627"/>
      <c r="N46" s="628"/>
    </row>
    <row r="47" spans="1:14" s="152" customFormat="1" ht="38.25" customHeight="1">
      <c r="A47" s="1032" t="s">
        <v>98</v>
      </c>
      <c r="B47" s="1033"/>
      <c r="C47" s="343"/>
      <c r="D47" s="343"/>
      <c r="E47" s="326"/>
      <c r="F47" s="326"/>
      <c r="G47" s="326"/>
      <c r="H47" s="326"/>
      <c r="I47" s="326" t="s">
        <v>281</v>
      </c>
      <c r="J47" s="326"/>
      <c r="K47" s="326" t="s">
        <v>281</v>
      </c>
      <c r="L47" s="326"/>
      <c r="M47" s="326" t="s">
        <v>281</v>
      </c>
      <c r="N47" s="326"/>
    </row>
    <row r="48" spans="1:14" s="152" customFormat="1" ht="28.5" customHeight="1">
      <c r="A48" s="1032" t="s">
        <v>1132</v>
      </c>
      <c r="B48" s="1033"/>
      <c r="C48" s="341"/>
      <c r="D48" s="344"/>
      <c r="E48" s="324"/>
      <c r="F48" s="327"/>
      <c r="G48" s="324"/>
      <c r="H48" s="327"/>
      <c r="I48" s="324" t="s">
        <v>281</v>
      </c>
      <c r="J48" s="327"/>
      <c r="K48" s="324" t="s">
        <v>281</v>
      </c>
      <c r="L48" s="327"/>
      <c r="M48" s="324" t="s">
        <v>281</v>
      </c>
      <c r="N48" s="327"/>
    </row>
    <row r="49" spans="1:14" s="152" customFormat="1" ht="42.6" customHeight="1">
      <c r="A49" s="1032" t="s">
        <v>1101</v>
      </c>
      <c r="B49" s="1033"/>
      <c r="C49" s="623"/>
      <c r="D49" s="623"/>
      <c r="E49" s="625"/>
      <c r="F49" s="625"/>
      <c r="G49" s="625"/>
      <c r="H49" s="625"/>
      <c r="I49" s="625"/>
      <c r="J49" s="625"/>
      <c r="K49" s="625"/>
      <c r="L49" s="625"/>
      <c r="M49" s="625"/>
      <c r="N49" s="625"/>
    </row>
    <row r="50" spans="1:14" s="152" customFormat="1" ht="28.5" customHeight="1">
      <c r="A50" s="1032" t="s">
        <v>104</v>
      </c>
      <c r="B50" s="1033"/>
      <c r="C50" s="626"/>
      <c r="D50" s="626"/>
      <c r="E50" s="632"/>
      <c r="F50" s="632"/>
      <c r="G50" s="632"/>
      <c r="H50" s="632"/>
      <c r="I50" s="632"/>
      <c r="J50" s="632"/>
      <c r="K50" s="632"/>
      <c r="L50" s="632"/>
      <c r="M50" s="632"/>
      <c r="N50" s="632"/>
    </row>
    <row r="51" spans="1:14" s="152" customFormat="1" ht="36" customHeight="1">
      <c r="A51" s="1032" t="s">
        <v>1130</v>
      </c>
      <c r="B51" s="1033"/>
      <c r="C51" s="623"/>
      <c r="D51" s="623"/>
      <c r="E51" s="625"/>
      <c r="F51" s="625"/>
      <c r="G51" s="625"/>
      <c r="H51" s="625"/>
      <c r="I51" s="625"/>
      <c r="J51" s="625"/>
      <c r="K51" s="625"/>
      <c r="L51" s="625"/>
      <c r="M51" s="625"/>
      <c r="N51" s="625"/>
    </row>
    <row r="52" spans="1:14" s="152" customFormat="1" ht="24" customHeight="1">
      <c r="A52" s="1032" t="s">
        <v>473</v>
      </c>
      <c r="B52" s="1033"/>
      <c r="C52" s="622"/>
      <c r="D52" s="623"/>
      <c r="E52" s="624"/>
      <c r="F52" s="625"/>
      <c r="G52" s="624"/>
      <c r="H52" s="625"/>
      <c r="I52" s="624"/>
      <c r="J52" s="625"/>
      <c r="K52" s="624"/>
      <c r="L52" s="625"/>
      <c r="M52" s="624"/>
      <c r="N52" s="625"/>
    </row>
    <row r="53" spans="1:14" s="152" customFormat="1" ht="14.4" customHeight="1">
      <c r="A53" s="1032" t="s">
        <v>108</v>
      </c>
      <c r="B53" s="1033"/>
      <c r="C53" s="622"/>
      <c r="D53" s="623"/>
      <c r="E53" s="624"/>
      <c r="F53" s="625"/>
      <c r="G53" s="624"/>
      <c r="H53" s="625"/>
      <c r="I53" s="624"/>
      <c r="J53" s="625"/>
      <c r="K53" s="624"/>
      <c r="L53" s="625"/>
      <c r="M53" s="624"/>
      <c r="N53" s="625"/>
    </row>
    <row r="54" spans="1:14" s="152" customFormat="1" ht="14.4" customHeight="1">
      <c r="A54" s="1032" t="s">
        <v>2</v>
      </c>
      <c r="B54" s="1033"/>
      <c r="C54" s="620"/>
      <c r="D54" s="620"/>
      <c r="E54" s="621"/>
      <c r="F54" s="621"/>
      <c r="G54" s="621"/>
      <c r="H54" s="621"/>
      <c r="I54" s="621" t="s">
        <v>281</v>
      </c>
      <c r="J54" s="621"/>
      <c r="K54" s="621" t="s">
        <v>281</v>
      </c>
      <c r="L54" s="621"/>
      <c r="M54" s="621" t="s">
        <v>281</v>
      </c>
      <c r="N54" s="621"/>
    </row>
    <row r="55" spans="1:14" s="152" customFormat="1" ht="14.4" customHeight="1">
      <c r="A55" s="1032" t="s">
        <v>490</v>
      </c>
      <c r="B55" s="1033"/>
      <c r="C55" s="341"/>
      <c r="D55" s="344"/>
      <c r="E55" s="324"/>
      <c r="F55" s="327"/>
      <c r="G55" s="324"/>
      <c r="H55" s="327"/>
      <c r="I55" s="324" t="s">
        <v>281</v>
      </c>
      <c r="J55" s="327"/>
      <c r="K55" s="324" t="s">
        <v>281</v>
      </c>
      <c r="L55" s="327"/>
      <c r="M55" s="324" t="s">
        <v>281</v>
      </c>
      <c r="N55" s="327"/>
    </row>
    <row r="56" spans="1:14" s="152" customFormat="1" ht="14.4" customHeight="1">
      <c r="A56" s="1032" t="s">
        <v>491</v>
      </c>
      <c r="B56" s="1033"/>
      <c r="C56" s="341"/>
      <c r="D56" s="344"/>
      <c r="E56" s="324"/>
      <c r="F56" s="327"/>
      <c r="G56" s="324"/>
      <c r="H56" s="327"/>
      <c r="I56" s="324" t="s">
        <v>281</v>
      </c>
      <c r="J56" s="327"/>
      <c r="K56" s="324" t="s">
        <v>281</v>
      </c>
      <c r="L56" s="327"/>
      <c r="M56" s="324" t="s">
        <v>281</v>
      </c>
      <c r="N56" s="327"/>
    </row>
    <row r="57" spans="1:14" s="152" customFormat="1" ht="15.6" customHeight="1">
      <c r="A57" s="1032" t="s">
        <v>493</v>
      </c>
      <c r="B57" s="1033"/>
      <c r="C57" s="350"/>
      <c r="D57" s="351"/>
      <c r="E57" s="334"/>
      <c r="F57" s="335"/>
      <c r="G57" s="334"/>
      <c r="H57" s="335"/>
      <c r="I57" s="334" t="s">
        <v>281</v>
      </c>
      <c r="J57" s="335"/>
      <c r="K57" s="334" t="s">
        <v>281</v>
      </c>
      <c r="L57" s="335"/>
      <c r="M57" s="334" t="s">
        <v>281</v>
      </c>
      <c r="N57" s="335"/>
    </row>
    <row r="58" spans="1:14" s="152" customFormat="1" ht="15.6" customHeight="1">
      <c r="A58" s="1032" t="s">
        <v>308</v>
      </c>
      <c r="B58" s="1033"/>
      <c r="C58" s="352"/>
      <c r="D58" s="351"/>
      <c r="E58" s="336"/>
      <c r="F58" s="335"/>
      <c r="G58" s="336"/>
      <c r="H58" s="335"/>
      <c r="I58" s="336" t="s">
        <v>281</v>
      </c>
      <c r="J58" s="335"/>
      <c r="K58" s="336" t="s">
        <v>281</v>
      </c>
      <c r="L58" s="335"/>
      <c r="M58" s="336" t="s">
        <v>281</v>
      </c>
      <c r="N58" s="335"/>
    </row>
    <row r="59" spans="1:14" s="152" customFormat="1" ht="14.4" customHeight="1">
      <c r="A59" s="1032" t="s">
        <v>293</v>
      </c>
      <c r="B59" s="1033"/>
      <c r="C59" s="341"/>
      <c r="D59" s="344"/>
      <c r="E59" s="324"/>
      <c r="F59" s="327"/>
      <c r="G59" s="324"/>
      <c r="H59" s="327"/>
      <c r="I59" s="324" t="s">
        <v>281</v>
      </c>
      <c r="J59" s="327"/>
      <c r="K59" s="324" t="s">
        <v>281</v>
      </c>
      <c r="L59" s="327"/>
      <c r="M59" s="324" t="s">
        <v>281</v>
      </c>
      <c r="N59" s="327"/>
    </row>
    <row r="60" spans="1:14" s="152" customFormat="1" ht="30" customHeight="1">
      <c r="A60" s="1032" t="s">
        <v>12</v>
      </c>
      <c r="B60" s="1033"/>
      <c r="C60" s="620"/>
      <c r="D60" s="620"/>
      <c r="E60" s="621"/>
      <c r="F60" s="621"/>
      <c r="G60" s="621"/>
      <c r="H60" s="621"/>
      <c r="I60" s="621"/>
      <c r="J60" s="621"/>
      <c r="K60" s="621"/>
      <c r="L60" s="621"/>
      <c r="M60" s="621"/>
      <c r="N60" s="621"/>
    </row>
    <row r="61" spans="1:14" s="152" customFormat="1" ht="30" customHeight="1">
      <c r="A61" s="1034" t="s">
        <v>1100</v>
      </c>
      <c r="B61" s="1033"/>
      <c r="C61" s="620"/>
      <c r="D61" s="620"/>
      <c r="E61" s="621"/>
      <c r="F61" s="621"/>
      <c r="G61" s="621"/>
      <c r="H61" s="621"/>
      <c r="I61" s="621" t="s">
        <v>173</v>
      </c>
      <c r="J61" s="621"/>
      <c r="K61" s="621" t="s">
        <v>173</v>
      </c>
      <c r="L61" s="621"/>
      <c r="M61" s="621" t="s">
        <v>173</v>
      </c>
      <c r="N61" s="621"/>
    </row>
    <row r="62" spans="1:14" ht="14.4" customHeight="1">
      <c r="A62" s="1034" t="s">
        <v>705</v>
      </c>
      <c r="B62" s="1033"/>
      <c r="C62" s="620"/>
      <c r="D62" s="620"/>
      <c r="E62" s="621"/>
      <c r="F62" s="621"/>
      <c r="G62" s="621"/>
      <c r="H62" s="621"/>
      <c r="I62" s="621" t="s">
        <v>281</v>
      </c>
      <c r="J62" s="621"/>
      <c r="K62" s="621" t="s">
        <v>281</v>
      </c>
      <c r="L62" s="621"/>
      <c r="M62" s="621" t="s">
        <v>281</v>
      </c>
      <c r="N62" s="621"/>
    </row>
    <row r="63" spans="1:14" ht="14.4" customHeight="1">
      <c r="A63" s="1035" t="s">
        <v>1102</v>
      </c>
      <c r="B63" s="1036"/>
      <c r="C63" s="353"/>
      <c r="D63" s="354"/>
      <c r="E63" s="337"/>
      <c r="F63" s="338"/>
      <c r="G63" s="337"/>
      <c r="H63" s="338"/>
      <c r="I63" s="337" t="s">
        <v>281</v>
      </c>
      <c r="J63" s="338"/>
      <c r="K63" s="337" t="s">
        <v>281</v>
      </c>
      <c r="L63" s="338"/>
      <c r="M63" s="337" t="s">
        <v>281</v>
      </c>
      <c r="N63" s="338"/>
    </row>
    <row r="64" spans="1:14">
      <c r="A64" s="1035" t="s">
        <v>567</v>
      </c>
      <c r="B64" s="1036"/>
      <c r="C64" s="343"/>
      <c r="D64" s="354"/>
      <c r="E64" s="326"/>
      <c r="F64" s="338"/>
      <c r="G64" s="326"/>
      <c r="H64" s="338"/>
      <c r="I64" s="326" t="s">
        <v>281</v>
      </c>
      <c r="J64" s="338"/>
      <c r="K64" s="326" t="s">
        <v>281</v>
      </c>
      <c r="L64" s="338"/>
      <c r="M64" s="326" t="s">
        <v>281</v>
      </c>
      <c r="N64" s="338"/>
    </row>
    <row r="65" spans="2:10" ht="14.4" customHeight="1">
      <c r="B65" s="153"/>
      <c r="C65" s="153"/>
      <c r="D65" s="153"/>
      <c r="E65" s="153"/>
      <c r="F65" s="153"/>
      <c r="G65" s="153"/>
      <c r="H65" s="153"/>
      <c r="I65" s="153"/>
      <c r="J65" s="153"/>
    </row>
    <row r="66" spans="2:10" ht="14.4" customHeight="1">
      <c r="B66" s="153"/>
      <c r="C66" s="153"/>
      <c r="D66" s="153"/>
      <c r="E66" s="153"/>
      <c r="F66" s="153"/>
      <c r="G66" s="153"/>
      <c r="H66" s="153"/>
      <c r="I66" s="153"/>
      <c r="J66" s="153"/>
    </row>
    <row r="67" spans="2:10" ht="24" customHeight="1">
      <c r="B67" s="153"/>
      <c r="C67" s="153"/>
      <c r="D67" s="153"/>
      <c r="E67" s="153"/>
      <c r="F67" s="153"/>
      <c r="G67" s="153"/>
      <c r="H67" s="153"/>
      <c r="I67" s="153"/>
      <c r="J67" s="153"/>
    </row>
    <row r="68" spans="2:10" ht="15.6" customHeight="1">
      <c r="B68" s="153"/>
      <c r="C68" s="153"/>
      <c r="D68" s="153"/>
      <c r="E68" s="153"/>
      <c r="F68" s="153"/>
      <c r="G68" s="153"/>
      <c r="H68" s="153"/>
      <c r="I68" s="153"/>
      <c r="J68" s="153"/>
    </row>
    <row r="69" spans="2:10" ht="15.6" customHeight="1">
      <c r="B69" s="153"/>
      <c r="C69" s="153"/>
      <c r="D69" s="153"/>
      <c r="E69" s="153"/>
      <c r="F69" s="153"/>
      <c r="G69" s="153"/>
      <c r="H69" s="153"/>
      <c r="I69" s="153"/>
      <c r="J69" s="153"/>
    </row>
    <row r="70" spans="2:10" ht="14.4" customHeight="1">
      <c r="B70" s="153"/>
      <c r="C70" s="153"/>
      <c r="D70" s="153"/>
      <c r="E70" s="153"/>
      <c r="F70" s="153"/>
      <c r="G70" s="153"/>
      <c r="H70" s="153"/>
      <c r="I70" s="153"/>
      <c r="J70" s="153"/>
    </row>
    <row r="71" spans="2:10" ht="14.4" customHeight="1">
      <c r="B71" s="153"/>
      <c r="C71" s="153"/>
      <c r="D71" s="153"/>
      <c r="E71" s="153"/>
      <c r="F71" s="153"/>
      <c r="G71" s="153"/>
      <c r="H71" s="153"/>
      <c r="I71" s="153"/>
      <c r="J71" s="153"/>
    </row>
    <row r="72" spans="2:10" ht="14.4" customHeight="1">
      <c r="B72" s="153"/>
      <c r="C72" s="153"/>
      <c r="D72" s="153"/>
      <c r="E72" s="153"/>
      <c r="F72" s="153"/>
      <c r="G72" s="153"/>
      <c r="H72" s="153"/>
      <c r="I72" s="153"/>
      <c r="J72" s="153"/>
    </row>
    <row r="73" spans="2:10" ht="14.4" customHeight="1">
      <c r="B73" s="153"/>
      <c r="C73" s="153"/>
      <c r="D73" s="153"/>
      <c r="E73" s="153"/>
      <c r="F73" s="153"/>
      <c r="G73" s="153"/>
      <c r="H73" s="153"/>
      <c r="I73" s="153"/>
      <c r="J73" s="153"/>
    </row>
    <row r="74" spans="2:10">
      <c r="B74" s="153"/>
      <c r="C74" s="153"/>
      <c r="D74" s="153"/>
      <c r="E74" s="153"/>
      <c r="F74" s="153"/>
      <c r="G74" s="153"/>
      <c r="H74" s="153"/>
      <c r="I74" s="153"/>
      <c r="J74" s="153"/>
    </row>
    <row r="75" spans="2:10">
      <c r="B75" s="153"/>
      <c r="C75" s="153"/>
      <c r="D75" s="153"/>
      <c r="E75" s="153"/>
      <c r="F75" s="153"/>
      <c r="G75" s="153"/>
      <c r="H75" s="153"/>
      <c r="I75" s="153"/>
      <c r="J75" s="153"/>
    </row>
    <row r="76" spans="2:10">
      <c r="B76" s="153"/>
      <c r="C76" s="153"/>
      <c r="D76" s="153"/>
      <c r="E76" s="153"/>
      <c r="F76" s="153"/>
      <c r="G76" s="153"/>
      <c r="H76" s="153"/>
      <c r="I76" s="153"/>
      <c r="J76" s="153"/>
    </row>
    <row r="77" spans="2:10">
      <c r="B77" s="153"/>
      <c r="C77" s="153"/>
      <c r="D77" s="153"/>
      <c r="E77" s="153"/>
      <c r="F77" s="153"/>
      <c r="G77" s="153"/>
      <c r="H77" s="153"/>
      <c r="I77" s="153"/>
      <c r="J77" s="153"/>
    </row>
    <row r="78" spans="2:10">
      <c r="B78" s="153"/>
      <c r="C78" s="153"/>
      <c r="D78" s="153"/>
      <c r="E78" s="153"/>
      <c r="F78" s="153"/>
      <c r="G78" s="153"/>
      <c r="H78" s="153"/>
      <c r="I78" s="153"/>
      <c r="J78" s="153"/>
    </row>
    <row r="79" spans="2:10">
      <c r="B79" s="153"/>
      <c r="C79" s="153"/>
      <c r="D79" s="153"/>
      <c r="E79" s="153"/>
      <c r="F79" s="153"/>
      <c r="G79" s="153"/>
      <c r="H79" s="153"/>
      <c r="I79" s="153"/>
      <c r="J79" s="153"/>
    </row>
    <row r="80" spans="2:10">
      <c r="B80" s="153"/>
      <c r="C80" s="153"/>
      <c r="D80" s="153"/>
      <c r="E80" s="153"/>
      <c r="F80" s="153"/>
      <c r="G80" s="153"/>
      <c r="H80" s="153"/>
      <c r="I80" s="153"/>
      <c r="J80" s="153"/>
    </row>
    <row r="81" spans="2:10">
      <c r="B81" s="153"/>
      <c r="C81" s="153"/>
      <c r="D81" s="153"/>
      <c r="E81" s="153"/>
      <c r="F81" s="153"/>
      <c r="G81" s="153"/>
      <c r="H81" s="153"/>
      <c r="I81" s="153"/>
      <c r="J81" s="153"/>
    </row>
    <row r="82" spans="2:10">
      <c r="B82" s="153"/>
      <c r="C82" s="153"/>
      <c r="D82" s="153"/>
      <c r="E82" s="153"/>
      <c r="F82" s="153"/>
      <c r="G82" s="153"/>
      <c r="H82" s="153"/>
      <c r="I82" s="153"/>
      <c r="J82" s="153"/>
    </row>
    <row r="83" spans="2:10">
      <c r="B83" s="153"/>
      <c r="C83" s="153"/>
      <c r="D83" s="153"/>
      <c r="E83" s="153"/>
      <c r="F83" s="153"/>
      <c r="G83" s="153"/>
      <c r="H83" s="153"/>
      <c r="I83" s="153"/>
      <c r="J83" s="153"/>
    </row>
    <row r="84" spans="2:10">
      <c r="B84" s="153"/>
      <c r="C84" s="153"/>
      <c r="D84" s="153"/>
      <c r="E84" s="153"/>
      <c r="F84" s="153"/>
      <c r="G84" s="153"/>
      <c r="H84" s="153"/>
      <c r="I84" s="153"/>
      <c r="J84" s="153"/>
    </row>
    <row r="85" spans="2:10">
      <c r="B85" s="153"/>
      <c r="C85" s="153"/>
      <c r="D85" s="153"/>
      <c r="E85" s="153"/>
      <c r="F85" s="153"/>
      <c r="G85" s="153"/>
      <c r="H85" s="153"/>
      <c r="I85" s="153"/>
      <c r="J85" s="153"/>
    </row>
    <row r="86" spans="2:10">
      <c r="B86" s="153"/>
      <c r="C86" s="153"/>
      <c r="D86" s="153"/>
      <c r="E86" s="153"/>
      <c r="F86" s="153"/>
      <c r="G86" s="153"/>
      <c r="H86" s="153"/>
      <c r="I86" s="153"/>
      <c r="J86" s="153"/>
    </row>
    <row r="87" spans="2:10">
      <c r="B87" s="153"/>
      <c r="C87" s="153"/>
      <c r="D87" s="153"/>
      <c r="E87" s="153"/>
      <c r="F87" s="153"/>
      <c r="G87" s="153"/>
      <c r="H87" s="153"/>
      <c r="I87" s="153"/>
      <c r="J87" s="153"/>
    </row>
    <row r="88" spans="2:10">
      <c r="B88" s="153"/>
      <c r="C88" s="153"/>
      <c r="D88" s="153"/>
      <c r="E88" s="153"/>
      <c r="F88" s="153"/>
      <c r="G88" s="153"/>
      <c r="H88" s="153"/>
      <c r="I88" s="153"/>
      <c r="J88" s="153"/>
    </row>
    <row r="89" spans="2:10">
      <c r="B89" s="153"/>
      <c r="C89" s="153"/>
      <c r="D89" s="153"/>
      <c r="E89" s="153"/>
      <c r="F89" s="153"/>
      <c r="G89" s="153"/>
      <c r="H89" s="153"/>
      <c r="I89" s="153"/>
      <c r="J89" s="153"/>
    </row>
    <row r="90" spans="2:10">
      <c r="B90" s="153"/>
      <c r="C90" s="153"/>
      <c r="D90" s="153"/>
      <c r="E90" s="153"/>
      <c r="F90" s="153"/>
      <c r="G90" s="153"/>
      <c r="H90" s="153"/>
      <c r="I90" s="153"/>
      <c r="J90" s="153"/>
    </row>
    <row r="91" spans="2:10">
      <c r="B91" s="153"/>
      <c r="C91" s="153"/>
      <c r="D91" s="153"/>
      <c r="E91" s="153"/>
      <c r="F91" s="153"/>
      <c r="G91" s="153"/>
      <c r="H91" s="153"/>
      <c r="I91" s="153"/>
      <c r="J91" s="153"/>
    </row>
    <row r="92" spans="2:10">
      <c r="B92" s="153"/>
      <c r="C92" s="153"/>
      <c r="D92" s="153"/>
      <c r="E92" s="153"/>
      <c r="F92" s="153"/>
      <c r="G92" s="153"/>
      <c r="H92" s="153"/>
      <c r="I92" s="153"/>
      <c r="J92" s="153"/>
    </row>
    <row r="93" spans="2:10">
      <c r="B93" s="153"/>
      <c r="C93" s="153"/>
      <c r="D93" s="153"/>
      <c r="E93" s="153"/>
      <c r="F93" s="153"/>
      <c r="G93" s="153"/>
      <c r="H93" s="153"/>
      <c r="I93" s="153"/>
      <c r="J93" s="153"/>
    </row>
    <row r="94" spans="2:10">
      <c r="B94" s="153"/>
      <c r="C94" s="153"/>
      <c r="D94" s="153"/>
      <c r="E94" s="153"/>
      <c r="F94" s="153"/>
      <c r="G94" s="153"/>
      <c r="H94" s="153"/>
      <c r="I94" s="153"/>
      <c r="J94" s="153"/>
    </row>
    <row r="95" spans="2:10">
      <c r="B95" s="153"/>
      <c r="C95" s="153"/>
      <c r="D95" s="153"/>
      <c r="E95" s="153"/>
      <c r="F95" s="153"/>
      <c r="G95" s="153"/>
      <c r="H95" s="153"/>
      <c r="I95" s="153"/>
      <c r="J95" s="153"/>
    </row>
    <row r="96" spans="2:10">
      <c r="B96" s="153"/>
      <c r="C96" s="153"/>
      <c r="D96" s="153"/>
      <c r="E96" s="153"/>
      <c r="F96" s="153"/>
      <c r="G96" s="153"/>
      <c r="H96" s="153"/>
      <c r="I96" s="153"/>
      <c r="J96" s="153"/>
    </row>
    <row r="97" spans="2:10">
      <c r="B97" s="153"/>
      <c r="C97" s="153"/>
      <c r="D97" s="153"/>
      <c r="E97" s="153"/>
      <c r="F97" s="153"/>
      <c r="G97" s="153"/>
      <c r="H97" s="153"/>
      <c r="I97" s="153"/>
      <c r="J97" s="153"/>
    </row>
    <row r="98" spans="2:10">
      <c r="B98" s="153"/>
      <c r="C98" s="153"/>
      <c r="D98" s="153"/>
      <c r="E98" s="153"/>
      <c r="F98" s="153"/>
      <c r="G98" s="153"/>
      <c r="H98" s="153"/>
      <c r="I98" s="153"/>
      <c r="J98" s="153"/>
    </row>
    <row r="99" spans="2:10">
      <c r="B99" s="153"/>
      <c r="C99" s="153"/>
      <c r="D99" s="153"/>
      <c r="E99" s="153"/>
      <c r="F99" s="153"/>
      <c r="G99" s="153"/>
      <c r="H99" s="153"/>
      <c r="I99" s="153"/>
      <c r="J99" s="153"/>
    </row>
    <row r="100" spans="2:10">
      <c r="B100" s="153"/>
      <c r="C100" s="153"/>
      <c r="D100" s="153"/>
      <c r="E100" s="153"/>
      <c r="F100" s="153"/>
      <c r="G100" s="153"/>
      <c r="H100" s="153"/>
      <c r="I100" s="153"/>
      <c r="J100" s="153"/>
    </row>
    <row r="101" spans="2:10">
      <c r="B101" s="153"/>
      <c r="C101" s="153"/>
      <c r="D101" s="153"/>
      <c r="E101" s="153"/>
      <c r="F101" s="153"/>
      <c r="G101" s="153"/>
      <c r="H101" s="153"/>
      <c r="I101" s="153"/>
      <c r="J101" s="153"/>
    </row>
    <row r="102" spans="2:10">
      <c r="B102" s="153"/>
      <c r="C102" s="153"/>
      <c r="D102" s="153"/>
      <c r="E102" s="153"/>
      <c r="F102" s="153"/>
      <c r="G102" s="153"/>
      <c r="H102" s="153"/>
      <c r="I102" s="153"/>
      <c r="J102" s="153"/>
    </row>
    <row r="103" spans="2:10">
      <c r="B103" s="153"/>
      <c r="C103" s="153"/>
      <c r="D103" s="153"/>
      <c r="E103" s="153"/>
      <c r="F103" s="153"/>
      <c r="G103" s="153"/>
      <c r="H103" s="153"/>
      <c r="I103" s="153"/>
      <c r="J103" s="153"/>
    </row>
    <row r="104" spans="2:10">
      <c r="B104" s="153"/>
      <c r="C104" s="153"/>
      <c r="D104" s="153"/>
      <c r="E104" s="153"/>
      <c r="F104" s="153"/>
      <c r="G104" s="153"/>
      <c r="H104" s="153"/>
      <c r="I104" s="153"/>
      <c r="J104" s="153"/>
    </row>
    <row r="105" spans="2:10">
      <c r="B105" s="153"/>
      <c r="C105" s="153"/>
      <c r="D105" s="153"/>
      <c r="E105" s="153"/>
      <c r="F105" s="153"/>
      <c r="G105" s="153"/>
      <c r="H105" s="153"/>
      <c r="I105" s="153"/>
      <c r="J105" s="153"/>
    </row>
    <row r="106" spans="2:10">
      <c r="B106" s="153"/>
      <c r="C106" s="153"/>
      <c r="D106" s="153"/>
      <c r="E106" s="153"/>
      <c r="F106" s="153"/>
      <c r="G106" s="153"/>
      <c r="H106" s="153"/>
      <c r="I106" s="153"/>
      <c r="J106" s="153"/>
    </row>
    <row r="107" spans="2:10">
      <c r="B107" s="153"/>
      <c r="C107" s="153"/>
      <c r="D107" s="153"/>
      <c r="E107" s="153"/>
      <c r="F107" s="153"/>
      <c r="G107" s="153"/>
      <c r="H107" s="153"/>
      <c r="I107" s="153"/>
      <c r="J107" s="153"/>
    </row>
    <row r="108" spans="2:10">
      <c r="B108" s="153"/>
      <c r="C108" s="153"/>
      <c r="D108" s="153"/>
      <c r="E108" s="153"/>
      <c r="F108" s="153"/>
      <c r="G108" s="153"/>
      <c r="H108" s="153"/>
      <c r="I108" s="153"/>
      <c r="J108" s="153"/>
    </row>
    <row r="109" spans="2:10">
      <c r="B109" s="153"/>
      <c r="C109" s="153"/>
      <c r="D109" s="153"/>
      <c r="E109" s="153"/>
      <c r="F109" s="153"/>
      <c r="G109" s="153"/>
      <c r="H109" s="153"/>
      <c r="I109" s="153"/>
      <c r="J109" s="153"/>
    </row>
    <row r="110" spans="2:10">
      <c r="B110" s="153"/>
      <c r="C110" s="153"/>
      <c r="D110" s="153"/>
      <c r="E110" s="153"/>
      <c r="F110" s="153"/>
      <c r="G110" s="153"/>
      <c r="H110" s="153"/>
      <c r="I110" s="153"/>
      <c r="J110" s="153"/>
    </row>
    <row r="111" spans="2:10">
      <c r="B111" s="153"/>
      <c r="C111" s="153"/>
      <c r="D111" s="153"/>
      <c r="E111" s="153"/>
      <c r="F111" s="153"/>
      <c r="G111" s="153"/>
      <c r="H111" s="153"/>
      <c r="I111" s="153"/>
      <c r="J111" s="153"/>
    </row>
    <row r="112" spans="2:10">
      <c r="B112" s="153"/>
      <c r="C112" s="153"/>
      <c r="D112" s="153"/>
      <c r="E112" s="153"/>
      <c r="F112" s="153"/>
      <c r="G112" s="153"/>
      <c r="H112" s="153"/>
      <c r="I112" s="153"/>
      <c r="J112" s="153"/>
    </row>
    <row r="113" spans="2:10">
      <c r="B113" s="153"/>
      <c r="C113" s="153"/>
      <c r="D113" s="153"/>
      <c r="E113" s="153"/>
      <c r="F113" s="153"/>
      <c r="G113" s="153"/>
      <c r="H113" s="153"/>
      <c r="I113" s="153"/>
      <c r="J113" s="153"/>
    </row>
    <row r="114" spans="2:10">
      <c r="B114" s="153"/>
      <c r="C114" s="153"/>
      <c r="D114" s="153"/>
      <c r="E114" s="153"/>
      <c r="F114" s="153"/>
      <c r="G114" s="153"/>
      <c r="H114" s="153"/>
      <c r="I114" s="153"/>
      <c r="J114" s="153"/>
    </row>
    <row r="115" spans="2:10">
      <c r="B115" s="153"/>
      <c r="C115" s="153"/>
      <c r="D115" s="153"/>
      <c r="E115" s="153"/>
      <c r="F115" s="153"/>
      <c r="G115" s="153"/>
      <c r="H115" s="153"/>
      <c r="I115" s="153"/>
      <c r="J115" s="153"/>
    </row>
    <row r="116" spans="2:10">
      <c r="B116" s="153"/>
      <c r="C116" s="153"/>
      <c r="D116" s="153"/>
      <c r="E116" s="153"/>
      <c r="F116" s="153"/>
      <c r="G116" s="153"/>
      <c r="H116" s="153"/>
      <c r="I116" s="153"/>
      <c r="J116" s="153"/>
    </row>
    <row r="117" spans="2:10">
      <c r="B117" s="153"/>
      <c r="C117" s="153"/>
      <c r="D117" s="153"/>
      <c r="E117" s="153"/>
      <c r="F117" s="153"/>
      <c r="G117" s="153"/>
      <c r="H117" s="153"/>
      <c r="I117" s="153"/>
      <c r="J117" s="153"/>
    </row>
    <row r="118" spans="2:10">
      <c r="B118" s="153"/>
      <c r="C118" s="153"/>
      <c r="D118" s="153"/>
      <c r="E118" s="153"/>
      <c r="F118" s="153"/>
      <c r="G118" s="153"/>
      <c r="H118" s="153"/>
      <c r="I118" s="153"/>
      <c r="J118" s="153"/>
    </row>
    <row r="119" spans="2:10">
      <c r="B119" s="153"/>
      <c r="C119" s="153"/>
      <c r="D119" s="153"/>
      <c r="E119" s="153"/>
      <c r="F119" s="153"/>
      <c r="G119" s="153"/>
      <c r="H119" s="153"/>
      <c r="I119" s="153"/>
      <c r="J119" s="153"/>
    </row>
    <row r="120" spans="2:10">
      <c r="B120" s="153"/>
      <c r="C120" s="153"/>
      <c r="D120" s="153"/>
      <c r="E120" s="153"/>
      <c r="F120" s="153"/>
      <c r="G120" s="153"/>
      <c r="H120" s="153"/>
      <c r="I120" s="153"/>
      <c r="J120" s="153"/>
    </row>
    <row r="121" spans="2:10">
      <c r="B121" s="153"/>
      <c r="C121" s="153"/>
      <c r="D121" s="153"/>
      <c r="E121" s="153"/>
      <c r="F121" s="153"/>
      <c r="G121" s="153"/>
      <c r="H121" s="153"/>
      <c r="I121" s="153"/>
      <c r="J121" s="153"/>
    </row>
    <row r="122" spans="2:10">
      <c r="B122" s="153"/>
      <c r="C122" s="153"/>
      <c r="D122" s="153"/>
      <c r="E122" s="153"/>
      <c r="F122" s="153"/>
      <c r="G122" s="153"/>
      <c r="H122" s="153"/>
      <c r="I122" s="153"/>
      <c r="J122" s="153"/>
    </row>
    <row r="123" spans="2:10">
      <c r="B123" s="153"/>
      <c r="C123" s="153"/>
      <c r="D123" s="153"/>
      <c r="E123" s="153"/>
      <c r="F123" s="153"/>
      <c r="G123" s="153"/>
      <c r="H123" s="153"/>
      <c r="I123" s="153"/>
      <c r="J123" s="153"/>
    </row>
    <row r="124" spans="2:10">
      <c r="B124" s="153"/>
      <c r="C124" s="153"/>
      <c r="D124" s="153"/>
      <c r="E124" s="153"/>
      <c r="F124" s="153"/>
      <c r="G124" s="153"/>
      <c r="H124" s="153"/>
      <c r="I124" s="153"/>
      <c r="J124" s="153"/>
    </row>
    <row r="125" spans="2:10">
      <c r="B125" s="153"/>
      <c r="C125" s="153"/>
      <c r="D125" s="153"/>
      <c r="E125" s="153"/>
      <c r="F125" s="153"/>
      <c r="G125" s="153"/>
      <c r="H125" s="153"/>
      <c r="I125" s="153"/>
      <c r="J125" s="153"/>
    </row>
    <row r="126" spans="2:10">
      <c r="B126" s="153"/>
      <c r="C126" s="153"/>
      <c r="D126" s="153"/>
      <c r="E126" s="153"/>
      <c r="F126" s="153"/>
      <c r="G126" s="153"/>
      <c r="H126" s="153"/>
      <c r="I126" s="153"/>
      <c r="J126" s="153"/>
    </row>
    <row r="127" spans="2:10">
      <c r="B127" s="153"/>
      <c r="C127" s="153"/>
      <c r="D127" s="153"/>
      <c r="E127" s="153"/>
      <c r="F127" s="153"/>
      <c r="G127" s="153"/>
      <c r="H127" s="153"/>
      <c r="I127" s="153"/>
      <c r="J127" s="153"/>
    </row>
    <row r="128" spans="2:10">
      <c r="B128" s="153"/>
      <c r="C128" s="153"/>
      <c r="D128" s="153"/>
      <c r="E128" s="153"/>
      <c r="F128" s="153"/>
      <c r="G128" s="153"/>
      <c r="H128" s="153"/>
      <c r="I128" s="153"/>
      <c r="J128" s="153"/>
    </row>
    <row r="129" spans="2:10">
      <c r="B129" s="153"/>
      <c r="C129" s="153"/>
      <c r="D129" s="153"/>
      <c r="E129" s="153"/>
      <c r="F129" s="153"/>
      <c r="G129" s="153"/>
      <c r="H129" s="153"/>
      <c r="I129" s="153"/>
      <c r="J129" s="153"/>
    </row>
    <row r="130" spans="2:10">
      <c r="B130" s="153"/>
      <c r="C130" s="153"/>
      <c r="D130" s="153"/>
      <c r="E130" s="153"/>
      <c r="F130" s="153"/>
      <c r="G130" s="153"/>
      <c r="H130" s="153"/>
      <c r="I130" s="153"/>
      <c r="J130" s="153"/>
    </row>
    <row r="131" spans="2:10">
      <c r="B131" s="153"/>
      <c r="C131" s="153"/>
      <c r="D131" s="153"/>
      <c r="E131" s="153"/>
      <c r="F131" s="153"/>
      <c r="G131" s="153"/>
      <c r="H131" s="153"/>
      <c r="I131" s="153"/>
      <c r="J131" s="153"/>
    </row>
    <row r="132" spans="2:10">
      <c r="B132" s="153"/>
      <c r="C132" s="153"/>
      <c r="D132" s="153"/>
      <c r="E132" s="153"/>
      <c r="F132" s="153"/>
      <c r="G132" s="153"/>
      <c r="H132" s="153"/>
      <c r="I132" s="153"/>
      <c r="J132" s="153"/>
    </row>
    <row r="133" spans="2:10">
      <c r="B133" s="153"/>
      <c r="C133" s="153"/>
      <c r="D133" s="153"/>
      <c r="E133" s="153"/>
      <c r="F133" s="153"/>
      <c r="G133" s="153"/>
      <c r="H133" s="153"/>
      <c r="I133" s="153"/>
      <c r="J133" s="153"/>
    </row>
    <row r="134" spans="2:10">
      <c r="B134" s="153"/>
      <c r="C134" s="153"/>
      <c r="D134" s="153"/>
      <c r="E134" s="153"/>
      <c r="F134" s="153"/>
      <c r="G134" s="153"/>
      <c r="H134" s="153"/>
      <c r="I134" s="153"/>
      <c r="J134" s="153"/>
    </row>
    <row r="135" spans="2:10">
      <c r="B135" s="153"/>
      <c r="C135" s="153"/>
      <c r="D135" s="153"/>
      <c r="E135" s="153"/>
      <c r="F135" s="153"/>
      <c r="G135" s="153"/>
      <c r="H135" s="153"/>
      <c r="I135" s="153"/>
      <c r="J135" s="153"/>
    </row>
    <row r="136" spans="2:10">
      <c r="B136" s="153"/>
      <c r="C136" s="153"/>
      <c r="D136" s="153"/>
      <c r="E136" s="153"/>
      <c r="F136" s="153"/>
      <c r="G136" s="153"/>
      <c r="H136" s="153"/>
      <c r="I136" s="153"/>
      <c r="J136" s="153"/>
    </row>
    <row r="137" spans="2:10">
      <c r="B137" s="153"/>
      <c r="C137" s="153"/>
      <c r="D137" s="153"/>
      <c r="E137" s="153"/>
      <c r="F137" s="153"/>
      <c r="G137" s="153"/>
      <c r="H137" s="153"/>
      <c r="I137" s="153"/>
      <c r="J137" s="153"/>
    </row>
    <row r="138" spans="2:10">
      <c r="B138" s="153"/>
      <c r="C138" s="153"/>
      <c r="D138" s="153"/>
      <c r="E138" s="153"/>
      <c r="F138" s="153"/>
      <c r="G138" s="153"/>
      <c r="H138" s="153"/>
      <c r="I138" s="153"/>
      <c r="J138" s="153"/>
    </row>
    <row r="139" spans="2:10">
      <c r="B139" s="153"/>
      <c r="C139" s="153"/>
      <c r="D139" s="153"/>
      <c r="E139" s="153"/>
      <c r="F139" s="153"/>
      <c r="G139" s="153"/>
      <c r="H139" s="153"/>
      <c r="I139" s="153"/>
      <c r="J139" s="153"/>
    </row>
    <row r="140" spans="2:10">
      <c r="B140" s="153"/>
      <c r="C140" s="153"/>
      <c r="D140" s="153"/>
      <c r="E140" s="153"/>
      <c r="F140" s="153"/>
      <c r="G140" s="153"/>
      <c r="H140" s="153"/>
      <c r="I140" s="153"/>
      <c r="J140" s="153"/>
    </row>
    <row r="141" spans="2:10">
      <c r="B141" s="153"/>
      <c r="C141" s="153"/>
      <c r="D141" s="153"/>
      <c r="E141" s="153"/>
      <c r="F141" s="153"/>
      <c r="G141" s="153"/>
      <c r="H141" s="153"/>
      <c r="I141" s="153"/>
      <c r="J141" s="153"/>
    </row>
    <row r="142" spans="2:10">
      <c r="B142" s="153"/>
      <c r="C142" s="153"/>
      <c r="D142" s="153"/>
      <c r="E142" s="153"/>
      <c r="F142" s="153"/>
      <c r="G142" s="153"/>
      <c r="H142" s="153"/>
      <c r="I142" s="153"/>
      <c r="J142" s="153"/>
    </row>
    <row r="143" spans="2:10">
      <c r="B143" s="153"/>
      <c r="C143" s="153"/>
      <c r="D143" s="153"/>
      <c r="E143" s="153"/>
      <c r="F143" s="153"/>
      <c r="G143" s="153"/>
      <c r="H143" s="153"/>
      <c r="I143" s="153"/>
      <c r="J143" s="153"/>
    </row>
    <row r="144" spans="2:10">
      <c r="B144" s="153"/>
      <c r="C144" s="153"/>
      <c r="D144" s="153"/>
      <c r="E144" s="153"/>
      <c r="F144" s="153"/>
      <c r="G144" s="153"/>
      <c r="H144" s="153"/>
      <c r="I144" s="153"/>
      <c r="J144" s="153"/>
    </row>
    <row r="145" spans="2:10">
      <c r="B145" s="153"/>
      <c r="C145" s="153"/>
      <c r="D145" s="153"/>
      <c r="E145" s="153"/>
      <c r="F145" s="153"/>
      <c r="G145" s="153"/>
      <c r="H145" s="153"/>
      <c r="I145" s="153"/>
      <c r="J145" s="153"/>
    </row>
    <row r="146" spans="2:10">
      <c r="B146" s="153"/>
      <c r="C146" s="153"/>
      <c r="D146" s="153"/>
      <c r="E146" s="153"/>
      <c r="F146" s="153"/>
      <c r="G146" s="153"/>
      <c r="H146" s="153"/>
      <c r="I146" s="153"/>
      <c r="J146" s="153"/>
    </row>
    <row r="147" spans="2:10">
      <c r="B147" s="153"/>
      <c r="C147" s="153"/>
      <c r="D147" s="153"/>
      <c r="E147" s="153"/>
      <c r="F147" s="153"/>
      <c r="G147" s="153"/>
      <c r="H147" s="153"/>
      <c r="I147" s="153"/>
      <c r="J147" s="153"/>
    </row>
    <row r="148" spans="2:10">
      <c r="B148" s="153"/>
      <c r="C148" s="153"/>
      <c r="D148" s="153"/>
      <c r="E148" s="153"/>
      <c r="F148" s="153"/>
      <c r="G148" s="153"/>
      <c r="H148" s="153"/>
      <c r="I148" s="153"/>
      <c r="J148" s="153"/>
    </row>
    <row r="149" spans="2:10">
      <c r="B149" s="153"/>
      <c r="C149" s="153"/>
      <c r="D149" s="153"/>
      <c r="E149" s="153"/>
      <c r="F149" s="153"/>
      <c r="G149" s="153"/>
      <c r="H149" s="153"/>
      <c r="I149" s="153"/>
      <c r="J149" s="153"/>
    </row>
    <row r="150" spans="2:10">
      <c r="B150" s="153"/>
      <c r="C150" s="153"/>
      <c r="D150" s="153"/>
      <c r="E150" s="153"/>
      <c r="F150" s="153"/>
      <c r="G150" s="153"/>
      <c r="H150" s="153"/>
      <c r="I150" s="153"/>
      <c r="J150" s="153"/>
    </row>
    <row r="151" spans="2:10">
      <c r="B151" s="153"/>
      <c r="C151" s="153"/>
      <c r="D151" s="153"/>
      <c r="E151" s="153"/>
      <c r="F151" s="153"/>
      <c r="G151" s="153"/>
      <c r="H151" s="153"/>
      <c r="I151" s="153"/>
      <c r="J151" s="153"/>
    </row>
    <row r="152" spans="2:10">
      <c r="B152" s="153"/>
      <c r="C152" s="153"/>
      <c r="D152" s="153"/>
      <c r="E152" s="153"/>
      <c r="F152" s="153"/>
      <c r="G152" s="153"/>
      <c r="H152" s="153"/>
      <c r="I152" s="153"/>
      <c r="J152" s="153"/>
    </row>
    <row r="153" spans="2:10">
      <c r="B153" s="153"/>
      <c r="C153" s="153"/>
      <c r="D153" s="153"/>
      <c r="E153" s="153"/>
      <c r="F153" s="153"/>
      <c r="G153" s="153"/>
      <c r="H153" s="153"/>
      <c r="I153" s="153"/>
      <c r="J153" s="153"/>
    </row>
    <row r="154" spans="2:10">
      <c r="B154" s="153"/>
      <c r="C154" s="153"/>
      <c r="D154" s="153"/>
      <c r="E154" s="153"/>
      <c r="F154" s="153"/>
      <c r="G154" s="153"/>
      <c r="H154" s="153"/>
      <c r="I154" s="153"/>
      <c r="J154" s="153"/>
    </row>
    <row r="155" spans="2:10">
      <c r="B155" s="153"/>
      <c r="C155" s="153"/>
      <c r="D155" s="153"/>
      <c r="E155" s="153"/>
      <c r="F155" s="153"/>
      <c r="G155" s="153"/>
      <c r="H155" s="153"/>
      <c r="I155" s="153"/>
      <c r="J155" s="153"/>
    </row>
    <row r="156" spans="2:10">
      <c r="B156" s="153"/>
      <c r="C156" s="153"/>
      <c r="D156" s="153"/>
      <c r="E156" s="153"/>
      <c r="F156" s="153"/>
      <c r="G156" s="153"/>
      <c r="H156" s="153"/>
      <c r="I156" s="153"/>
      <c r="J156" s="153"/>
    </row>
    <row r="157" spans="2:10">
      <c r="B157" s="153"/>
      <c r="C157" s="153"/>
      <c r="D157" s="153"/>
      <c r="E157" s="153"/>
      <c r="F157" s="153"/>
      <c r="G157" s="153"/>
      <c r="H157" s="153"/>
      <c r="I157" s="153"/>
      <c r="J157" s="153"/>
    </row>
    <row r="158" spans="2:10">
      <c r="B158" s="153"/>
      <c r="C158" s="153"/>
      <c r="D158" s="153"/>
      <c r="E158" s="153"/>
      <c r="F158" s="153"/>
      <c r="G158" s="153"/>
      <c r="H158" s="153"/>
      <c r="I158" s="153"/>
      <c r="J158" s="153"/>
    </row>
    <row r="159" spans="2:10">
      <c r="B159" s="153"/>
      <c r="C159" s="153"/>
      <c r="D159" s="153"/>
      <c r="E159" s="153"/>
      <c r="F159" s="153"/>
      <c r="G159" s="153"/>
      <c r="H159" s="153"/>
      <c r="I159" s="153"/>
      <c r="J159" s="153"/>
    </row>
    <row r="160" spans="2:10">
      <c r="B160" s="153"/>
      <c r="C160" s="153"/>
      <c r="D160" s="153"/>
      <c r="E160" s="153"/>
      <c r="F160" s="153"/>
      <c r="G160" s="153"/>
      <c r="H160" s="153"/>
      <c r="I160" s="153"/>
      <c r="J160" s="153"/>
    </row>
    <row r="161" spans="2:10">
      <c r="B161" s="153"/>
      <c r="C161" s="153"/>
      <c r="D161" s="153"/>
      <c r="E161" s="153"/>
      <c r="F161" s="153"/>
      <c r="G161" s="153"/>
      <c r="H161" s="153"/>
      <c r="I161" s="153"/>
      <c r="J161" s="153"/>
    </row>
    <row r="162" spans="2:10">
      <c r="B162" s="153"/>
      <c r="C162" s="153"/>
      <c r="D162" s="153"/>
      <c r="E162" s="153"/>
      <c r="F162" s="153"/>
      <c r="G162" s="153"/>
      <c r="H162" s="153"/>
      <c r="I162" s="153"/>
      <c r="J162" s="153"/>
    </row>
    <row r="163" spans="2:10">
      <c r="B163" s="153"/>
      <c r="C163" s="153"/>
      <c r="D163" s="153"/>
      <c r="E163" s="153"/>
      <c r="F163" s="153"/>
      <c r="G163" s="153"/>
      <c r="H163" s="153"/>
      <c r="I163" s="153"/>
      <c r="J163" s="153"/>
    </row>
    <row r="164" spans="2:10">
      <c r="B164" s="153"/>
      <c r="C164" s="153"/>
      <c r="D164" s="153"/>
      <c r="E164" s="153"/>
      <c r="F164" s="153"/>
      <c r="G164" s="153"/>
      <c r="H164" s="153"/>
      <c r="I164" s="153"/>
      <c r="J164" s="153"/>
    </row>
    <row r="165" spans="2:10">
      <c r="B165" s="153"/>
      <c r="C165" s="153"/>
      <c r="D165" s="153"/>
      <c r="E165" s="153"/>
      <c r="F165" s="153"/>
      <c r="G165" s="153"/>
      <c r="H165" s="153"/>
      <c r="I165" s="153"/>
      <c r="J165" s="153"/>
    </row>
    <row r="166" spans="2:10">
      <c r="B166" s="153"/>
      <c r="C166" s="153"/>
      <c r="D166" s="153"/>
      <c r="E166" s="153"/>
      <c r="F166" s="153"/>
      <c r="G166" s="153"/>
      <c r="H166" s="153"/>
      <c r="I166" s="153"/>
      <c r="J166" s="153"/>
    </row>
    <row r="167" spans="2:10">
      <c r="B167" s="153"/>
      <c r="C167" s="153"/>
      <c r="D167" s="153"/>
      <c r="E167" s="153"/>
      <c r="F167" s="153"/>
      <c r="G167" s="153"/>
      <c r="H167" s="153"/>
      <c r="I167" s="153"/>
      <c r="J167" s="153"/>
    </row>
    <row r="168" spans="2:10">
      <c r="B168" s="153"/>
      <c r="C168" s="153"/>
      <c r="D168" s="153"/>
      <c r="E168" s="153"/>
      <c r="F168" s="153"/>
      <c r="G168" s="153"/>
      <c r="H168" s="153"/>
      <c r="I168" s="153"/>
      <c r="J168" s="153"/>
    </row>
    <row r="169" spans="2:10">
      <c r="B169" s="153"/>
      <c r="C169" s="153"/>
      <c r="D169" s="153"/>
      <c r="E169" s="153"/>
      <c r="F169" s="153"/>
      <c r="G169" s="153"/>
      <c r="H169" s="153"/>
      <c r="I169" s="153"/>
      <c r="J169" s="153"/>
    </row>
    <row r="170" spans="2:10">
      <c r="B170" s="153"/>
      <c r="C170" s="153"/>
      <c r="D170" s="153"/>
      <c r="E170" s="153"/>
      <c r="F170" s="153"/>
      <c r="G170" s="153"/>
      <c r="H170" s="153"/>
      <c r="I170" s="153"/>
      <c r="J170" s="153"/>
    </row>
    <row r="171" spans="2:10">
      <c r="B171" s="153"/>
      <c r="C171" s="153"/>
      <c r="D171" s="153"/>
      <c r="E171" s="153"/>
      <c r="F171" s="153"/>
      <c r="G171" s="153"/>
      <c r="H171" s="153"/>
      <c r="I171" s="153"/>
      <c r="J171" s="153"/>
    </row>
    <row r="172" spans="2:10">
      <c r="B172" s="153"/>
      <c r="C172" s="153"/>
      <c r="D172" s="153"/>
      <c r="E172" s="153"/>
      <c r="F172" s="153"/>
      <c r="G172" s="153"/>
      <c r="H172" s="153"/>
      <c r="I172" s="153"/>
      <c r="J172" s="153"/>
    </row>
    <row r="173" spans="2:10">
      <c r="B173" s="153"/>
      <c r="C173" s="153"/>
      <c r="D173" s="153"/>
      <c r="E173" s="153"/>
      <c r="F173" s="153"/>
      <c r="G173" s="153"/>
      <c r="H173" s="153"/>
      <c r="I173" s="153"/>
      <c r="J173" s="153"/>
    </row>
    <row r="174" spans="2:10">
      <c r="B174" s="153"/>
      <c r="C174" s="153"/>
      <c r="D174" s="153"/>
      <c r="E174" s="153"/>
      <c r="F174" s="153"/>
      <c r="G174" s="153"/>
      <c r="H174" s="153"/>
      <c r="I174" s="153"/>
      <c r="J174" s="153"/>
    </row>
    <row r="175" spans="2:10">
      <c r="B175" s="153"/>
      <c r="C175" s="153"/>
      <c r="D175" s="153"/>
      <c r="E175" s="153"/>
      <c r="F175" s="153"/>
      <c r="G175" s="153"/>
      <c r="H175" s="153"/>
      <c r="I175" s="153"/>
      <c r="J175" s="153"/>
    </row>
    <row r="176" spans="2:10">
      <c r="B176" s="153"/>
      <c r="C176" s="153"/>
      <c r="D176" s="153"/>
      <c r="E176" s="153"/>
      <c r="F176" s="153"/>
      <c r="G176" s="153"/>
      <c r="H176" s="153"/>
      <c r="I176" s="153"/>
      <c r="J176" s="153"/>
    </row>
    <row r="177" spans="2:10">
      <c r="B177" s="153"/>
      <c r="C177" s="153"/>
      <c r="D177" s="153"/>
      <c r="E177" s="153"/>
      <c r="F177" s="153"/>
      <c r="G177" s="153"/>
      <c r="H177" s="153"/>
      <c r="I177" s="153"/>
      <c r="J177" s="153"/>
    </row>
    <row r="178" spans="2:10">
      <c r="B178" s="153"/>
      <c r="C178" s="153"/>
      <c r="D178" s="153"/>
      <c r="E178" s="153"/>
      <c r="F178" s="153"/>
      <c r="G178" s="153"/>
      <c r="H178" s="153"/>
      <c r="I178" s="153"/>
      <c r="J178" s="153"/>
    </row>
    <row r="179" spans="2:10">
      <c r="B179" s="153"/>
      <c r="C179" s="153"/>
      <c r="D179" s="153"/>
      <c r="E179" s="153"/>
      <c r="F179" s="153"/>
      <c r="G179" s="153"/>
      <c r="H179" s="153"/>
      <c r="I179" s="153"/>
      <c r="J179" s="153"/>
    </row>
    <row r="180" spans="2:10">
      <c r="B180" s="153"/>
      <c r="C180" s="153"/>
      <c r="D180" s="153"/>
      <c r="E180" s="153"/>
      <c r="F180" s="153"/>
      <c r="G180" s="153"/>
      <c r="H180" s="153"/>
      <c r="I180" s="153"/>
      <c r="J180" s="153"/>
    </row>
    <row r="181" spans="2:10">
      <c r="B181" s="153"/>
      <c r="C181" s="153"/>
      <c r="D181" s="153"/>
      <c r="E181" s="153"/>
      <c r="F181" s="153"/>
      <c r="G181" s="153"/>
      <c r="H181" s="153"/>
      <c r="I181" s="153"/>
      <c r="J181" s="153"/>
    </row>
    <row r="182" spans="2:10">
      <c r="B182" s="153"/>
      <c r="C182" s="153"/>
      <c r="D182" s="153"/>
      <c r="E182" s="153"/>
      <c r="F182" s="153"/>
      <c r="G182" s="153"/>
      <c r="H182" s="153"/>
      <c r="I182" s="153"/>
      <c r="J182" s="153"/>
    </row>
    <row r="183" spans="2:10">
      <c r="B183" s="153"/>
      <c r="C183" s="153"/>
      <c r="D183" s="153"/>
      <c r="E183" s="153"/>
      <c r="F183" s="153"/>
      <c r="G183" s="153"/>
      <c r="H183" s="153"/>
      <c r="I183" s="153"/>
      <c r="J183" s="153"/>
    </row>
    <row r="184" spans="2:10">
      <c r="B184" s="153"/>
      <c r="C184" s="153"/>
      <c r="D184" s="153"/>
      <c r="E184" s="153"/>
      <c r="F184" s="153"/>
      <c r="G184" s="153"/>
      <c r="H184" s="153"/>
      <c r="I184" s="153"/>
      <c r="J184" s="153"/>
    </row>
    <row r="185" spans="2:10">
      <c r="B185" s="153"/>
      <c r="C185" s="153"/>
      <c r="D185" s="153"/>
      <c r="E185" s="153"/>
      <c r="F185" s="153"/>
      <c r="G185" s="153"/>
      <c r="H185" s="153"/>
      <c r="I185" s="153"/>
      <c r="J185" s="153"/>
    </row>
    <row r="186" spans="2:10">
      <c r="B186" s="153"/>
      <c r="C186" s="153"/>
      <c r="D186" s="153"/>
      <c r="E186" s="153"/>
      <c r="F186" s="153"/>
      <c r="G186" s="153"/>
      <c r="H186" s="153"/>
      <c r="I186" s="153"/>
      <c r="J186" s="153"/>
    </row>
    <row r="187" spans="2:10">
      <c r="B187" s="153"/>
      <c r="C187" s="153"/>
      <c r="D187" s="153"/>
      <c r="E187" s="153"/>
      <c r="F187" s="153"/>
      <c r="G187" s="153"/>
      <c r="H187" s="153"/>
      <c r="I187" s="153"/>
      <c r="J187" s="153"/>
    </row>
    <row r="188" spans="2:10">
      <c r="B188" s="153"/>
      <c r="C188" s="153"/>
      <c r="D188" s="153"/>
      <c r="E188" s="153"/>
      <c r="F188" s="153"/>
      <c r="G188" s="153"/>
      <c r="H188" s="153"/>
      <c r="I188" s="153"/>
      <c r="J188" s="153"/>
    </row>
    <row r="189" spans="2:10">
      <c r="B189" s="153"/>
      <c r="C189" s="153"/>
      <c r="D189" s="153"/>
      <c r="E189" s="153"/>
      <c r="F189" s="153"/>
      <c r="G189" s="153"/>
      <c r="H189" s="153"/>
      <c r="I189" s="153"/>
      <c r="J189" s="153"/>
    </row>
    <row r="190" spans="2:10">
      <c r="B190" s="153"/>
      <c r="C190" s="153"/>
      <c r="D190" s="153"/>
      <c r="E190" s="153"/>
      <c r="F190" s="153"/>
      <c r="G190" s="153"/>
      <c r="H190" s="153"/>
      <c r="I190" s="153"/>
      <c r="J190" s="153"/>
    </row>
    <row r="191" spans="2:10">
      <c r="B191" s="153"/>
      <c r="C191" s="153"/>
      <c r="D191" s="153"/>
      <c r="E191" s="153"/>
      <c r="F191" s="153"/>
      <c r="G191" s="153"/>
      <c r="H191" s="153"/>
      <c r="I191" s="153"/>
      <c r="J191" s="153"/>
    </row>
    <row r="192" spans="2:10">
      <c r="B192" s="153"/>
      <c r="C192" s="153"/>
      <c r="D192" s="153"/>
      <c r="E192" s="153"/>
      <c r="F192" s="153"/>
      <c r="G192" s="153"/>
      <c r="H192" s="153"/>
      <c r="I192" s="153"/>
      <c r="J192" s="153"/>
    </row>
    <row r="193" spans="2:10">
      <c r="B193" s="153"/>
      <c r="C193" s="153"/>
      <c r="D193" s="153"/>
      <c r="E193" s="153"/>
      <c r="F193" s="153"/>
      <c r="G193" s="153"/>
      <c r="H193" s="153"/>
      <c r="I193" s="153"/>
      <c r="J193" s="153"/>
    </row>
    <row r="194" spans="2:10">
      <c r="B194" s="153"/>
      <c r="C194" s="153"/>
      <c r="D194" s="153"/>
      <c r="E194" s="153"/>
      <c r="F194" s="153"/>
      <c r="G194" s="153"/>
      <c r="H194" s="153"/>
      <c r="I194" s="153"/>
      <c r="J194" s="153"/>
    </row>
    <row r="195" spans="2:10">
      <c r="B195" s="153"/>
      <c r="C195" s="153"/>
      <c r="D195" s="153"/>
      <c r="E195" s="153"/>
      <c r="F195" s="153"/>
      <c r="G195" s="153"/>
      <c r="H195" s="153"/>
      <c r="I195" s="153"/>
      <c r="J195" s="153"/>
    </row>
    <row r="196" spans="2:10">
      <c r="B196" s="153"/>
      <c r="C196" s="153"/>
      <c r="D196" s="153"/>
      <c r="E196" s="153"/>
      <c r="F196" s="153"/>
      <c r="G196" s="153"/>
      <c r="H196" s="153"/>
      <c r="I196" s="153"/>
      <c r="J196" s="153"/>
    </row>
    <row r="197" spans="2:10">
      <c r="B197" s="153"/>
      <c r="C197" s="153"/>
      <c r="D197" s="153"/>
      <c r="E197" s="153"/>
      <c r="F197" s="153"/>
      <c r="G197" s="153"/>
      <c r="H197" s="153"/>
      <c r="I197" s="153"/>
      <c r="J197" s="153"/>
    </row>
    <row r="198" spans="2:10">
      <c r="B198" s="153"/>
      <c r="C198" s="153"/>
      <c r="D198" s="153"/>
      <c r="E198" s="153"/>
      <c r="F198" s="153"/>
      <c r="G198" s="153"/>
      <c r="H198" s="153"/>
      <c r="I198" s="153"/>
      <c r="J198" s="153"/>
    </row>
    <row r="199" spans="2:10">
      <c r="B199" s="153"/>
      <c r="C199" s="153"/>
      <c r="D199" s="153"/>
      <c r="E199" s="153"/>
      <c r="F199" s="153"/>
      <c r="G199" s="153"/>
      <c r="H199" s="153"/>
      <c r="I199" s="153"/>
      <c r="J199" s="153"/>
    </row>
    <row r="200" spans="2:10">
      <c r="B200" s="153"/>
      <c r="C200" s="153"/>
      <c r="D200" s="153"/>
      <c r="E200" s="153"/>
      <c r="F200" s="153"/>
      <c r="G200" s="153"/>
      <c r="H200" s="153"/>
      <c r="I200" s="153"/>
      <c r="J200" s="153"/>
    </row>
    <row r="201" spans="2:10">
      <c r="B201" s="153"/>
      <c r="C201" s="153"/>
      <c r="D201" s="153"/>
      <c r="E201" s="153"/>
      <c r="F201" s="153"/>
      <c r="G201" s="153"/>
      <c r="H201" s="153"/>
      <c r="I201" s="153"/>
      <c r="J201" s="153"/>
    </row>
    <row r="202" spans="2:10">
      <c r="B202" s="153"/>
      <c r="C202" s="153"/>
      <c r="D202" s="153"/>
      <c r="E202" s="153"/>
      <c r="F202" s="153"/>
      <c r="G202" s="153"/>
      <c r="H202" s="153"/>
      <c r="I202" s="153"/>
      <c r="J202" s="153"/>
    </row>
    <row r="203" spans="2:10">
      <c r="B203" s="153"/>
      <c r="C203" s="153"/>
      <c r="D203" s="153"/>
      <c r="E203" s="153"/>
      <c r="F203" s="153"/>
      <c r="G203" s="153"/>
      <c r="H203" s="153"/>
      <c r="I203" s="153"/>
      <c r="J203" s="153"/>
    </row>
    <row r="204" spans="2:10">
      <c r="B204" s="153"/>
      <c r="C204" s="153"/>
      <c r="D204" s="153"/>
      <c r="E204" s="153"/>
      <c r="F204" s="153"/>
      <c r="G204" s="153"/>
      <c r="H204" s="153"/>
      <c r="I204" s="153"/>
      <c r="J204" s="153"/>
    </row>
    <row r="205" spans="2:10">
      <c r="B205" s="153"/>
      <c r="C205" s="153"/>
      <c r="D205" s="153"/>
      <c r="E205" s="153"/>
      <c r="F205" s="153"/>
      <c r="G205" s="153"/>
      <c r="H205" s="153"/>
      <c r="I205" s="153"/>
      <c r="J205" s="153"/>
    </row>
    <row r="206" spans="2:10">
      <c r="B206" s="153"/>
      <c r="C206" s="153"/>
      <c r="D206" s="153"/>
      <c r="E206" s="153"/>
      <c r="F206" s="153"/>
      <c r="G206" s="153"/>
      <c r="H206" s="153"/>
      <c r="I206" s="153"/>
      <c r="J206" s="153"/>
    </row>
    <row r="207" spans="2:10">
      <c r="B207" s="153"/>
      <c r="C207" s="153"/>
      <c r="D207" s="153"/>
      <c r="E207" s="153"/>
      <c r="F207" s="153"/>
      <c r="G207" s="153"/>
      <c r="H207" s="153"/>
      <c r="I207" s="153"/>
      <c r="J207" s="153"/>
    </row>
    <row r="208" spans="2:10">
      <c r="B208" s="153"/>
      <c r="C208" s="153"/>
      <c r="D208" s="153"/>
      <c r="E208" s="153"/>
      <c r="F208" s="153"/>
      <c r="G208" s="153"/>
      <c r="H208" s="153"/>
      <c r="I208" s="153"/>
      <c r="J208" s="153"/>
    </row>
    <row r="209" spans="2:10">
      <c r="B209" s="153"/>
      <c r="C209" s="153"/>
      <c r="D209" s="153"/>
      <c r="E209" s="153"/>
      <c r="F209" s="153"/>
      <c r="G209" s="153"/>
      <c r="H209" s="153"/>
      <c r="I209" s="153"/>
      <c r="J209" s="153"/>
    </row>
    <row r="210" spans="2:10">
      <c r="B210" s="153"/>
      <c r="C210" s="153"/>
      <c r="D210" s="153"/>
      <c r="E210" s="153"/>
      <c r="F210" s="153"/>
      <c r="G210" s="153"/>
      <c r="H210" s="153"/>
      <c r="I210" s="153"/>
      <c r="J210" s="153"/>
    </row>
    <row r="211" spans="2:10">
      <c r="B211" s="153"/>
      <c r="C211" s="153"/>
      <c r="D211" s="153"/>
      <c r="E211" s="153"/>
      <c r="F211" s="153"/>
      <c r="G211" s="153"/>
      <c r="H211" s="153"/>
      <c r="I211" s="153"/>
      <c r="J211" s="153"/>
    </row>
    <row r="212" spans="2:10">
      <c r="B212" s="153"/>
      <c r="C212" s="153"/>
      <c r="D212" s="153"/>
      <c r="E212" s="153"/>
      <c r="F212" s="153"/>
      <c r="G212" s="153"/>
      <c r="H212" s="153"/>
      <c r="I212" s="153"/>
      <c r="J212" s="153"/>
    </row>
    <row r="213" spans="2:10">
      <c r="B213" s="153"/>
      <c r="C213" s="153"/>
      <c r="D213" s="153"/>
      <c r="E213" s="153"/>
      <c r="F213" s="153"/>
      <c r="G213" s="153"/>
      <c r="H213" s="153"/>
      <c r="I213" s="153"/>
      <c r="J213" s="153"/>
    </row>
    <row r="214" spans="2:10">
      <c r="B214" s="153"/>
      <c r="C214" s="153"/>
      <c r="D214" s="153"/>
      <c r="E214" s="153"/>
      <c r="F214" s="153"/>
      <c r="G214" s="153"/>
      <c r="H214" s="153"/>
      <c r="I214" s="153"/>
      <c r="J214" s="153"/>
    </row>
    <row r="215" spans="2:10">
      <c r="B215" s="153"/>
      <c r="C215" s="153"/>
      <c r="D215" s="153"/>
      <c r="E215" s="153"/>
      <c r="F215" s="153"/>
      <c r="G215" s="153"/>
      <c r="H215" s="153"/>
      <c r="I215" s="153"/>
      <c r="J215" s="153"/>
    </row>
    <row r="216" spans="2:10">
      <c r="B216" s="153"/>
      <c r="C216" s="153"/>
      <c r="D216" s="153"/>
      <c r="E216" s="153"/>
      <c r="F216" s="153"/>
      <c r="G216" s="153"/>
      <c r="H216" s="153"/>
      <c r="I216" s="153"/>
      <c r="J216" s="153"/>
    </row>
    <row r="217" spans="2:10">
      <c r="B217" s="153"/>
      <c r="C217" s="153"/>
      <c r="D217" s="153"/>
      <c r="E217" s="153"/>
      <c r="F217" s="153"/>
      <c r="G217" s="153"/>
      <c r="H217" s="153"/>
      <c r="I217" s="153"/>
      <c r="J217" s="153"/>
    </row>
    <row r="218" spans="2:10">
      <c r="B218" s="153"/>
      <c r="C218" s="153"/>
      <c r="D218" s="153"/>
      <c r="E218" s="153"/>
      <c r="F218" s="153"/>
      <c r="G218" s="153"/>
      <c r="H218" s="153"/>
      <c r="I218" s="153"/>
      <c r="J218" s="153"/>
    </row>
    <row r="219" spans="2:10">
      <c r="B219" s="153"/>
      <c r="C219" s="153"/>
      <c r="D219" s="153"/>
      <c r="E219" s="153"/>
      <c r="F219" s="153"/>
      <c r="G219" s="153"/>
      <c r="H219" s="153"/>
      <c r="I219" s="153"/>
      <c r="J219" s="153"/>
    </row>
    <row r="220" spans="2:10">
      <c r="B220" s="153"/>
      <c r="C220" s="153"/>
      <c r="D220" s="153"/>
      <c r="E220" s="153"/>
      <c r="F220" s="153"/>
      <c r="G220" s="153"/>
      <c r="H220" s="153"/>
      <c r="I220" s="153"/>
      <c r="J220" s="153"/>
    </row>
    <row r="221" spans="2:10">
      <c r="B221" s="153"/>
      <c r="C221" s="153"/>
      <c r="D221" s="153"/>
      <c r="E221" s="153"/>
      <c r="F221" s="153"/>
      <c r="G221" s="153"/>
      <c r="H221" s="153"/>
      <c r="I221" s="153"/>
      <c r="J221" s="153"/>
    </row>
    <row r="222" spans="2:10">
      <c r="B222" s="153"/>
      <c r="C222" s="153"/>
      <c r="D222" s="153"/>
      <c r="E222" s="153"/>
      <c r="F222" s="153"/>
      <c r="G222" s="153"/>
      <c r="H222" s="153"/>
      <c r="I222" s="153"/>
      <c r="J222" s="153"/>
    </row>
    <row r="223" spans="2:10">
      <c r="B223" s="153"/>
      <c r="C223" s="153"/>
      <c r="D223" s="153"/>
      <c r="E223" s="153"/>
      <c r="F223" s="153"/>
      <c r="G223" s="153"/>
      <c r="H223" s="153"/>
      <c r="I223" s="153"/>
      <c r="J223" s="153"/>
    </row>
    <row r="224" spans="2:10">
      <c r="B224" s="153"/>
      <c r="C224" s="153"/>
      <c r="D224" s="153"/>
      <c r="E224" s="153"/>
      <c r="F224" s="153"/>
      <c r="G224" s="153"/>
      <c r="H224" s="153"/>
      <c r="I224" s="153"/>
      <c r="J224" s="153"/>
    </row>
    <row r="225" spans="2:10">
      <c r="B225" s="153"/>
      <c r="C225" s="153"/>
      <c r="D225" s="153"/>
      <c r="E225" s="153"/>
      <c r="F225" s="153"/>
      <c r="G225" s="153"/>
      <c r="H225" s="153"/>
      <c r="I225" s="153"/>
      <c r="J225" s="153"/>
    </row>
    <row r="226" spans="2:10">
      <c r="B226" s="153"/>
      <c r="C226" s="153"/>
      <c r="D226" s="153"/>
      <c r="E226" s="153"/>
      <c r="F226" s="153"/>
      <c r="G226" s="153"/>
      <c r="H226" s="153"/>
      <c r="I226" s="153"/>
      <c r="J226" s="153"/>
    </row>
    <row r="227" spans="2:10">
      <c r="B227" s="153"/>
      <c r="C227" s="153"/>
      <c r="D227" s="153"/>
      <c r="E227" s="153"/>
      <c r="F227" s="153"/>
      <c r="G227" s="153"/>
      <c r="H227" s="153"/>
      <c r="I227" s="153"/>
      <c r="J227" s="153"/>
    </row>
    <row r="228" spans="2:10">
      <c r="B228" s="153"/>
      <c r="C228" s="153"/>
      <c r="D228" s="153"/>
      <c r="E228" s="153"/>
      <c r="F228" s="153"/>
      <c r="G228" s="153"/>
      <c r="H228" s="153"/>
      <c r="I228" s="153"/>
      <c r="J228" s="153"/>
    </row>
    <row r="229" spans="2:10">
      <c r="B229" s="153"/>
      <c r="C229" s="153"/>
      <c r="D229" s="153"/>
      <c r="E229" s="153"/>
      <c r="F229" s="153"/>
      <c r="G229" s="153"/>
      <c r="H229" s="153"/>
      <c r="I229" s="153"/>
      <c r="J229" s="153"/>
    </row>
    <row r="230" spans="2:10">
      <c r="B230" s="153"/>
      <c r="C230" s="153"/>
      <c r="D230" s="153"/>
      <c r="E230" s="153"/>
      <c r="F230" s="153"/>
      <c r="G230" s="153"/>
      <c r="H230" s="153"/>
      <c r="I230" s="153"/>
      <c r="J230" s="153"/>
    </row>
    <row r="231" spans="2:10">
      <c r="B231" s="153"/>
      <c r="C231" s="153"/>
      <c r="D231" s="153"/>
      <c r="E231" s="153"/>
      <c r="F231" s="153"/>
      <c r="G231" s="153"/>
      <c r="H231" s="153"/>
      <c r="I231" s="153"/>
      <c r="J231" s="153"/>
    </row>
    <row r="232" spans="2:10">
      <c r="B232" s="153"/>
      <c r="C232" s="153"/>
      <c r="D232" s="153"/>
      <c r="E232" s="153"/>
      <c r="F232" s="153"/>
      <c r="G232" s="153"/>
      <c r="H232" s="153"/>
      <c r="I232" s="153"/>
      <c r="J232" s="153"/>
    </row>
    <row r="233" spans="2:10">
      <c r="B233" s="153"/>
      <c r="C233" s="153"/>
      <c r="D233" s="153"/>
      <c r="E233" s="153"/>
      <c r="F233" s="153"/>
      <c r="G233" s="153"/>
      <c r="H233" s="153"/>
      <c r="I233" s="153"/>
      <c r="J233" s="153"/>
    </row>
    <row r="234" spans="2:10">
      <c r="B234" s="153"/>
      <c r="C234" s="153"/>
      <c r="D234" s="153"/>
      <c r="E234" s="153"/>
      <c r="F234" s="153"/>
      <c r="G234" s="153"/>
      <c r="H234" s="153"/>
      <c r="I234" s="153"/>
      <c r="J234" s="153"/>
    </row>
    <row r="235" spans="2:10">
      <c r="B235" s="153"/>
      <c r="C235" s="153"/>
      <c r="D235" s="153"/>
      <c r="E235" s="153"/>
      <c r="F235" s="153"/>
      <c r="G235" s="153"/>
      <c r="H235" s="153"/>
      <c r="I235" s="153"/>
      <c r="J235" s="153"/>
    </row>
    <row r="236" spans="2:10">
      <c r="B236" s="153"/>
      <c r="C236" s="153"/>
      <c r="D236" s="153"/>
      <c r="E236" s="153"/>
      <c r="F236" s="153"/>
      <c r="G236" s="153"/>
      <c r="H236" s="153"/>
      <c r="I236" s="153"/>
      <c r="J236" s="153"/>
    </row>
    <row r="237" spans="2:10">
      <c r="B237" s="153"/>
      <c r="C237" s="153"/>
      <c r="D237" s="153"/>
      <c r="E237" s="153"/>
      <c r="F237" s="153"/>
      <c r="G237" s="153"/>
      <c r="H237" s="153"/>
      <c r="I237" s="153"/>
      <c r="J237" s="153"/>
    </row>
    <row r="238" spans="2:10">
      <c r="B238" s="153"/>
      <c r="C238" s="153"/>
      <c r="D238" s="153"/>
      <c r="E238" s="153"/>
      <c r="F238" s="153"/>
      <c r="G238" s="153"/>
      <c r="H238" s="153"/>
      <c r="I238" s="153"/>
      <c r="J238" s="153"/>
    </row>
    <row r="239" spans="2:10">
      <c r="B239" s="153"/>
      <c r="C239" s="153"/>
      <c r="D239" s="153"/>
      <c r="E239" s="153"/>
      <c r="F239" s="153"/>
      <c r="G239" s="153"/>
      <c r="H239" s="153"/>
      <c r="I239" s="153"/>
      <c r="J239" s="153"/>
    </row>
  </sheetData>
  <dataConsolidate/>
  <mergeCells count="200">
    <mergeCell ref="A63:B63"/>
    <mergeCell ref="A64:B64"/>
    <mergeCell ref="A18:B18"/>
    <mergeCell ref="A19:B19"/>
    <mergeCell ref="A20:B20"/>
    <mergeCell ref="A8:B8"/>
    <mergeCell ref="A5:B5"/>
    <mergeCell ref="E6:F6"/>
    <mergeCell ref="G6:H6"/>
    <mergeCell ref="A11:B11"/>
    <mergeCell ref="A12:B12"/>
    <mergeCell ref="A13:B13"/>
    <mergeCell ref="A14:B14"/>
    <mergeCell ref="A15:B15"/>
    <mergeCell ref="C61:D61"/>
    <mergeCell ref="E61:F61"/>
    <mergeCell ref="G61:H61"/>
    <mergeCell ref="A42:B42"/>
    <mergeCell ref="A43:B43"/>
    <mergeCell ref="A44:B44"/>
    <mergeCell ref="A45:B45"/>
    <mergeCell ref="A55:B55"/>
    <mergeCell ref="A56:B56"/>
    <mergeCell ref="A57:B57"/>
    <mergeCell ref="M43:N43"/>
    <mergeCell ref="M44:N44"/>
    <mergeCell ref="A9:B9"/>
    <mergeCell ref="G11:H11"/>
    <mergeCell ref="I7:J7"/>
    <mergeCell ref="I8:J8"/>
    <mergeCell ref="I10:J10"/>
    <mergeCell ref="E7:F7"/>
    <mergeCell ref="K11:L11"/>
    <mergeCell ref="I11:J11"/>
    <mergeCell ref="A7:B7"/>
    <mergeCell ref="M10:N10"/>
    <mergeCell ref="M11:N11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1:B41"/>
    <mergeCell ref="M6:N6"/>
    <mergeCell ref="M42:N42"/>
    <mergeCell ref="C44:D44"/>
    <mergeCell ref="E8:F8"/>
    <mergeCell ref="E10:F10"/>
    <mergeCell ref="E11:F11"/>
    <mergeCell ref="A10:B10"/>
    <mergeCell ref="A6:B6"/>
    <mergeCell ref="A16:B16"/>
    <mergeCell ref="A17:B17"/>
    <mergeCell ref="G8:H8"/>
    <mergeCell ref="G10:H10"/>
    <mergeCell ref="K43:L43"/>
    <mergeCell ref="K44:L44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2:B2"/>
    <mergeCell ref="C2:D2"/>
    <mergeCell ref="A3:B3"/>
    <mergeCell ref="I49:J49"/>
    <mergeCell ref="K6:L6"/>
    <mergeCell ref="K3:L3"/>
    <mergeCell ref="C60:D60"/>
    <mergeCell ref="C51:D51"/>
    <mergeCell ref="C54:D54"/>
    <mergeCell ref="C50:D50"/>
    <mergeCell ref="C49:D49"/>
    <mergeCell ref="C53:D53"/>
    <mergeCell ref="C45:D45"/>
    <mergeCell ref="C46:D46"/>
    <mergeCell ref="K53:L53"/>
    <mergeCell ref="I50:J50"/>
    <mergeCell ref="K7:L7"/>
    <mergeCell ref="K8:L8"/>
    <mergeCell ref="K10:L10"/>
    <mergeCell ref="I2:J2"/>
    <mergeCell ref="K51:L51"/>
    <mergeCell ref="I46:J46"/>
    <mergeCell ref="A4:B4"/>
    <mergeCell ref="C6:D6"/>
    <mergeCell ref="K2:L2"/>
    <mergeCell ref="I43:J43"/>
    <mergeCell ref="C9:D9"/>
    <mergeCell ref="E9:F9"/>
    <mergeCell ref="G9:H9"/>
    <mergeCell ref="I9:J9"/>
    <mergeCell ref="K9:L9"/>
    <mergeCell ref="M9:N9"/>
    <mergeCell ref="C7:D7"/>
    <mergeCell ref="I3:J3"/>
    <mergeCell ref="C3:D3"/>
    <mergeCell ref="C8:D8"/>
    <mergeCell ref="C11:D11"/>
    <mergeCell ref="C10:D10"/>
    <mergeCell ref="C42:D42"/>
    <mergeCell ref="C43:D43"/>
    <mergeCell ref="M2:N2"/>
    <mergeCell ref="M3:N3"/>
    <mergeCell ref="M7:N7"/>
    <mergeCell ref="M8:N8"/>
    <mergeCell ref="E2:F2"/>
    <mergeCell ref="G2:H2"/>
    <mergeCell ref="G3:H3"/>
    <mergeCell ref="G7:H7"/>
    <mergeCell ref="E3:F3"/>
    <mergeCell ref="M60:N60"/>
    <mergeCell ref="K60:L60"/>
    <mergeCell ref="G60:H60"/>
    <mergeCell ref="E51:F51"/>
    <mergeCell ref="G51:H51"/>
    <mergeCell ref="E43:F43"/>
    <mergeCell ref="M45:N45"/>
    <mergeCell ref="K54:L54"/>
    <mergeCell ref="K49:L49"/>
    <mergeCell ref="K50:L50"/>
    <mergeCell ref="I6:J6"/>
    <mergeCell ref="I54:J54"/>
    <mergeCell ref="M53:N53"/>
    <mergeCell ref="M51:N51"/>
    <mergeCell ref="M49:N49"/>
    <mergeCell ref="I42:J42"/>
    <mergeCell ref="M46:N46"/>
    <mergeCell ref="M50:N50"/>
    <mergeCell ref="E42:F42"/>
    <mergeCell ref="G42:H42"/>
    <mergeCell ref="E45:F45"/>
    <mergeCell ref="E44:F44"/>
    <mergeCell ref="K42:L42"/>
    <mergeCell ref="K45:L45"/>
    <mergeCell ref="K46:L46"/>
    <mergeCell ref="I44:J44"/>
    <mergeCell ref="I45:J45"/>
    <mergeCell ref="G43:H43"/>
    <mergeCell ref="G44:H44"/>
    <mergeCell ref="G45:H45"/>
    <mergeCell ref="G46:H46"/>
    <mergeCell ref="E46:F46"/>
    <mergeCell ref="I61:J61"/>
    <mergeCell ref="K61:L61"/>
    <mergeCell ref="G54:H54"/>
    <mergeCell ref="I53:J53"/>
    <mergeCell ref="E49:F49"/>
    <mergeCell ref="E50:F50"/>
    <mergeCell ref="G49:H49"/>
    <mergeCell ref="G50:H50"/>
    <mergeCell ref="I51:J51"/>
    <mergeCell ref="M1:N1"/>
    <mergeCell ref="K1:L1"/>
    <mergeCell ref="I1:J1"/>
    <mergeCell ref="G1:H1"/>
    <mergeCell ref="E1:F1"/>
    <mergeCell ref="C62:D62"/>
    <mergeCell ref="E62:F62"/>
    <mergeCell ref="G62:H62"/>
    <mergeCell ref="I62:J62"/>
    <mergeCell ref="K62:L62"/>
    <mergeCell ref="M62:N62"/>
    <mergeCell ref="M61:N61"/>
    <mergeCell ref="C52:D52"/>
    <mergeCell ref="E52:F52"/>
    <mergeCell ref="G52:H52"/>
    <mergeCell ref="I52:J52"/>
    <mergeCell ref="K52:L52"/>
    <mergeCell ref="M52:N52"/>
    <mergeCell ref="E60:F60"/>
    <mergeCell ref="E53:F53"/>
    <mergeCell ref="G53:H53"/>
    <mergeCell ref="M54:N54"/>
    <mergeCell ref="I60:J60"/>
    <mergeCell ref="E54:F54"/>
    <mergeCell ref="A58:B58"/>
    <mergeCell ref="A59:B59"/>
    <mergeCell ref="A60:B60"/>
    <mergeCell ref="A61:B61"/>
    <mergeCell ref="A62:B62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</mergeCells>
  <phoneticPr fontId="1" type="noConversion"/>
  <dataValidations xWindow="1168" yWindow="485" count="20">
    <dataValidation type="whole" operator="greaterThan" allowBlank="1" showInputMessage="1" showErrorMessage="1" error="Sayı giriniz." prompt="Lütfen yalnızca sayı giriniz." sqref="N20 L20 J20 F20 D20 H20" xr:uid="{E6A2A1FC-D5F7-479F-A656-3313413C57F3}">
      <formula1>-1</formula1>
    </dataValidation>
    <dataValidation type="whole" operator="greaterThan" allowBlank="1" showInputMessage="1" showErrorMessage="1" sqref="N58 L58 J58 F58 D58 H58" xr:uid="{D0E2446B-378F-49A2-BF00-8FDD58D29A46}">
      <formula1>-1</formula1>
    </dataValidation>
    <dataValidation allowBlank="1" showInputMessage="1" showErrorMessage="1" prompt="Oran ya da boyut bilgisini veriniz. (mikron vb.) ASLA &quot;%&quot; kullanmayınız." sqref="J30 N30 L30 D30 F30 H30" xr:uid="{E69690CD-BAF4-4262-A667-C6EDC2EEC120}"/>
    <dataValidation allowBlank="1" showInputMessage="1" showErrorMessage="1" prompt="İngilizce yüzdelik+renk+ön/arka yüz bilgisi giriniz." sqref="L31 J31 N31 F31 D31 H31" xr:uid="{70164BAB-A34D-43C3-A664-FDF7E04FB602}"/>
    <dataValidation allowBlank="1" showInputMessage="1" showErrorMessage="1" prompt="Adet+Ölçü+Renk bilgisini ingilizce veriniz. Örnek: 2x(50cmx5mm) -Standard 225u- “black”" sqref="J25:J26 N25:N26 L25:L26 D25:D26 F25:F26 H25:H26" xr:uid="{A5EB87D5-F343-469E-8F5E-2E46156FC376}"/>
    <dataValidation allowBlank="1" showInputMessage="1" showErrorMessage="1" prompt="Yalnızca sayı giriniz. " sqref="L14:L15 J14:J15 N14:N15 F14:F15 D14:D15 H14:H15" xr:uid="{B4428074-E891-41DC-9D51-3125245545F5}"/>
    <dataValidation allowBlank="1" showInputMessage="1" showErrorMessage="1" prompt="Yalnızca sayı giriniz." sqref="N17 L17 J17 F17 D17 H17" xr:uid="{8CE8BCC7-F0D7-4665-B454-6E7C2B0A5943}"/>
    <dataValidation allowBlank="1" showInputMessage="1" showErrorMessage="1" prompt="Opsiyon şartı İngilizce yazılacak. Fiyat Quotation Sheet'te yazılacak. " sqref="C42:N46" xr:uid="{A5DF2E7D-C926-4C8E-971B-3FD61F46835F}"/>
    <dataValidation allowBlank="1" showInputMessage="1" showErrorMessage="1" prompt="İngilizce renk bilgisi giriniz. Yan hücreye renk oranını giriniz. " sqref="K14:K15 I14:I15 M14:M15 E14:E15 C14:C15 G14:G15" xr:uid="{57A178F3-F002-47CC-AA40-6C38D3B62D1A}"/>
    <dataValidation allowBlank="1" showInputMessage="1" showErrorMessage="1" prompt="Lütfen cinsi İngilizce olarak yazınız ve yan hücreye ağırlığını belirtiniz." sqref="M17 K17 I17 E17 C17 G17" xr:uid="{E8ACCBB6-5931-4AAB-99B1-0EB8111EF0CA}"/>
    <dataValidation operator="greaterThan" allowBlank="1" showInputMessage="1" showErrorMessage="1" sqref="C5:N8" xr:uid="{186D95BF-ADF6-413D-B386-2B3455482856}"/>
    <dataValidation allowBlank="1" showInputMessage="1" showErrorMessage="1" prompt="İngilizce yüzdelik + renk bilgisi giriniz." sqref="N36 L36 J36 F36 D36 H36" xr:uid="{A21D104E-2184-4044-AC8E-ABF31890DF17}"/>
    <dataValidation operator="greaterThan" allowBlank="1" showInputMessage="1" showErrorMessage="1" error="Sayı giriniz." prompt="İngilizce olarak bilgileri giriniz." sqref="N21 L21 J21 F21 D21 H21" xr:uid="{C6F2A9C3-BE9F-45C3-B15F-3EFD78610FCB}"/>
    <dataValidation operator="greaterThan" allowBlank="1" showInputMessage="1" showErrorMessage="1" prompt="Ürün ölçülerini ENxKÖRÜKxBOY+KATLAMA şeklinde giriniz._x000a_Büyük ya da küçük çarpı kullanabilirsiniz. Sayılar arası boşluk bırakmayınız._x000a_Örnek: 16x8x12+4 ya da 16X8X12+4" sqref="C11:N11" xr:uid="{012ED207-0C9F-4A63-AC99-A702EEE623E8}"/>
    <dataValidation operator="greaterThan" allowBlank="1" showInputMessage="1" showErrorMessage="1" prompt="Örnek:1000/2000/3000_x000a_Birden fazla sipariş miktarlarında &quot;/&quot; kullanınız. Aralarında boşluk bırakmayınız." sqref="C10:N10" xr:uid="{23EF0FA3-F9CC-4EE7-9BB3-35E8BF36CE44}"/>
    <dataValidation allowBlank="1" showInputMessage="1" showErrorMessage="1" prompt="İngilizce açıklama giriniz." sqref="L37 J37 N37 F37 D37 H37" xr:uid="{B9F40743-3C9E-488D-A470-953D6F479585}"/>
    <dataValidation allowBlank="1" showInputMessage="1" showErrorMessage="1" prompt="İngilizce olarak gren kodunu belirtiniz." sqref="L34 J34 N34 F34 D34 H34" xr:uid="{A68AC846-8C26-4E56-BD10-21DDB023FE2A}"/>
    <dataValidation type="list" allowBlank="1" showInputMessage="1" showErrorMessage="1" prompt="Döviz Tipini Seçiniz." sqref="C1" xr:uid="{7074A860-E76C-4FA2-A8C1-EB3D6E43A076}">
      <formula1>"Seçiniz.,€ EURO,$ DOLAR,£ STERLİN,TÜRK LİRASI"</formula1>
    </dataValidation>
    <dataValidation type="list" allowBlank="1" showInputMessage="1" showErrorMessage="1" sqref="C62:N62" xr:uid="{364913A8-1262-448F-A236-7C3ED583B1AC}">
      <formula1>"Seçiniz.,Tekbaşına Sevk,Birlikte Sevk,Tekbaşına+Birlikte Sevk,"</formula1>
    </dataValidation>
    <dataValidation allowBlank="1" showInputMessage="1" showErrorMessage="1" prompt="Yüzdelik belirtmeden yalnızca SAYI ya da ÖLÇÜ giriniz." sqref="L32:L33 J32:J33 N32:N33 F32:F33 D32:D33 H32:H33" xr:uid="{B547AEF1-4C1A-44B3-B031-66801FDF8890}"/>
  </dataValidations>
  <pageMargins left="0.39370078740157483" right="0.19685039370078741" top="0.39370078740157483" bottom="0.39370078740157483" header="0.31496062992125984" footer="0.31496062992125984"/>
  <pageSetup paperSize="9" scale="83" fitToHeight="0" orientation="landscape" r:id="rId1"/>
  <headerFooter>
    <oddFooter>&amp;LYürürlük Tarihi: 04.05.2023&amp;CRevizyon Tarihi:                 Revizyon No:00&amp;RFR.STS.01</oddFooter>
  </headerFooter>
  <drawing r:id="rId2"/>
  <legacyDrawing r:id="rId3"/>
  <controls>
    <mc:AlternateContent xmlns:mc="http://schemas.openxmlformats.org/markup-compatibility/2006">
      <mc:Choice Requires="x14">
        <control shapeId="1545" r:id="rId4" name="CommandButton1">
          <controlPr defaultSize="0" autoLine="0" autoPict="0" r:id="rId5">
            <anchor moveWithCells="1">
              <from>
                <xdr:col>14</xdr:col>
                <xdr:colOff>38100</xdr:colOff>
                <xdr:row>0</xdr:row>
                <xdr:rowOff>0</xdr:rowOff>
              </from>
              <to>
                <xdr:col>16</xdr:col>
                <xdr:colOff>22860</xdr:colOff>
                <xdr:row>1</xdr:row>
                <xdr:rowOff>0</xdr:rowOff>
              </to>
            </anchor>
          </controlPr>
        </control>
      </mc:Choice>
      <mc:Fallback>
        <control shapeId="154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68" yWindow="485" count="44">
        <x14:dataValidation type="list" allowBlank="1" showInputMessage="1" showErrorMessage="1" prompt="Eğer &quot;Diğer&quot; ise yan hücreye ülkeyi İngilizce olarak giriniz." xr:uid="{6FBA77E3-EE80-45D8-9B6A-ACBE3F0F7732}">
          <x14:formula1>
            <xm:f>KUTUPHANE!$A$12:$A$59</xm:f>
          </x14:formula1>
          <xm:sqref>I47:I48 M47:M48 K47:K48 C47:C48 E47:E48 G47:G48</xm:sqref>
        </x14:dataValidation>
        <x14:dataValidation type="list" allowBlank="1" showInputMessage="1" showErrorMessage="1" xr:uid="{00000000-0002-0000-0000-000002000000}">
          <x14:formula1>
            <xm:f>'ÜRÜN ÖZELLİKLERİ'!$E$1:$E$3</xm:f>
          </x14:formula1>
          <xm:sqref>I16 M16 K16 C16 E16 G16</xm:sqref>
        </x14:dataValidation>
        <x14:dataValidation type="list" allowBlank="1" showInputMessage="1" showErrorMessage="1" xr:uid="{811D6A82-64B3-4F70-8B71-9D8A69229BF8}">
          <x14:formula1>
            <xm:f>'ÜRÜN ÖZELLİKLERİ'!$M$31:$M$33</xm:f>
          </x14:formula1>
          <xm:sqref>I30 K30 M30 C30 E30 G30</xm:sqref>
        </x14:dataValidation>
        <x14:dataValidation type="list" allowBlank="1" showInputMessage="1" showErrorMessage="1" prompt=" Seçiniz'de bırakmayınız. Mutlaka Ürün 1'i seçerek başlayınız." xr:uid="{9EA6EFE7-8674-4081-A69B-20639CC0DC8F}">
          <x14:formula1>
            <xm:f>'ÜRÜN ÖZELLİKLERİ'!$C$51:$C$57</xm:f>
          </x14:formula1>
          <xm:sqref>C2:D2</xm:sqref>
        </x14:dataValidation>
        <x14:dataValidation type="list" allowBlank="1" showInputMessage="1" showErrorMessage="1" xr:uid="{D43CD450-D4F1-4EAE-BA50-6E31FA140FD6}">
          <x14:formula1>
            <xm:f>'ÜRÜN ÖZELLİKLERİ'!$D$40:$D$44</xm:f>
          </x14:formula1>
          <xm:sqref>C54:N54</xm:sqref>
        </x14:dataValidation>
        <x14:dataValidation type="list" allowBlank="1" showInputMessage="1" showErrorMessage="1" xr:uid="{CE6608B6-5078-48CA-A65E-41D14C56A30F}">
          <x14:formula1>
            <xm:f>'ÜRÜN ÖZELLİKLERİ'!$I$41:$I$49</xm:f>
          </x14:formula1>
          <xm:sqref>N57 L57 J57 F57 D57 H57</xm:sqref>
        </x14:dataValidation>
        <x14:dataValidation type="list" allowBlank="1" showInputMessage="1" showErrorMessage="1" prompt="Başka bir selefon talebi geldiyse &quot;DİĞER&quot; seçilip yandaki hücreye İngilizce karşılığını yazınız._x000a_" xr:uid="{9B865F7E-36EA-4950-9C17-58EF9AA5926E}">
          <x14:formula1>
            <xm:f>'ÜRÜN ÖZELLİKLERİ'!$C$20:$C$33</xm:f>
          </x14:formula1>
          <xm:sqref>I18:I19 M18:M19 K18:K19 C18:C19 E18:E19 G18:G19</xm:sqref>
        </x14:dataValidation>
        <x14:dataValidation type="list" allowBlank="1" showInputMessage="1" showErrorMessage="1" prompt="ÖZEL KOLİ ise yandaki hücreye ölçüleri giriniz." xr:uid="{BDB8C5E9-C4C1-4FB2-B920-98B236684532}">
          <x14:formula1>
            <xm:f>'ÜRÜN ÖZELLİKLERİ'!$I$45:$I$47</xm:f>
          </x14:formula1>
          <xm:sqref>I57 K57 M57 C57 E57 G57</xm:sqref>
        </x14:dataValidation>
        <x14:dataValidation type="list" allowBlank="1" showInputMessage="1" showErrorMessage="1" prompt="Eğer VAR ise yandaki hücreye açıklamasını yazınız." xr:uid="{629A5D92-4A2B-4A83-87CA-69450722DAE2}">
          <x14:formula1>
            <xm:f>'ÜRÜN ÖZELLİKLERİ'!$C$40:$C$42</xm:f>
          </x14:formula1>
          <xm:sqref>M59 K59 I59 E59 C59 G59</xm:sqref>
        </x14:dataValidation>
        <x14:dataValidation type="list" allowBlank="1" showInputMessage="1" showErrorMessage="1" prompt="Bu hücrede özelliği seçiniz, yan hücrede ise gramajı belirtiniz." xr:uid="{45997E50-1626-4F7A-A4F7-A83862A35200}">
          <x14:formula1>
            <xm:f>'ÜRÜN ÖZELLİKLERİ'!$A$40:$A$43</xm:f>
          </x14:formula1>
          <xm:sqref>I20 K20 M20 C20 E20 G20</xm:sqref>
        </x14:dataValidation>
        <x14:dataValidation type="list" allowBlank="1" showInputMessage="1" showErrorMessage="1" prompt="Eğer iç ve dış baskısı farklıysa &quot;İÇ+DIŞ BASKI&quot; seçip yandaki hücrede iç ve dış baskıyı belirtiniz._x000a_Örnek: İÇ CMYK - DIŞ PANTONE U 101 RED" xr:uid="{C953C0D3-4578-4140-B752-C49D01367DC5}">
          <x14:formula1>
            <xm:f>'ÜRÜN ÖZELLİKLERİ'!$A$1:$A$4</xm:f>
          </x14:formula1>
          <xm:sqref>K13 M13 I13 C13 E13 G13</xm:sqref>
        </x14:dataValidation>
        <x14:dataValidation type="list" allowBlank="1" showInputMessage="1" showErrorMessage="1" prompt="Eğer &quot;DİĞER&quot; ise yan hücreye uygulamanın ismini ingilizce yazınız." xr:uid="{15BF1AA0-F769-4087-ABC0-7C1193BD3EF3}">
          <x14:formula1>
            <xm:f>'ÜRÜN ÖZELLİKLERİ'!$O$16:$O$20</xm:f>
          </x14:formula1>
          <xm:sqref>I29 M29 K29 C29 E29 G29</xm:sqref>
        </x14:dataValidation>
        <x14:dataValidation type="list" allowBlank="1" showInputMessage="1" showErrorMessage="1" prompt="Eğer &quot;VARAK YALDIZ&quot; var ise bu hücrede seçiniz. Yan hücreye İngilizce açıklamasını mutlaka giriniz." xr:uid="{6C1063E8-B281-4BA3-9E59-F2F5F8E2C3AC}">
          <x14:formula1>
            <xm:f>'ÜRÜN ÖZELLİKLERİ'!$M$7:$M$8</xm:f>
          </x14:formula1>
          <xm:sqref>K31 I31 M31 E31 C31 G31</xm:sqref>
        </x14:dataValidation>
        <x14:dataValidation type="list" allowBlank="1" showInputMessage="1" showErrorMessage="1" prompt="&quot;EMBOSS&quot; var ise bu hücrede seçiniz. Yan hücreye yüzdelik için mutlaka SAYI, ya da ebat bilgisi giriniz." xr:uid="{5C63D8C6-FC50-411B-BEBC-03D71093A0FA}">
          <x14:formula1>
            <xm:f>'ÜRÜN ÖZELLİKLERİ'!$M$3:$M$4</xm:f>
          </x14:formula1>
          <xm:sqref>I32 K32 M32 C32 E32 G32</xm:sqref>
        </x14:dataValidation>
        <x14:dataValidation type="list" allowBlank="1" showInputMessage="1" showErrorMessage="1" prompt="&quot;DEBOSS&quot; var ise bu hücrede seçiniz. Yan hücreye yüzdelik için mutlaka SAYI, ya da ebat bilgisi giriniz." xr:uid="{0988AA48-F539-4F99-A28D-CE565E9E1A28}">
          <x14:formula1>
            <xm:f>'ÜRÜN ÖZELLİKLERİ'!$M$5:$M$6</xm:f>
          </x14:formula1>
          <xm:sqref>K33 M33 I33 C33 E33 G33</xm:sqref>
        </x14:dataValidation>
        <x14:dataValidation type="list" allowBlank="1" showInputMessage="1" showErrorMessage="1" prompt="&quot;GREN&quot; var ise bu hücrede seçiniz. Yan hücrede İngilizce olarak gren kodunu mutlaka belirtiniz." xr:uid="{68874439-4280-4AED-8CC4-840B43840370}">
          <x14:formula1>
            <xm:f>'ÜRÜN ÖZELLİKLERİ'!$M$1:$M$2</xm:f>
          </x14:formula1>
          <xm:sqref>I34 K34 M34 C34 E34 G34</xm:sqref>
        </x14:dataValidation>
        <x14:dataValidation type="list" allowBlank="1" showInputMessage="1" showErrorMessage="1" prompt="&quot;KUŞGÖZÜ&quot; var ise bu hücrede seçiniz. Yan hücrede İngilizce olarak açıklamaları mutlaka belirtiniz." xr:uid="{7455D503-131D-4C08-B639-DA560A071D97}">
          <x14:formula1>
            <xm:f>'ÜRÜN ÖZELLİKLERİ'!$M$13:$M$14</xm:f>
          </x14:formula1>
          <xm:sqref>I35 K35 M35 C35 E35 G35</xm:sqref>
        </x14:dataValidation>
        <x14:dataValidation type="list" allowBlank="1" showInputMessage="1" showErrorMessage="1" prompt="&quot;LOKAL LAK&quot; var ise bu hücrede seçiniz. Yan hücreye İngilizce açıklamasını giriniz." xr:uid="{8A7A4C2A-24E5-4AF9-B668-7BEA54CC52D9}">
          <x14:formula1>
            <xm:f>'ÜRÜN ÖZELLİKLERİ'!$M$9:$M$10</xm:f>
          </x14:formula1>
          <xm:sqref>I36 K36 M36 C36 E36 G36</xm:sqref>
        </x14:dataValidation>
        <x14:dataValidation type="list" allowBlank="1" showInputMessage="1" showErrorMessage="1" prompt="&quot;PVC EURO KANCA&quot; var ise bu hücrede seçiniz. Eğer açıklaması varsa yan hücrede İngilizce olarak belirtiniz." xr:uid="{1D3C412C-4704-4949-95F4-A7B2BEE67A96}">
          <x14:formula1>
            <xm:f>'ÜRÜN ÖZELLİKLERİ'!$M$17:$M$18</xm:f>
          </x14:formula1>
          <xm:sqref>I38 K38 M38 C38 E38 G38</xm:sqref>
        </x14:dataValidation>
        <x14:dataValidation type="list" allowBlank="1" showInputMessage="1" showErrorMessage="1" prompt="&quot;KARTON EURO KANCA&quot; var ise bu hücrede seçiniz. Eğer açıklaması varsa yan hücrede İngilizce olarak belirtiniz." xr:uid="{025F7BE0-6FF3-49BC-BF74-932834BDCCAD}">
          <x14:formula1>
            <xm:f>'ÜRÜN ÖZELLİKLERİ'!$M$19:$M$20</xm:f>
          </x14:formula1>
          <xm:sqref>I39 K39 M39 C39 E39 G39</xm:sqref>
        </x14:dataValidation>
        <x14:dataValidation type="list" allowBlank="1" showInputMessage="1" showErrorMessage="1" prompt="&quot;ÇİFT TARAFLI BANT&quot; var ise bu hücrede seçiniz. Eğer açıklaması varsa yan hücrede İngilizce olarak belirtiniz." xr:uid="{C08F711B-E217-4158-B5E1-B829DCBD5261}">
          <x14:formula1>
            <xm:f>'ÜRÜN ÖZELLİKLERİ'!$M$21:$M$22</xm:f>
          </x14:formula1>
          <xm:sqref>I40 K40 M40 C40 E40 G40</xm:sqref>
        </x14:dataValidation>
        <x14:dataValidation type="list" allowBlank="1" showInputMessage="1" showErrorMessage="1" prompt="&quot;PELUR&quot; var ise bu hücrede seçiniz. Eğer açıklaması varsa yan hücrede İngilizce olarak belirtiniz." xr:uid="{43315293-CD15-468A-AB1A-82763EB652B5}">
          <x14:formula1>
            <xm:f>'ÜRÜN ÖZELLİKLERİ'!$M$36:$M$39</xm:f>
          </x14:formula1>
          <xm:sqref>M41 K41 I41 E41 C41 G41</xm:sqref>
        </x14:dataValidation>
        <x14:dataValidation type="list" allowBlank="1" showInputMessage="1" showErrorMessage="1" prompt="&quot;YÜKSEK LAK&quot; var ise bu hücrede seçiniz. Eğer açıklaması varsa yan hücrede İngilizce olarak belirtiniz." xr:uid="{A139E88E-F09C-4DAC-8F7C-14FD44E08E99}">
          <x14:formula1>
            <xm:f>'ÜRÜN ÖZELLİKLERİ'!$M$11:$M$12</xm:f>
          </x14:formula1>
          <xm:sqref>I37 M37 K37 C37 E37 G37</xm:sqref>
        </x14:dataValidation>
        <x14:dataValidation type="list" allowBlank="1" showInputMessage="1" showErrorMessage="1" prompt="Eğer &quot;DİĞER&quot; ise yandaki hücreye İngilizce karşılığını yazınız." xr:uid="{773AC18B-C698-4973-BAAA-76174104F346}">
          <x14:formula1>
            <xm:f>'ÜRÜN ÖZELLİKLERİ'!$T$1:$T$11</xm:f>
          </x14:formula1>
          <xm:sqref>I12 M12 K12 C12 E12 G12</xm:sqref>
        </x14:dataValidation>
        <x14:dataValidation type="list" allowBlank="1" showInputMessage="1" showErrorMessage="1" prompt="Eğer DİĞER'e tıklarsanız yan hücreye İngilizce ürün cinsini yazınız." xr:uid="{210AC74D-A460-444A-9675-B09C7519BC4E}">
          <x14:formula1>
            <xm:f>KUTUPHANE!$A$1:$A$8</xm:f>
          </x14:formula1>
          <xm:sqref>M4 K4 I4 E4 C4 G4</xm:sqref>
        </x14:dataValidation>
        <x14:dataValidation type="list" allowBlank="1" showInputMessage="1" showErrorMessage="1" prompt="Eğer &quot;DİĞER&quot; seçerseniz yan hücreye İngilizce olarak yazınız. Ayrıca; diğer seçenekler için yan hücreyi açıklama olarak kullanabilirsiniz." xr:uid="{4878374D-5639-4FF9-9265-11D6208815C7}">
          <x14:formula1>
            <xm:f>'ÜRÜN ÖZELLİKLERİ'!$E$8:$E$14</xm:f>
          </x14:formula1>
          <xm:sqref>K22 I22 M22 E22 C22 G22</xm:sqref>
        </x14:dataValidation>
        <x14:dataValidation type="list" allowBlank="1" showInputMessage="1" showErrorMessage="1" prompt="Eğer DİĞER' ise yandaki hücreye sayı giriniz." xr:uid="{1FEC1E5A-1869-4B9A-9505-2CBAAD8879EC}">
          <x14:formula1>
            <xm:f>'ÜRÜN ÖZELLİKLERİ'!$G$40:$G$49</xm:f>
          </x14:formula1>
          <xm:sqref>M56 K56 I56 E56 C56 G56</xm:sqref>
        </x14:dataValidation>
        <x14:dataValidation type="list" allowBlank="1" showInputMessage="1" showErrorMessage="1" prompt="Eğer &quot;DİĞER&quot; seçerseniz yan hücreye İngilizce olarak yazınız. " xr:uid="{0F094AD1-27D1-455E-ABAE-FD942D89F41F}">
          <x14:formula1>
            <xm:f>'ÜRÜN ÖZELLİKLERİ'!$Q$1:$Q$15</xm:f>
          </x14:formula1>
          <xm:sqref>M23</xm:sqref>
        </x14:dataValidation>
        <x14:dataValidation type="list" allowBlank="1" showInputMessage="1" showErrorMessage="1" xr:uid="{07B17C1A-CEBD-40FF-B5BB-91A9023E1C8E}">
          <x14:formula1>
            <xm:f>MT!$A$1:$A$12</xm:f>
          </x14:formula1>
          <xm:sqref>C9:N9</xm:sqref>
        </x14:dataValidation>
        <x14:dataValidation type="list" allowBlank="1" showInputMessage="1" showErrorMessage="1" prompt="Eğer &quot;DİĞER&quot; ise yan hücreye uygulamanın ismini ingilizce yazınız." xr:uid="{6CFC8173-927E-4CF1-AEEB-FA29465CD06B}">
          <x14:formula1>
            <xm:f>'ÜRÜN ÖZELLİKLERİ'!$E$21:$E$28</xm:f>
          </x14:formula1>
          <xm:sqref>I28 K28 M28 C28 E28 G28</xm:sqref>
        </x14:dataValidation>
        <x14:dataValidation type="list" allowBlank="1" showInputMessage="1" showErrorMessage="1" xr:uid="{0DE86FDA-1722-4D37-8CF7-E9C3147E43BB}">
          <x14:formula1>
            <xm:f>'ÜRÜN ÖZELLİKLERİ'!$Q$1:$Q$15</xm:f>
          </x14:formula1>
          <xm:sqref>I23 K23 C23 E23 G23</xm:sqref>
        </x14:dataValidation>
        <x14:dataValidation type="list" allowBlank="1" showInputMessage="1" showErrorMessage="1" xr:uid="{64EAF51D-2828-4E19-AE09-BB11999E9F21}">
          <x14:formula1>
            <xm:f>'ÜRÜN ÖZELLİKLERİ'!$P$53:$P$67</xm:f>
          </x14:formula1>
          <xm:sqref>I26 K26 C26 E26 G26</xm:sqref>
        </x14:dataValidation>
        <x14:dataValidation type="list" allowBlank="1" showInputMessage="1" showErrorMessage="1" prompt="Süs kurdele delik türünü seçiniz. " xr:uid="{6A1D9A38-ED86-4CE3-AB40-C02B01551DA0}">
          <x14:formula1>
            <xm:f>'ÜRÜN ÖZELLİKLERİ'!$P$47:$P$50</xm:f>
          </x14:formula1>
          <xm:sqref>M27</xm:sqref>
        </x14:dataValidation>
        <x14:dataValidation type="list" allowBlank="1" showInputMessage="1" showErrorMessage="1" xr:uid="{270B86A2-8A8B-4475-B586-8E0CD19C00B5}">
          <x14:formula1>
            <xm:f>'ÜRÜN ÖZELLİKLERİ'!$P$47:$P$50</xm:f>
          </x14:formula1>
          <xm:sqref>I27 K27 C27 E27 G27</xm:sqref>
        </x14:dataValidation>
        <x14:dataValidation type="list" allowBlank="1" showInputMessage="1" showErrorMessage="1" prompt="Eğer &quot;DİĞER&quot; seçerseniz yan hücreye İngilizce olarak yazınız." xr:uid="{1C97482B-2D69-44B2-B7FF-8FDC33443827}">
          <x14:formula1>
            <xm:f>'ÜRÜN ÖZELLİKLERİ'!$O$1:$O$8</xm:f>
          </x14:formula1>
          <xm:sqref>M24</xm:sqref>
        </x14:dataValidation>
        <x14:dataValidation type="list" allowBlank="1" showInputMessage="1" showErrorMessage="1" xr:uid="{C52C6599-0EB4-426F-8B04-B75C94991765}">
          <x14:formula1>
            <xm:f>'ÜRÜN ÖZELLİKLERİ'!$O$1:$O$8</xm:f>
          </x14:formula1>
          <xm:sqref>I24 K24 C24 E24 G24</xm:sqref>
        </x14:dataValidation>
        <x14:dataValidation type="list" allowBlank="1" showInputMessage="1" showErrorMessage="1" prompt="Bu hücrede dip karton özelliğini seçiniz, yan hücrede gramaj bilgisi giriniz. Eğer &quot;DİĞER&quot; ise yan hücreye tüm bilgileri İngilizce olarak giriniz." xr:uid="{20E4785E-AFEC-4747-8C70-F76608E3DF86}">
          <x14:formula1>
            <xm:f>'ÜRÜN ÖZELLİKLERİ'!$C$74:$C$80</xm:f>
          </x14:formula1>
          <xm:sqref>M21 I21 K21 E21 C21 G21</xm:sqref>
        </x14:dataValidation>
        <x14:dataValidation type="list" allowBlank="1" showInputMessage="1" showErrorMessage="1" xr:uid="{52FF821C-9464-4001-A9CD-1C40A9F7C5CB}">
          <x14:formula1>
            <xm:f>'ÜRÜN ÖZELLİKLERİ'!$T$53:$T$64</xm:f>
          </x14:formula1>
          <xm:sqref>I63 M63 K63 C63 E63 G63</xm:sqref>
        </x14:dataValidation>
        <x14:dataValidation type="list" allowBlank="1" showInputMessage="1" showErrorMessage="1" xr:uid="{4AEED0A0-339E-4EFA-BFA8-91693EDCED85}">
          <x14:formula1>
            <xm:f>'ÜRÜN ÖZELLİKLERİ'!$E$77:$E$82</xm:f>
          </x14:formula1>
          <xm:sqref>I64 M64 K64 C64 E64 G64</xm:sqref>
        </x14:dataValidation>
        <x14:dataValidation type="list" allowBlank="1" showInputMessage="1" showErrorMessage="1" prompt="Eğer DİĞER ise yandaki hücreye yazınız." xr:uid="{D99BFE1C-7952-4CDA-BB99-EA36407578B6}">
          <x14:formula1>
            <xm:f>'ÜRÜN ÖZELLİKLERİ'!$G$51:$G$58</xm:f>
          </x14:formula1>
          <xm:sqref>K55 I55 M55 E55 C55 G55</xm:sqref>
        </x14:dataValidation>
        <x14:dataValidation type="list" allowBlank="1" showInputMessage="1" showErrorMessage="1" prompt="Eğer DİĞER ise yandaki hücreye sayı giriniz." xr:uid="{D8E4524C-AABF-4463-80D2-D15F9CBA60CB}">
          <x14:formula1>
            <xm:f>IF($C$57="STANDARD KOLİ",'ÜRÜN ÖZELLİKLERİ'!$G$50,'ÜRÜN ÖZELLİKLERİ'!$K$40:$K$54)</xm:f>
          </x14:formula1>
          <xm:sqref>K58 M58 I58 C58 E58 G58</xm:sqref>
        </x14:dataValidation>
        <x14:dataValidation type="list" allowBlank="1" showInputMessage="1" showErrorMessage="1" xr:uid="{66277895-0F63-4EA2-AAD1-80D6A18F3726}">
          <x14:formula1>
            <xm:f>'ÜRÜN ÖZELLİKLERİ'!$U$20:$U$36</xm:f>
          </x14:formula1>
          <xm:sqref>C61:N61</xm:sqref>
        </x14:dataValidation>
        <x14:dataValidation type="list" allowBlank="1" showInputMessage="1" showErrorMessage="1" prompt="Eğer &quot;DİĞER&quot; seçerseniz yan hücreye İngilizce olarak materyal ve adet+ölçü+renk bilgisini yazınız. Var olan seçenekler için yan hücreye sadece İngilizce olarak adet+ölçü+renk bilgisini giriniz." xr:uid="{13AA84C9-341A-4E05-8C8C-30968AE011A9}">
          <x14:formula1>
            <xm:f>'ÜRÜN ÖZELLİKLERİ'!$P$53:$P$70</xm:f>
          </x14:formula1>
          <xm:sqref>K25 E25 M25 C25 I25 G25</xm:sqref>
        </x14:dataValidation>
        <x14:dataValidation type="list" allowBlank="1" showInputMessage="1" showErrorMessage="1" prompt="Eğer &quot;DİĞER&quot; seçerseniz yan hücreye İngilizce olarak süs kurdele türü ve adet+ölçü+renk yazınız. Diğer seçenekler için yan hücreye sadece İngilizce olarak adet+ölçü+renk bilgisini giriniz." xr:uid="{2F231D1E-2A1A-44E1-B888-352A59692022}">
          <x14:formula1>
            <xm:f>'ÜRÜN ÖZELLİKLERİ'!$P$53:$P$70</xm:f>
          </x14:formula1>
          <xm:sqref>M26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34AFA-9724-4100-A9D8-CCEAD39CC294}">
  <sheetPr codeName="Sayfa2">
    <pageSetUpPr fitToPage="1"/>
  </sheetPr>
  <dimension ref="B8:AB147"/>
  <sheetViews>
    <sheetView topLeftCell="B71" zoomScale="70" zoomScaleNormal="70" workbookViewId="0">
      <selection activeCell="C19" sqref="C19:C20"/>
    </sheetView>
  </sheetViews>
  <sheetFormatPr defaultColWidth="8.6640625" defaultRowHeight="14.4"/>
  <cols>
    <col min="1" max="1" width="3.6640625" style="1" customWidth="1"/>
    <col min="2" max="2" width="10.5546875" style="1" customWidth="1"/>
    <col min="3" max="3" width="19.5546875" style="1" customWidth="1"/>
    <col min="4" max="4" width="1.88671875" style="1" customWidth="1"/>
    <col min="5" max="9" width="31.44140625" style="1" customWidth="1"/>
    <col min="10" max="10" width="31.44140625" style="1" hidden="1" customWidth="1"/>
    <col min="11" max="11" width="31.44140625" style="1" customWidth="1"/>
    <col min="12" max="12" width="17" style="38" customWidth="1"/>
    <col min="13" max="13" width="58.33203125" style="1" customWidth="1"/>
    <col min="14" max="14" width="8.6640625" style="1"/>
    <col min="15" max="15" width="7.33203125" style="1" bestFit="1" customWidth="1"/>
    <col min="16" max="16384" width="8.6640625" style="1"/>
  </cols>
  <sheetData>
    <row r="8" spans="2:12" ht="16.95" customHeight="1"/>
    <row r="9" spans="2:12" ht="16.2" customHeight="1"/>
    <row r="10" spans="2:12" ht="25.5" customHeight="1">
      <c r="B10" s="655" t="s">
        <v>458</v>
      </c>
      <c r="C10" s="655"/>
      <c r="D10" s="655"/>
      <c r="E10" s="655"/>
      <c r="F10" s="655"/>
      <c r="G10" s="655"/>
      <c r="H10" s="655"/>
      <c r="I10" s="655"/>
      <c r="J10" s="655"/>
      <c r="K10" s="655"/>
    </row>
    <row r="11" spans="2:12" ht="12" customHeight="1">
      <c r="B11" s="656"/>
      <c r="C11" s="656"/>
      <c r="D11" s="656"/>
      <c r="E11" s="656"/>
      <c r="F11" s="656"/>
      <c r="G11" s="656"/>
      <c r="H11" s="656"/>
      <c r="I11" s="656"/>
      <c r="J11" s="656"/>
      <c r="K11" s="656"/>
    </row>
    <row r="12" spans="2:12" ht="13.8" customHeight="1">
      <c r="B12" s="2"/>
      <c r="C12" s="267" t="s">
        <v>100</v>
      </c>
      <c r="D12" s="268"/>
      <c r="E12" s="657">
        <f>Sayfa1!C5</f>
        <v>0</v>
      </c>
      <c r="F12" s="651"/>
      <c r="G12" s="651"/>
      <c r="H12" s="651"/>
      <c r="I12" s="269" t="s">
        <v>101</v>
      </c>
      <c r="J12" s="269"/>
      <c r="K12" s="270">
        <f ca="1">TODAY()</f>
        <v>45302</v>
      </c>
    </row>
    <row r="13" spans="2:12" ht="18">
      <c r="B13" s="2"/>
      <c r="C13" s="267" t="s">
        <v>102</v>
      </c>
      <c r="D13" s="268"/>
      <c r="E13" s="649">
        <f>Sayfa1!C6</f>
        <v>0</v>
      </c>
      <c r="F13" s="651"/>
      <c r="G13" s="651"/>
      <c r="H13" s="651"/>
      <c r="I13" s="269" t="s">
        <v>103</v>
      </c>
      <c r="J13" s="269"/>
      <c r="K13" s="271">
        <f>Sayfa1!C9</f>
        <v>0</v>
      </c>
    </row>
    <row r="14" spans="2:12" ht="18">
      <c r="B14" s="2"/>
      <c r="C14" s="267" t="s">
        <v>104</v>
      </c>
      <c r="D14" s="268"/>
      <c r="E14" s="658" t="str">
        <f>CONCATENATE("+",Sayfa1!C50)</f>
        <v>+</v>
      </c>
      <c r="F14" s="658"/>
      <c r="G14" s="658"/>
      <c r="H14" s="658"/>
      <c r="I14" s="269" t="s">
        <v>105</v>
      </c>
      <c r="J14" s="269"/>
      <c r="K14" s="270" t="b">
        <f>IF(Sayfa1!C2="Seçiniz"," ",IF(Sayfa1!C4="Seçiniz.","",IF(Sayfa1!C4="Karton Çanta",CONCATENATE("PAPER BAG"," ",Sayfa1!D4),IF(Sayfa1!C4="Zarf Çanta",CONCATENATE("ENVELOPE BAG"," ",Sayfa1!D4),IF(Sayfa1!C4="EKO ÇANTA",CONCATENATE("ECO-FRIENDLY BAG"," ",Sayfa1!D4),IF(Sayfa1!C4="İp",CONCATENATE("HANDLE (ROPE)"," ",Sayfa1!D4),IF(Sayfa1!C4="Kurdela",CONCATENATE("RIBBON"," ",Sayfa1!D4),IF(Sayfa1!C4="DİĞER",Sayfa1!D4))))))))</f>
        <v>0</v>
      </c>
    </row>
    <row r="15" spans="2:12" ht="18">
      <c r="B15" s="2"/>
      <c r="C15" s="267" t="s">
        <v>106</v>
      </c>
      <c r="D15" s="268"/>
      <c r="E15" s="648">
        <f>Sayfa1!C52</f>
        <v>0</v>
      </c>
      <c r="F15" s="659"/>
      <c r="G15" s="659"/>
      <c r="H15" s="659"/>
      <c r="I15" s="269" t="s">
        <v>107</v>
      </c>
      <c r="J15" s="269"/>
      <c r="K15" s="274">
        <f>IF(Sayfa1!C2="Seçiniz."," ",IF(Sayfa1!C2="Ürün 1",Sayfa1!C7,IF(Sayfa1!C2="Ürün 2",CONCATENATE(Sayfa1!C7," + ",Sayfa1!E7),IF(Sayfa1!C2="Ürün 3",CONCATENATE(Sayfa1!C7," + ",Sayfa1!E7," + ",Sayfa1!G7),IF(Sayfa1!C2="Ürün 4",CONCATENATE(Sayfa1!C7," + ",Sayfa1!E7," + ",Sayfa1!G7," + ",Sayfa1!I7),IF(Sayfa1!C2="Ürün 5",CONCATENATE(Sayfa1!C7," + ",Sayfa1!E7," + ",Sayfa1!G7," + ",Sayfa1!I7," + ",Sayfa1!K7),IF(Sayfa1!C2="Ürün 6",CONCATENATE(Sayfa1!C7," + ",Sayfa1!E7," + ",Sayfa1!G7," + ",Sayfa1!I7," + ",Sayfa1!K7," + ",Sayfa1!M7))))))))</f>
        <v>0</v>
      </c>
    </row>
    <row r="16" spans="2:12" ht="16.8" customHeight="1">
      <c r="B16" s="2"/>
      <c r="C16" s="267" t="s">
        <v>108</v>
      </c>
      <c r="D16" s="268"/>
      <c r="E16" s="648">
        <f>Sayfa1!C53</f>
        <v>0</v>
      </c>
      <c r="F16" s="649"/>
      <c r="G16" s="649"/>
      <c r="H16" s="649"/>
      <c r="I16" s="269" t="s">
        <v>109</v>
      </c>
      <c r="J16" s="269"/>
      <c r="K16" s="272"/>
      <c r="L16" s="139"/>
    </row>
    <row r="17" spans="2:11" ht="13.5" customHeight="1">
      <c r="B17" s="2"/>
      <c r="C17" s="267"/>
      <c r="D17" s="268"/>
      <c r="E17" s="649"/>
      <c r="F17" s="649"/>
      <c r="G17" s="649"/>
      <c r="H17" s="649"/>
      <c r="I17" s="269"/>
      <c r="J17" s="269"/>
      <c r="K17" s="271"/>
    </row>
    <row r="18" spans="2:11" ht="21" customHeight="1">
      <c r="B18" s="2"/>
      <c r="C18" s="267" t="s">
        <v>1131</v>
      </c>
      <c r="D18" s="268"/>
      <c r="E18" s="650">
        <f>Sayfa1!C49</f>
        <v>0</v>
      </c>
      <c r="F18" s="651"/>
      <c r="G18" s="651"/>
      <c r="H18" s="651"/>
      <c r="I18" s="651"/>
      <c r="J18" s="651"/>
      <c r="K18" s="652"/>
    </row>
    <row r="19" spans="2:11" ht="16.8" customHeight="1">
      <c r="B19" s="2"/>
      <c r="C19" s="660" t="s">
        <v>111</v>
      </c>
      <c r="D19" s="273"/>
      <c r="E19" s="650" t="str">
        <f>IF(OR(Sayfa1!C48="Seçiniz.",Sayfa1!C48=""),"",IF(Sayfa1!C48="Diğer",Sayfa1!D48,Sayfa1!C48))</f>
        <v/>
      </c>
      <c r="F19" s="651"/>
      <c r="G19" s="651"/>
      <c r="H19" s="651"/>
      <c r="I19" s="651"/>
      <c r="J19" s="651"/>
      <c r="K19" s="652"/>
    </row>
    <row r="20" spans="2:11" ht="15.6">
      <c r="B20" s="4"/>
      <c r="C20" s="661"/>
      <c r="D20" s="5"/>
      <c r="E20" s="653">
        <f>Sayfa1!D48</f>
        <v>0</v>
      </c>
      <c r="F20" s="653"/>
      <c r="G20" s="653"/>
      <c r="H20" s="653"/>
      <c r="I20" s="653"/>
      <c r="J20" s="653"/>
      <c r="K20" s="653"/>
    </row>
    <row r="21" spans="2:11" ht="15" thickBot="1">
      <c r="B21" s="654"/>
      <c r="C21" s="654"/>
      <c r="D21" s="654"/>
      <c r="E21" s="654"/>
      <c r="F21" s="654"/>
      <c r="G21" s="654"/>
      <c r="H21" s="654"/>
      <c r="I21" s="654"/>
      <c r="J21" s="654"/>
      <c r="K21" s="654"/>
    </row>
    <row r="22" spans="2:11" ht="30.75" customHeight="1" thickBot="1">
      <c r="B22" s="679" t="s">
        <v>265</v>
      </c>
      <c r="C22" s="680"/>
      <c r="D22" s="680"/>
      <c r="E22" s="682" t="s">
        <v>112</v>
      </c>
      <c r="F22" s="683"/>
      <c r="G22" s="276" t="s">
        <v>602</v>
      </c>
      <c r="H22" s="275" t="s">
        <v>113</v>
      </c>
      <c r="I22" s="277" t="s">
        <v>519</v>
      </c>
      <c r="J22" s="278" t="s">
        <v>704</v>
      </c>
      <c r="K22" s="279" t="s">
        <v>114</v>
      </c>
    </row>
    <row r="23" spans="2:11" ht="17.399999999999999" customHeight="1" thickBot="1">
      <c r="B23" s="676" t="s">
        <v>259</v>
      </c>
      <c r="C23" s="668">
        <f>Sayfa1!C7</f>
        <v>0</v>
      </c>
      <c r="D23" s="669"/>
      <c r="E23" s="662">
        <f>Sayfa1!C11</f>
        <v>0</v>
      </c>
      <c r="F23" s="663"/>
      <c r="G23" s="257"/>
      <c r="H23" s="258"/>
      <c r="I23" s="316">
        <v>0</v>
      </c>
      <c r="J23" s="316">
        <v>0</v>
      </c>
      <c r="K23" s="321">
        <f>(I23+J23)*H23</f>
        <v>0</v>
      </c>
    </row>
    <row r="24" spans="2:11" ht="17.399999999999999" customHeight="1" thickBot="1">
      <c r="B24" s="677"/>
      <c r="C24" s="670"/>
      <c r="D24" s="671"/>
      <c r="E24" s="664"/>
      <c r="F24" s="665"/>
      <c r="G24" s="259"/>
      <c r="H24" s="260"/>
      <c r="I24" s="317">
        <v>0</v>
      </c>
      <c r="J24" s="317">
        <v>0</v>
      </c>
      <c r="K24" s="321">
        <f t="shared" ref="K24:K52" si="0">(I24+J24)*H24</f>
        <v>0</v>
      </c>
    </row>
    <row r="25" spans="2:11" ht="17.399999999999999" customHeight="1" thickBot="1">
      <c r="B25" s="677"/>
      <c r="C25" s="670"/>
      <c r="D25" s="671"/>
      <c r="E25" s="664"/>
      <c r="F25" s="665"/>
      <c r="G25" s="259"/>
      <c r="H25" s="260"/>
      <c r="I25" s="317">
        <v>0</v>
      </c>
      <c r="J25" s="317">
        <v>0</v>
      </c>
      <c r="K25" s="321">
        <f t="shared" si="0"/>
        <v>0</v>
      </c>
    </row>
    <row r="26" spans="2:11" ht="17.399999999999999" customHeight="1" thickBot="1">
      <c r="B26" s="677"/>
      <c r="C26" s="670"/>
      <c r="D26" s="671"/>
      <c r="E26" s="664"/>
      <c r="F26" s="665"/>
      <c r="G26" s="259"/>
      <c r="H26" s="260"/>
      <c r="I26" s="317">
        <v>0</v>
      </c>
      <c r="J26" s="317">
        <v>0</v>
      </c>
      <c r="K26" s="321">
        <f t="shared" si="0"/>
        <v>0</v>
      </c>
    </row>
    <row r="27" spans="2:11" ht="17.399999999999999" customHeight="1" thickBot="1">
      <c r="B27" s="678"/>
      <c r="C27" s="672"/>
      <c r="D27" s="673"/>
      <c r="E27" s="666"/>
      <c r="F27" s="667"/>
      <c r="G27" s="261"/>
      <c r="H27" s="262"/>
      <c r="I27" s="318">
        <v>0</v>
      </c>
      <c r="J27" s="318">
        <v>0</v>
      </c>
      <c r="K27" s="322">
        <f t="shared" si="0"/>
        <v>0</v>
      </c>
    </row>
    <row r="28" spans="2:11" ht="17.399999999999999" hidden="1" customHeight="1" thickBot="1">
      <c r="B28" s="676" t="s">
        <v>260</v>
      </c>
      <c r="C28" s="668" t="str">
        <f>IF(Sayfa1!E7="","",Sayfa1!E7)</f>
        <v/>
      </c>
      <c r="D28" s="669"/>
      <c r="E28" s="662" t="str">
        <f>IF(Sayfa1!E11="","",Sayfa1!E11)</f>
        <v/>
      </c>
      <c r="F28" s="663"/>
      <c r="G28" s="263"/>
      <c r="H28" s="258"/>
      <c r="I28" s="316">
        <v>0</v>
      </c>
      <c r="J28" s="316">
        <v>0</v>
      </c>
      <c r="K28" s="321">
        <f t="shared" si="0"/>
        <v>0</v>
      </c>
    </row>
    <row r="29" spans="2:11" ht="17.399999999999999" hidden="1" customHeight="1" thickBot="1">
      <c r="B29" s="677"/>
      <c r="C29" s="670"/>
      <c r="D29" s="671"/>
      <c r="E29" s="664"/>
      <c r="F29" s="665"/>
      <c r="G29" s="264"/>
      <c r="H29" s="260"/>
      <c r="I29" s="317">
        <v>0</v>
      </c>
      <c r="J29" s="317">
        <v>0</v>
      </c>
      <c r="K29" s="321">
        <f t="shared" si="0"/>
        <v>0</v>
      </c>
    </row>
    <row r="30" spans="2:11" ht="17.399999999999999" hidden="1" customHeight="1" thickBot="1">
      <c r="B30" s="677"/>
      <c r="C30" s="670"/>
      <c r="D30" s="671"/>
      <c r="E30" s="664"/>
      <c r="F30" s="665"/>
      <c r="G30" s="264"/>
      <c r="H30" s="260"/>
      <c r="I30" s="317">
        <v>0</v>
      </c>
      <c r="J30" s="317">
        <v>0</v>
      </c>
      <c r="K30" s="321">
        <f t="shared" si="0"/>
        <v>0</v>
      </c>
    </row>
    <row r="31" spans="2:11" ht="17.399999999999999" hidden="1" customHeight="1" thickBot="1">
      <c r="B31" s="677"/>
      <c r="C31" s="670"/>
      <c r="D31" s="671"/>
      <c r="E31" s="664"/>
      <c r="F31" s="665"/>
      <c r="G31" s="264"/>
      <c r="H31" s="260"/>
      <c r="I31" s="317">
        <v>0</v>
      </c>
      <c r="J31" s="317">
        <v>0</v>
      </c>
      <c r="K31" s="321">
        <f t="shared" si="0"/>
        <v>0</v>
      </c>
    </row>
    <row r="32" spans="2:11" ht="17.399999999999999" hidden="1" customHeight="1" thickBot="1">
      <c r="B32" s="678"/>
      <c r="C32" s="672"/>
      <c r="D32" s="673"/>
      <c r="E32" s="666"/>
      <c r="F32" s="667"/>
      <c r="G32" s="265"/>
      <c r="H32" s="262"/>
      <c r="I32" s="318">
        <v>0</v>
      </c>
      <c r="J32" s="318">
        <v>0</v>
      </c>
      <c r="K32" s="321">
        <f t="shared" si="0"/>
        <v>0</v>
      </c>
    </row>
    <row r="33" spans="2:28" ht="17.399999999999999" hidden="1" customHeight="1" thickBot="1">
      <c r="B33" s="676" t="s">
        <v>261</v>
      </c>
      <c r="C33" s="674" t="str">
        <f>IF(Sayfa1!G7="","",Sayfa1!G7)</f>
        <v/>
      </c>
      <c r="D33" s="671"/>
      <c r="E33" s="662" t="str">
        <f>IF(Sayfa1!G11="","",Sayfa1!G11)</f>
        <v/>
      </c>
      <c r="F33" s="663"/>
      <c r="G33" s="263"/>
      <c r="H33" s="258"/>
      <c r="I33" s="316">
        <v>0</v>
      </c>
      <c r="J33" s="316">
        <v>0</v>
      </c>
      <c r="K33" s="321">
        <f t="shared" si="0"/>
        <v>0</v>
      </c>
    </row>
    <row r="34" spans="2:28" ht="17.399999999999999" hidden="1" customHeight="1" thickBot="1">
      <c r="B34" s="677"/>
      <c r="C34" s="674"/>
      <c r="D34" s="671"/>
      <c r="E34" s="664"/>
      <c r="F34" s="665"/>
      <c r="G34" s="264"/>
      <c r="H34" s="260"/>
      <c r="I34" s="317">
        <v>0</v>
      </c>
      <c r="J34" s="317">
        <v>0</v>
      </c>
      <c r="K34" s="321">
        <f t="shared" si="0"/>
        <v>0</v>
      </c>
    </row>
    <row r="35" spans="2:28" ht="17.399999999999999" hidden="1" customHeight="1" thickBot="1">
      <c r="B35" s="677"/>
      <c r="C35" s="674"/>
      <c r="D35" s="671"/>
      <c r="E35" s="664"/>
      <c r="F35" s="665"/>
      <c r="G35" s="264"/>
      <c r="H35" s="260"/>
      <c r="I35" s="317">
        <v>0</v>
      </c>
      <c r="J35" s="317">
        <v>0</v>
      </c>
      <c r="K35" s="321">
        <f t="shared" si="0"/>
        <v>0</v>
      </c>
    </row>
    <row r="36" spans="2:28" ht="17.399999999999999" hidden="1" customHeight="1" thickBot="1">
      <c r="B36" s="677"/>
      <c r="C36" s="674"/>
      <c r="D36" s="671"/>
      <c r="E36" s="664"/>
      <c r="F36" s="665"/>
      <c r="G36" s="264"/>
      <c r="H36" s="260"/>
      <c r="I36" s="317">
        <v>0</v>
      </c>
      <c r="J36" s="317">
        <v>0</v>
      </c>
      <c r="K36" s="321">
        <f t="shared" si="0"/>
        <v>0</v>
      </c>
    </row>
    <row r="37" spans="2:28" ht="17.399999999999999" hidden="1" customHeight="1" thickBot="1">
      <c r="B37" s="678"/>
      <c r="C37" s="675"/>
      <c r="D37" s="673"/>
      <c r="E37" s="666"/>
      <c r="F37" s="667"/>
      <c r="G37" s="265"/>
      <c r="H37" s="262"/>
      <c r="I37" s="318">
        <v>0</v>
      </c>
      <c r="J37" s="318">
        <v>0</v>
      </c>
      <c r="K37" s="321">
        <f t="shared" si="0"/>
        <v>0</v>
      </c>
    </row>
    <row r="38" spans="2:28" ht="17.399999999999999" hidden="1" customHeight="1" thickBot="1">
      <c r="B38" s="676" t="s">
        <v>262</v>
      </c>
      <c r="C38" s="681" t="str">
        <f>IF(Sayfa1!I7="","",Sayfa1!I7)</f>
        <v/>
      </c>
      <c r="D38" s="669"/>
      <c r="E38" s="662" t="str">
        <f>IF(Sayfa1!I11="","",Sayfa1!I11)</f>
        <v/>
      </c>
      <c r="F38" s="663"/>
      <c r="G38" s="263"/>
      <c r="H38" s="258"/>
      <c r="I38" s="316">
        <v>0</v>
      </c>
      <c r="J38" s="316">
        <v>0</v>
      </c>
      <c r="K38" s="321">
        <f t="shared" si="0"/>
        <v>0</v>
      </c>
    </row>
    <row r="39" spans="2:28" ht="17.399999999999999" hidden="1" customHeight="1" thickBot="1">
      <c r="B39" s="677"/>
      <c r="C39" s="674"/>
      <c r="D39" s="671"/>
      <c r="E39" s="664"/>
      <c r="F39" s="665"/>
      <c r="G39" s="264"/>
      <c r="H39" s="260"/>
      <c r="I39" s="317">
        <v>0</v>
      </c>
      <c r="J39" s="317">
        <v>0</v>
      </c>
      <c r="K39" s="321">
        <f t="shared" si="0"/>
        <v>0</v>
      </c>
    </row>
    <row r="40" spans="2:28" ht="17.399999999999999" hidden="1" customHeight="1" thickBot="1">
      <c r="B40" s="677"/>
      <c r="C40" s="674"/>
      <c r="D40" s="671"/>
      <c r="E40" s="664"/>
      <c r="F40" s="665"/>
      <c r="G40" s="264"/>
      <c r="H40" s="260"/>
      <c r="I40" s="317">
        <v>0</v>
      </c>
      <c r="J40" s="317">
        <v>0</v>
      </c>
      <c r="K40" s="321">
        <f t="shared" si="0"/>
        <v>0</v>
      </c>
    </row>
    <row r="41" spans="2:28" ht="17.399999999999999" hidden="1" customHeight="1" thickBot="1">
      <c r="B41" s="677"/>
      <c r="C41" s="674"/>
      <c r="D41" s="671"/>
      <c r="E41" s="664"/>
      <c r="F41" s="665"/>
      <c r="G41" s="264"/>
      <c r="H41" s="260"/>
      <c r="I41" s="317">
        <v>0</v>
      </c>
      <c r="J41" s="317">
        <v>0</v>
      </c>
      <c r="K41" s="321">
        <f t="shared" si="0"/>
        <v>0</v>
      </c>
    </row>
    <row r="42" spans="2:28" ht="17.399999999999999" hidden="1" customHeight="1" thickBot="1">
      <c r="B42" s="678"/>
      <c r="C42" s="675"/>
      <c r="D42" s="673"/>
      <c r="E42" s="666"/>
      <c r="F42" s="667"/>
      <c r="G42" s="265"/>
      <c r="H42" s="262"/>
      <c r="I42" s="318">
        <v>0</v>
      </c>
      <c r="J42" s="318">
        <v>0</v>
      </c>
      <c r="K42" s="321">
        <f t="shared" si="0"/>
        <v>0</v>
      </c>
    </row>
    <row r="43" spans="2:28" ht="18" hidden="1" customHeight="1" thickBot="1">
      <c r="B43" s="676" t="s">
        <v>263</v>
      </c>
      <c r="C43" s="668" t="str">
        <f>IF(Sayfa1!K7="","",Sayfa1!K7)</f>
        <v/>
      </c>
      <c r="D43" s="669"/>
      <c r="E43" s="662" t="str">
        <f>IF(Sayfa1!K11="","",Sayfa1!K11)</f>
        <v/>
      </c>
      <c r="F43" s="663"/>
      <c r="G43" s="263"/>
      <c r="H43" s="258"/>
      <c r="I43" s="316">
        <v>0</v>
      </c>
      <c r="J43" s="316">
        <v>0</v>
      </c>
      <c r="K43" s="321">
        <f t="shared" si="0"/>
        <v>0</v>
      </c>
    </row>
    <row r="44" spans="2:28" ht="18" hidden="1" customHeight="1" thickBot="1">
      <c r="B44" s="677"/>
      <c r="C44" s="670"/>
      <c r="D44" s="671"/>
      <c r="E44" s="664"/>
      <c r="F44" s="665"/>
      <c r="G44" s="264"/>
      <c r="H44" s="260"/>
      <c r="I44" s="317">
        <v>0</v>
      </c>
      <c r="J44" s="317">
        <v>0</v>
      </c>
      <c r="K44" s="321">
        <f t="shared" si="0"/>
        <v>0</v>
      </c>
    </row>
    <row r="45" spans="2:28" ht="18" hidden="1" customHeight="1" thickBot="1">
      <c r="B45" s="677"/>
      <c r="C45" s="670"/>
      <c r="D45" s="671"/>
      <c r="E45" s="664"/>
      <c r="F45" s="665"/>
      <c r="G45" s="264"/>
      <c r="H45" s="260"/>
      <c r="I45" s="317">
        <v>0</v>
      </c>
      <c r="J45" s="317">
        <v>0</v>
      </c>
      <c r="K45" s="321">
        <f t="shared" si="0"/>
        <v>0</v>
      </c>
    </row>
    <row r="46" spans="2:28" ht="18" hidden="1" customHeight="1" thickBot="1">
      <c r="B46" s="677"/>
      <c r="C46" s="670"/>
      <c r="D46" s="671"/>
      <c r="E46" s="664"/>
      <c r="F46" s="665"/>
      <c r="G46" s="264"/>
      <c r="H46" s="260"/>
      <c r="I46" s="317">
        <v>0</v>
      </c>
      <c r="J46" s="317">
        <v>0</v>
      </c>
      <c r="K46" s="321">
        <f t="shared" si="0"/>
        <v>0</v>
      </c>
    </row>
    <row r="47" spans="2:28" ht="18" hidden="1" customHeight="1" thickBot="1">
      <c r="B47" s="678"/>
      <c r="C47" s="672"/>
      <c r="D47" s="673"/>
      <c r="E47" s="666"/>
      <c r="F47" s="667"/>
      <c r="G47" s="265"/>
      <c r="H47" s="262"/>
      <c r="I47" s="318">
        <v>0</v>
      </c>
      <c r="J47" s="318">
        <v>0</v>
      </c>
      <c r="K47" s="321">
        <f t="shared" si="0"/>
        <v>0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</row>
    <row r="48" spans="2:28" ht="15.6" hidden="1" customHeight="1" thickBot="1">
      <c r="B48" s="676" t="s">
        <v>264</v>
      </c>
      <c r="C48" s="674" t="str">
        <f>IF(Sayfa1!M7="","",Sayfa1!M7)</f>
        <v/>
      </c>
      <c r="D48" s="671"/>
      <c r="E48" s="662" t="str">
        <f>IF(Sayfa1!M11="","",Sayfa1!M11)</f>
        <v/>
      </c>
      <c r="F48" s="663"/>
      <c r="G48" s="263"/>
      <c r="H48" s="260"/>
      <c r="I48" s="316">
        <v>0</v>
      </c>
      <c r="J48" s="317">
        <v>0</v>
      </c>
      <c r="K48" s="321">
        <f t="shared" si="0"/>
        <v>0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</row>
    <row r="49" spans="2:28" ht="15.6" hidden="1" customHeight="1" thickBot="1">
      <c r="B49" s="677"/>
      <c r="C49" s="674"/>
      <c r="D49" s="671"/>
      <c r="E49" s="664"/>
      <c r="F49" s="665"/>
      <c r="G49" s="264"/>
      <c r="H49" s="260"/>
      <c r="I49" s="317">
        <v>0</v>
      </c>
      <c r="J49" s="317">
        <v>0</v>
      </c>
      <c r="K49" s="321">
        <f t="shared" si="0"/>
        <v>0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</row>
    <row r="50" spans="2:28" ht="15.6" hidden="1" customHeight="1" thickBot="1">
      <c r="B50" s="677"/>
      <c r="C50" s="674"/>
      <c r="D50" s="671"/>
      <c r="E50" s="664"/>
      <c r="F50" s="665"/>
      <c r="G50" s="264"/>
      <c r="H50" s="260"/>
      <c r="I50" s="317">
        <v>0</v>
      </c>
      <c r="J50" s="317">
        <v>0</v>
      </c>
      <c r="K50" s="321">
        <f t="shared" si="0"/>
        <v>0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</row>
    <row r="51" spans="2:28" ht="15.6" hidden="1" customHeight="1" thickBot="1">
      <c r="B51" s="677"/>
      <c r="C51" s="674"/>
      <c r="D51" s="671"/>
      <c r="E51" s="664"/>
      <c r="F51" s="665"/>
      <c r="G51" s="264"/>
      <c r="H51" s="260"/>
      <c r="I51" s="317">
        <v>0</v>
      </c>
      <c r="J51" s="317">
        <v>0</v>
      </c>
      <c r="K51" s="321">
        <f t="shared" si="0"/>
        <v>0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</row>
    <row r="52" spans="2:28" ht="15.6" hidden="1" customHeight="1" thickBot="1">
      <c r="B52" s="678"/>
      <c r="C52" s="675"/>
      <c r="D52" s="673"/>
      <c r="E52" s="666"/>
      <c r="F52" s="667"/>
      <c r="G52" s="265"/>
      <c r="H52" s="262"/>
      <c r="I52" s="318">
        <v>0</v>
      </c>
      <c r="J52" s="318">
        <v>0</v>
      </c>
      <c r="K52" s="322">
        <f t="shared" si="0"/>
        <v>0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</row>
    <row r="53" spans="2:28" ht="33" customHeight="1" thickBot="1">
      <c r="B53" s="685"/>
      <c r="C53" s="686"/>
      <c r="D53" s="686"/>
      <c r="E53" s="687" t="s">
        <v>99</v>
      </c>
      <c r="F53" s="687"/>
      <c r="G53" s="687"/>
      <c r="H53" s="6"/>
      <c r="I53" s="145"/>
      <c r="J53" s="145"/>
      <c r="K53" s="14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</row>
    <row r="54" spans="2:28">
      <c r="B54" s="119"/>
      <c r="C54" s="120"/>
      <c r="D54" s="120"/>
      <c r="E54" s="121"/>
      <c r="F54" s="121"/>
      <c r="G54" s="121"/>
      <c r="H54" s="6"/>
      <c r="I54" s="145"/>
      <c r="J54" s="145"/>
      <c r="K54" s="694">
        <f>SUM(K23:K52)</f>
        <v>0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</row>
    <row r="55" spans="2:28" ht="15" thickBot="1">
      <c r="B55" s="119"/>
      <c r="C55" s="120"/>
      <c r="D55" s="120"/>
      <c r="E55" s="121"/>
      <c r="F55" s="121"/>
      <c r="G55" s="121"/>
      <c r="H55" s="6"/>
      <c r="I55" s="145"/>
      <c r="J55" s="145"/>
      <c r="K55" s="69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</row>
    <row r="56" spans="2:28" ht="21" customHeight="1">
      <c r="B56" s="688" t="s">
        <v>116</v>
      </c>
      <c r="C56" s="688"/>
      <c r="D56" s="688"/>
      <c r="E56" s="688"/>
      <c r="F56" s="688"/>
      <c r="G56" s="688"/>
      <c r="H56" s="688"/>
      <c r="I56" s="689"/>
      <c r="J56" s="689"/>
      <c r="K56" s="689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</row>
    <row r="57" spans="2:28" ht="15" customHeight="1">
      <c r="B57" s="691" t="s">
        <v>266</v>
      </c>
      <c r="C57" s="692"/>
      <c r="D57" s="693"/>
      <c r="E57" s="35">
        <v>1</v>
      </c>
      <c r="F57" s="35">
        <v>2</v>
      </c>
      <c r="G57" s="35">
        <v>3</v>
      </c>
      <c r="H57" s="35">
        <v>4</v>
      </c>
      <c r="I57" s="696">
        <v>5</v>
      </c>
      <c r="J57" s="697"/>
      <c r="K57" s="35">
        <v>6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</row>
    <row r="58" spans="2:28" s="7" customFormat="1" ht="17.399999999999999">
      <c r="B58" s="690" t="s">
        <v>117</v>
      </c>
      <c r="C58" s="690"/>
      <c r="D58" s="242"/>
      <c r="E58" s="243" t="str">
        <f>IF(OR(ISBLANK(Sayfa1!C17), ISBLANK(Sayfa1!D17)), "Lütfen doldurunuz", CONCATENATE(Sayfa1!C17, " ", Sayfa1!D17," gsm"))</f>
        <v>Lütfen doldurunuz</v>
      </c>
      <c r="F58" s="243" t="str">
        <f>IF(OR(VALUE(RIGHT(Sayfa1!C2,1))&gt;2,VALUE(RIGHT(Sayfa1!C2,1))=2),IF(OR(ISBLANK(Sayfa1!E17), ISBLANK(Sayfa1!F17)), "Lütfen doldurunuz", CONCATENATE(Sayfa1!E17, " ", Sayfa1!F17," gsm")), "")</f>
        <v/>
      </c>
      <c r="G58" s="243" t="str">
        <f>IF(OR(VALUE(RIGHT(Sayfa1!C2,1))&gt;3,VALUE(RIGHT(Sayfa1!C2,1))=3),IF(OR(ISBLANK(Sayfa1!G17), ISBLANK(Sayfa1!H17)), "Lütfen doldurunuz", CONCATENATE(Sayfa1!G17, " ", Sayfa1!H17," gsm")), "")</f>
        <v/>
      </c>
      <c r="H58" s="243" t="str">
        <f>IF(OR(VALUE(RIGHT(Sayfa1!C2,1))&gt;4,VALUE(RIGHT(Sayfa1!C2,1))=4),IF(OR(ISBLANK(Sayfa1!I17), ISBLANK(Sayfa1!J17)), "Lütfen doldurunuz", CONCATENATE(Sayfa1!I17, " ", Sayfa1!J17," gsm")), "")</f>
        <v/>
      </c>
      <c r="I58" s="698" t="str">
        <f>IF(OR(VALUE(RIGHT(Sayfa1!C2,1))&gt;5,VALUE(RIGHT(Sayfa1!C2,1))=5),IF(OR(ISBLANK(Sayfa1!K17), ISBLANK(Sayfa1!L17)), "Lütfen doldurunuz", CONCATENATE(Sayfa1!K17, " ", Sayfa1!L17," gsm")), "")</f>
        <v/>
      </c>
      <c r="J58" s="698"/>
      <c r="K58" s="243" t="str">
        <f>IF(OR(VALUE(RIGHT(Sayfa1!C2,1))&gt;6,VALUE(RIGHT(Sayfa1!C2,1))=6),IF(OR(ISBLANK(Sayfa1!M17), ISBLANK(Sayfa1!N17)), "Lütfen doldurunuz", CONCATENATE(Sayfa1!M17, " ", Sayfa1!N17," gsm")), "")</f>
        <v/>
      </c>
      <c r="L58" s="38"/>
    </row>
    <row r="59" spans="2:28" s="7" customFormat="1" ht="17.399999999999999">
      <c r="B59" s="684" t="s">
        <v>118</v>
      </c>
      <c r="C59" s="684"/>
      <c r="D59" s="242"/>
      <c r="E59" s="245" t="str">
        <f>IF(OR(ISBLANK(Sayfa1!C14), ISBLANK(Sayfa1!D14)), " ", CONCATENATE(Sayfa1!C14, " ", Sayfa1!D14,"%"))</f>
        <v xml:space="preserve"> </v>
      </c>
      <c r="F59" s="245" t="str">
        <f>IF(OR(VALUE(RIGHT(Sayfa1!C2,1))&gt;2,VALUE(RIGHT(Sayfa1!C2,1))=2),IF(OR(ISBLANK(Sayfa1!E14), ISBLANK(Sayfa1!F14)), " ", CONCATENATE(Sayfa1!E14, " ", Sayfa1!F14,"%")),"")</f>
        <v/>
      </c>
      <c r="G59" s="245" t="str">
        <f>IF(OR(VALUE(RIGHT(Sayfa1!C2,1))&gt;3,VALUE(RIGHT(Sayfa1!C2,1))=3),IF(OR(ISBLANK(Sayfa1!G14), ISBLANK(Sayfa1!H14)), " ", CONCATENATE(Sayfa1!G14, " ", Sayfa1!H14,"%")),"")</f>
        <v/>
      </c>
      <c r="H59" s="245" t="str">
        <f>IF(OR(VALUE(RIGHT(Sayfa1!C2,1))&gt;4,VALUE(RIGHT(Sayfa1!C2,1))=4),IF(OR(ISBLANK(Sayfa1!I14), ISBLANK(Sayfa1!J14)), " ", CONCATENATE(Sayfa1!I14, " ", Sayfa1!J14,"%")),"")</f>
        <v/>
      </c>
      <c r="I59" s="643" t="str">
        <f>IF(OR(VALUE(RIGHT(Sayfa1!C2,1))&gt;5,VALUE(RIGHT(Sayfa1!C2,1))=5),IF(OR(ISBLANK(Sayfa1!K14), ISBLANK(Sayfa1!L14)), " ", CONCATENATE(Sayfa1!K14, " ", Sayfa1!L14,"%")),"")</f>
        <v/>
      </c>
      <c r="J59" s="643"/>
      <c r="K59" s="245" t="str">
        <f>IF(OR(VALUE(RIGHT(Sayfa1!C2,1))&gt;6,VALUE(RIGHT(Sayfa1!C2,1))=6),IF(OR(ISBLANK(Sayfa1!M14), ISBLANK(Sayfa1!N14)), " ", CONCATENATE(Sayfa1!M14, " ", Sayfa1!N14,"%")),"")</f>
        <v/>
      </c>
      <c r="L59" s="38"/>
    </row>
    <row r="60" spans="2:28" s="7" customFormat="1" ht="17.399999999999999" customHeight="1">
      <c r="B60" s="684" t="s">
        <v>119</v>
      </c>
      <c r="C60" s="684"/>
      <c r="D60" s="242"/>
      <c r="E60" s="245" t="str">
        <f>IF(OR(ISBLANK(Sayfa1!C15), ISBLANK(Sayfa1!D15)), " ", CONCATENATE(Sayfa1!C15, " ", Sayfa1!D15, "%"))</f>
        <v xml:space="preserve"> </v>
      </c>
      <c r="F60" s="245" t="str">
        <f>IF(OR(VALUE(RIGHT(Sayfa1!C2,1))&gt;2,VALUE(RIGHT(Sayfa1!C2,1))=2),IF(OR(ISBLANK(Sayfa1!E15), ISBLANK(Sayfa1!F15)), " ", CONCATENATE(Sayfa1!E15, " ", Sayfa1!F15,"%")),"")</f>
        <v/>
      </c>
      <c r="G60" s="245" t="str">
        <f>IF(OR(VALUE(RIGHT(Sayfa1!C2,1))&gt;3,VALUE(RIGHT(Sayfa1!C2,1))=3),IF(OR(ISBLANK(Sayfa1!G15), ISBLANK(Sayfa1!H15)), " ", CONCATENATE(Sayfa1!G15, " ", Sayfa1!H15,"%")),"")</f>
        <v/>
      </c>
      <c r="H60" s="245" t="str">
        <f>IF(OR(VALUE(RIGHT(Sayfa1!C2,1))&gt;4,VALUE(RIGHT(Sayfa1!C2,1))=4),IF(OR(ISBLANK(Sayfa1!I15), ISBLANK(Sayfa1!J15)), " ", CONCATENATE(Sayfa1!I15, " ", Sayfa1!J15,"%")),"")</f>
        <v/>
      </c>
      <c r="I60" s="643" t="str">
        <f>IF(OR(VALUE(RIGHT(Sayfa1!C2,1))&gt;5,VALUE(RIGHT(Sayfa1!C2,1))=5),IF(OR(ISBLANK(Sayfa1!K15), ISBLANK(Sayfa1!L15)), " ", CONCATENATE(Sayfa1!K15, " ", Sayfa1!L15,"%")),"")</f>
        <v/>
      </c>
      <c r="J60" s="643"/>
      <c r="K60" s="245" t="str">
        <f>IF(OR(VALUE(RIGHT(Sayfa1!C2,1))&gt;6,VALUE(RIGHT(Sayfa1!C2,1))=6),IF(OR(ISBLANK(Sayfa1!M15), ISBLANK(Sayfa1!N15)), " ", CONCATENATE(Sayfa1!M15, " ", Sayfa1!N15,"%")),"")</f>
        <v/>
      </c>
      <c r="L60" s="38"/>
    </row>
    <row r="61" spans="2:28" s="7" customFormat="1" ht="17.399999999999999">
      <c r="B61" s="684" t="s">
        <v>120</v>
      </c>
      <c r="C61" s="684"/>
      <c r="D61" s="242"/>
      <c r="E61" s="245" t="str">
        <f>IF(OR(VALUE(RIGHT(Sayfa1!C2,1))&gt;1,VALUE(RIGHT(Sayfa1!C2,1))=1),IF(OR(ISBLANK(Sayfa1!C16), Sayfa1!C16="Seçiniz"), "", CONCATENATE(VLOOKUP(Sayfa1!C16,'ÜRÜN ÖZELLİKLERİ'!E1:F3,2,0), " ", Sayfa1!D16)))</f>
        <v/>
      </c>
      <c r="F61" s="245" t="str">
        <f>IF(OR(VALUE(RIGHT(Sayfa1!C2,1))&gt;2,VALUE(RIGHT(Sayfa1!C2,1))=2),IF(OR(ISBLANK(Sayfa1!E16), Sayfa1!E16="Seçiniz"), "",CONCATENATE(VLOOKUP(Sayfa1!E16,'ÜRÜN ÖZELLİKLERİ'!E1:F3,2,0), " ", Sayfa1!F16)),"")</f>
        <v/>
      </c>
      <c r="G61" s="245" t="str">
        <f>IF(OR(VALUE(RIGHT(Sayfa1!C2,1))&gt;3,VALUE(RIGHT(Sayfa1!C2,1))=3),IF(OR(ISBLANK(Sayfa1!G16), Sayfa1!G16="Seçiniz"), "", CONCATENATE(VLOOKUP(Sayfa1!G16,'ÜRÜN ÖZELLİKLERİ'!E1:F3,2,0), " ", Sayfa1!H16)),"")</f>
        <v/>
      </c>
      <c r="H61" s="245" t="str">
        <f>IF(OR(VALUE(RIGHT(Sayfa1!C2,1))&gt;4,VALUE(RIGHT(Sayfa1!C2,1))=4),IF(OR(ISBLANK(Sayfa1!I16), Sayfa1!I16="Seçiniz"), "", CONCATENATE(VLOOKUP(Sayfa1!I16,'ÜRÜN ÖZELLİKLERİ'!E1:F3,2,0), " ", Sayfa1!J16)),"")</f>
        <v/>
      </c>
      <c r="I61" s="643" t="str">
        <f>IF(OR(VALUE(RIGHT(Sayfa1!C2,1))&gt;5,VALUE(RIGHT(Sayfa1!C2,1))=5),IF(OR(ISBLANK(Sayfa1!K16), Sayfa1!K16="Seçiniz"), "", CONCATENATE(VLOOKUP(Sayfa1!K16,'ÜRÜN ÖZELLİKLERİ'!E1:F3,2,0), " ", Sayfa1!L16)),"")</f>
        <v/>
      </c>
      <c r="J61" s="643"/>
      <c r="K61" s="245" t="str">
        <f>IF(OR(VALUE(RIGHT(Sayfa1!C2,1))&gt;6,VALUE(RIGHT(Sayfa1!C2,1))=6),IF(OR(ISBLANK(Sayfa1!M16), Sayfa1!M16="Seçiniz"), "", CONCATENATE(VLOOKUP(Sayfa1!M16,'ÜRÜN ÖZELLİKLERİ'!E1:F3,2,0), " ", Sayfa1!N16)),"")</f>
        <v/>
      </c>
      <c r="L61" s="38"/>
    </row>
    <row r="62" spans="2:28" s="7" customFormat="1" ht="17.399999999999999">
      <c r="B62" s="684" t="s">
        <v>474</v>
      </c>
      <c r="C62" s="684"/>
      <c r="D62" s="242"/>
      <c r="E62" s="245" t="str">
        <f>IF(OR(VALUE(RIGHT(Sayfa1!C2,1))&gt;1,VALUE(RIGHT(Sayfa1!C2,1))=1),IF(OR(Sayfa1!C18="Seçiniz.",ISBLANK(Sayfa1!C18)),"", CONCATENATE(VLOOKUP(Sayfa1!C18,'ÜRÜN ÖZELLİKLERİ'!C21:D33,2,0), "  ", Sayfa1!D18)),"")</f>
        <v/>
      </c>
      <c r="F62" s="245" t="str">
        <f>IF(OR(VALUE(RIGHT(Sayfa1!C2,1))&gt;2,VALUE(RIGHT(Sayfa1!C2,1))=2),IF(OR(Sayfa1!E18="Seçiniz.",ISBLANK(Sayfa1!E18)),"",CONCATENATE(VLOOKUP(Sayfa1!E18,'ÜRÜN ÖZELLİKLERİ'!C21:D33,2,0), "  ",Sayfa1!F18)),"")</f>
        <v/>
      </c>
      <c r="G62" s="245" t="str">
        <f>IF(OR(VALUE(RIGHT(Sayfa1!C2,1))&gt;3,VALUE(RIGHT(Sayfa1!C2,1))=3),IF(OR(Sayfa1!G18="Seçiniz.",ISBLANK(Sayfa1!G18)),"", CONCATENATE(VLOOKUP(Sayfa1!G18,'ÜRÜN ÖZELLİKLERİ'!C21:D33,2,0), "  ", Sayfa1!H18)),"")</f>
        <v/>
      </c>
      <c r="H62" s="245" t="str">
        <f>IF(OR(VALUE(RIGHT(Sayfa1!C2,1))&gt;4,VALUE(RIGHT(Sayfa1!C2,1))=4),IF(OR(Sayfa1!I18="Seçiniz.",ISBLANK(Sayfa1!I18)),"", CONCATENATE(VLOOKUP(Sayfa1!I18,'ÜRÜN ÖZELLİKLERİ'!C21:D33,2,0), "  ", Sayfa1!J18)),"")</f>
        <v/>
      </c>
      <c r="I62" s="643" t="str">
        <f>IF(OR(VALUE(RIGHT(Sayfa1!C2,1))&gt;5,VALUE(RIGHT(Sayfa1!C2,1))=5),IF(OR(Sayfa1!K18="Seçiniz.",ISBLANK(Sayfa1!K18)),"", CONCATENATE(VLOOKUP(Sayfa1!K18,'ÜRÜN ÖZELLİKLERİ'!C21:D33,2,0), "  ", Sayfa1!L18)),"")</f>
        <v/>
      </c>
      <c r="J62" s="643"/>
      <c r="K62" s="245" t="str">
        <f>IF(OR(VALUE(RIGHT(Sayfa1!C2,1))&gt;6,VALUE(RIGHT(Sayfa1!C2,1))=6),IF(OR(Sayfa1!M18="Seçiniz.",ISBLANK(Sayfa1!M18)),"", CONCATENATE(VLOOKUP(Sayfa1!M18,'ÜRÜN ÖZELLİKLERİ'!C21:D33,2,0), "  ", Sayfa1!N18)),"")</f>
        <v/>
      </c>
      <c r="L62" s="38"/>
    </row>
    <row r="63" spans="2:28" s="7" customFormat="1" ht="17.399999999999999">
      <c r="B63" s="684" t="s">
        <v>475</v>
      </c>
      <c r="C63" s="716"/>
      <c r="D63" s="242"/>
      <c r="E63" s="245" t="str">
        <f>IF(OR(VALUE(RIGHT(Sayfa1!C2,1))&gt;1,VALUE(RIGHT(Sayfa1!C2,1))=1),IF(OR(Sayfa1!C19="Seçiniz.",ISBLANK(Sayfa1!C19)),"", CONCATENATE(VLOOKUP(Sayfa1!C19,'ÜRÜN ÖZELLİKLERİ'!C21:D33,2,0), "  ", Sayfa1!D19)),"")</f>
        <v/>
      </c>
      <c r="F63" s="245" t="str">
        <f>IF(OR(VALUE(RIGHT(Sayfa1!C2,1))&gt;2,VALUE(RIGHT(Sayfa1!C2,1))=2),IF(OR(Sayfa1!E19="Seçiniz.",ISBLANK(Sayfa1!E19)),"", CONCATENATE(VLOOKUP(Sayfa1!E19,'ÜRÜN ÖZELLİKLERİ'!C21:D33,2,0), "  ", Sayfa1!F19)),"")</f>
        <v/>
      </c>
      <c r="G63" s="245" t="str">
        <f>IF(OR(VALUE(RIGHT(Sayfa1!C2,1))&gt;3,VALUE(RIGHT(Sayfa1!C2,1))=3),IF(OR(Sayfa1!G19="Seçiniz.",ISBLANK(Sayfa1!G19)),"", CONCATENATE(VLOOKUP(Sayfa1!G19,'ÜRÜN ÖZELLİKLERİ'!C21:D33,2,0), "  ", Sayfa1!H19)),"")</f>
        <v/>
      </c>
      <c r="H63" s="245" t="str">
        <f>IF(OR(VALUE(RIGHT(Sayfa1!C2,1))&gt;4,VALUE(RIGHT(Sayfa1!C2,1))=4),IF(OR(Sayfa1!I19="Seçiniz.",ISBLANK(Sayfa1!I19)),"", CONCATENATE(VLOOKUP(Sayfa1!I19,'ÜRÜN ÖZELLİKLERİ'!C21:D33,2,0), "  ", Sayfa1!J19)),"")</f>
        <v/>
      </c>
      <c r="I63" s="643" t="str">
        <f>IF(OR(VALUE(RIGHT(Sayfa1!C2,1))&gt;5,VALUE(RIGHT(Sayfa1!C2,1))=5),IF(OR(Sayfa1!K19="Seçiniz.",ISBLANK(Sayfa1!K19)),"", CONCATENATE(VLOOKUP(Sayfa1!K19,'ÜRÜN ÖZELLİKLERİ'!C21:D33,2,0), "  ", Sayfa1!L19)),"")</f>
        <v/>
      </c>
      <c r="J63" s="643"/>
      <c r="K63" s="245" t="str">
        <f>IF(OR(VALUE(RIGHT(Sayfa1!C2,1))&gt;6,VALUE(RIGHT(Sayfa1!C2,1))=6),IF(OR(Sayfa1!M19="Seçiniz.",ISBLANK(Sayfa1!M19)),"", CONCATENATE(VLOOKUP(Sayfa1!M19,'ÜRÜN ÖZELLİKLERİ'!C21:D33,2,0), "  ", Sayfa1!N19)),"")</f>
        <v/>
      </c>
      <c r="L63" s="38"/>
    </row>
    <row r="64" spans="2:28" s="7" customFormat="1" ht="17.399999999999999">
      <c r="B64" s="715" t="s">
        <v>121</v>
      </c>
      <c r="C64" s="715"/>
      <c r="D64" s="247"/>
      <c r="E64" s="245" t="str">
        <f>IF(OR(VALUE(RIGHT(Sayfa1!C2,1))&gt;1,VALUE(RIGHT(Sayfa1!C2,1))=1),IF(OR(ISBLANK(Sayfa1!C20),Sayfa1!C20="Seçiniz.",Sayfa1!C20="YOK",ISBLANK(Sayfa1!D20)), " ", CONCATENATE(VLOOKUP(Sayfa1!C20,'ÜRÜN ÖZELLİKLERİ'!A40:B42,2,0), " ", Sayfa1!D20," gsm")),"")</f>
        <v xml:space="preserve"> </v>
      </c>
      <c r="F64" s="245" t="str">
        <f>IF(OR(VALUE(RIGHT(Sayfa1!C2,1))&gt;2,VALUE(RIGHT(Sayfa1!C2,1))=2),IF(OR(ISBLANK(Sayfa1!E20),Sayfa1!E20="Seçiniz.",Sayfa1!E20="YOK",ISBLANK(Sayfa1!F20)), " ", CONCATENATE(VLOOKUP(Sayfa1!E20,'ÜRÜN ÖZELLİKLERİ'!A40:B42,2,0), " ", Sayfa1!F20," gsm")),"")</f>
        <v/>
      </c>
      <c r="G64" s="245" t="str">
        <f>IF(OR(VALUE(RIGHT(Sayfa1!C2,1))&gt;3,VALUE(RIGHT(Sayfa1!C2,1))=3),IF(OR(ISBLANK(Sayfa1!G20),Sayfa1!G20="Seçiniz.",Sayfa1!G20="YOK",ISBLANK(Sayfa1!H20)), " ", CONCATENATE(VLOOKUP(Sayfa1!G20,'ÜRÜN ÖZELLİKLERİ'!A40:B42,2,0), " ", Sayfa1!H20," gsm")),"")</f>
        <v/>
      </c>
      <c r="H64" s="245" t="str">
        <f>IF(OR(VALUE(RIGHT(Sayfa1!C2,1))&gt;4,VALUE(RIGHT(Sayfa1!C2,1))=4),IF(OR(ISBLANK(Sayfa1!I20),Sayfa1!I20="Seçiniz.",Sayfa1!I20="YOK",ISBLANK(Sayfa1!J20)), " ", CONCATENATE(VLOOKUP(Sayfa1!I20,'ÜRÜN ÖZELLİKLERİ'!A40:B42,2,0), " ", Sayfa1!J20," gsm")),"")</f>
        <v/>
      </c>
      <c r="I64" s="643" t="str">
        <f>IF(OR(VALUE(RIGHT(Sayfa1!C2,1))&gt;5,VALUE(RIGHT(Sayfa1!C2,1))=5),IF(OR(ISBLANK(Sayfa1!K20),Sayfa1!K20="Seçiniz.",Sayfa1!K20="YOK",ISBLANK(Sayfa1!L20)), " ", CONCATENATE(VLOOKUP(Sayfa1!K20,'ÜRÜN ÖZELLİKLERİ'!A40:B42,2,0), " ", Sayfa1!L20," gsm")),"")</f>
        <v/>
      </c>
      <c r="J64" s="643"/>
      <c r="K64" s="245" t="str">
        <f>IF(OR(VALUE(RIGHT(Sayfa1!C2,1))&gt;6,VALUE(RIGHT(Sayfa1!C2,1))=6),IF(OR(ISBLANK(Sayfa1!M20),Sayfa1!M20="Seçiniz.",Sayfa1!M20="YOK",ISBLANK(Sayfa1!N20)), " ", CONCATENATE(VLOOKUP(Sayfa1!M20,'ÜRÜN ÖZELLİKLERİ'!A40:B42,2,0), " ", Sayfa1!N20," gsm")),"")</f>
        <v/>
      </c>
      <c r="L64" s="38"/>
    </row>
    <row r="65" spans="2:13" s="7" customFormat="1" ht="17.399999999999999">
      <c r="B65" s="684" t="s">
        <v>122</v>
      </c>
      <c r="C65" s="684"/>
      <c r="D65" s="242"/>
      <c r="E65" s="245" t="str">
        <f>IF(OR(VALUE(RIGHT(Sayfa1!C2,1))&gt;1,VALUE(RIGHT(Sayfa1!C2,1))=1),IF(OR(Sayfa1!C21="Seçiniz.",Sayfa1!C21="")," ",IF(Sayfa1!C21="DİĞER",Sayfa1!D21,CONCATENATE(VLOOKUP(Sayfa1!C21,'ÜRÜN ÖZELLİKLERİ'!$C$75:$D$79,2,0)," ",Sayfa1!D21))),"")</f>
        <v xml:space="preserve"> </v>
      </c>
      <c r="F65" s="245" t="str">
        <f>IF(OR(VALUE(RIGHT(Sayfa1!C2,1))&gt;2,VALUE(RIGHT(Sayfa1!C2,1))=2),IF(OR(Sayfa1!E21="Seçiniz.",Sayfa1!E21="")," ",IF(Sayfa1!E21="DİĞER",Sayfa1!F21,CONCATENATE(VLOOKUP(Sayfa1!E21,'ÜRÜN ÖZELLİKLERİ'!$C$75:$D$79,2,0)," ",Sayfa1!F21))),"")</f>
        <v/>
      </c>
      <c r="G65" s="245" t="str">
        <f>IF(OR(VALUE(RIGHT(Sayfa1!C2,1))&gt;3,VALUE(RIGHT(Sayfa1!C2,1))=3),IF(OR(Sayfa1!G21="Seçiniz.",Sayfa1!G21="")," ",IF(Sayfa1!G21="DİĞER",Sayfa1!H21,CONCATENATE(VLOOKUP(Sayfa1!G21,'ÜRÜN ÖZELLİKLERİ'!$C$75:$D$79,2,0)," ",Sayfa1!H21))),"")</f>
        <v/>
      </c>
      <c r="H65" s="245" t="str">
        <f>IF(OR(VALUE(RIGHT(Sayfa1!C2,1))&gt;4,VALUE(RIGHT(Sayfa1!C2,1))=4),IF(OR(Sayfa1!I21="Seçiniz.",Sayfa1!I21="")," ",IF(Sayfa1!I21="DİĞER",Sayfa1!J21,CONCATENATE(VLOOKUP(Sayfa1!I21,'ÜRÜN ÖZELLİKLERİ'!$C$75:$D$79,2,0)," ",Sayfa1!J21))),"")</f>
        <v/>
      </c>
      <c r="I65" s="643" t="str">
        <f>IF(OR(VALUE(RIGHT(Sayfa1!C2,1))&gt;5,VALUE(RIGHT(Sayfa1!C2,1))=5),IF(OR(Sayfa1!K21="Seçiniz.",Sayfa1!K21="")," ",IF(Sayfa1!K21="DİĞER",Sayfa1!L21,CONCATENATE(VLOOKUP(Sayfa1!K21,'ÜRÜN ÖZELLİKLERİ'!$C$75:$D$79,2,0)," ",Sayfa1!L21))),"")</f>
        <v/>
      </c>
      <c r="J65" s="643"/>
      <c r="K65" s="245" t="str">
        <f>IF(OR(VALUE(RIGHT(Sayfa1!C2,1))&gt;6,VALUE(RIGHT(Sayfa1!C2,1))=6),IF(OR(Sayfa1!M21="Seçiniz.",Sayfa1!M21="")," ",IF(Sayfa1!M21="DİĞER",Sayfa1!N21,CONCATENATE(VLOOKUP(Sayfa1!M21,'ÜRÜN ÖZELLİKLERİ'!$C$75:$D$79,2,0)," ",Sayfa1!N21))),"")</f>
        <v/>
      </c>
      <c r="L65" s="38"/>
      <c r="M65" s="50"/>
    </row>
    <row r="66" spans="2:13" s="7" customFormat="1" ht="17.399999999999999">
      <c r="B66" s="684" t="s">
        <v>687</v>
      </c>
      <c r="C66" s="716"/>
      <c r="D66" s="242"/>
      <c r="E66" s="245" t="str">
        <f>IF(OR(VALUE(RIGHT(Sayfa1!C2,1))&gt;1,VALUE(RIGHT(Sayfa1!C2,1))=1),IF(OR(Sayfa1!C22="Seçiniz.",Sayfa1!C22="")," ",IF(Sayfa1!C22="DİĞER",Sayfa1!D22,CONCATENATE(VLOOKUP(Sayfa1!C22,'ÜRÜN ÖZELLİKLERİ'!$E$9:$F$14,2,0)," ",Sayfa1!D22))),"")</f>
        <v xml:space="preserve"> </v>
      </c>
      <c r="F66" s="245" t="str">
        <f>IF(OR(VALUE(RIGHT(Sayfa1!C2,1))&gt;2,VALUE(RIGHT(Sayfa1!C2,1))=2),IF(OR(Sayfa1!E22="Seçiniz.",Sayfa1!E22="")," ",IF(Sayfa1!E22="DİĞER",Sayfa1!F22,CONCATENATE(VLOOKUP(Sayfa1!E22,'ÜRÜN ÖZELLİKLERİ'!$E$9:$F$14,2,0)," ",Sayfa1!F22))),"")</f>
        <v/>
      </c>
      <c r="G66" s="245" t="str">
        <f>IF(OR(VALUE(RIGHT(Sayfa1!C2,1))&gt;3,VALUE(RIGHT(Sayfa1!C2,1))=3),IF(OR(Sayfa1!G22="Seçiniz.",Sayfa1!G22="")," ",IF(Sayfa1!G22="DİĞER",Sayfa1!H22,CONCATENATE(VLOOKUP(Sayfa1!G22,'ÜRÜN ÖZELLİKLERİ'!$E$9:$F$14,2,0)," ",Sayfa1!H22))),"")</f>
        <v/>
      </c>
      <c r="H66" s="245" t="str">
        <f>IF(OR(VALUE(RIGHT(Sayfa1!C2,1))&gt;4,VALUE(RIGHT(Sayfa1!C2,1))=4),IF(OR(Sayfa1!I22="Seçiniz.",Sayfa1!I22="")," ",IF(Sayfa1!I22="DİĞER",Sayfa1!J22,CONCATENATE(VLOOKUP(Sayfa1!I22,'ÜRÜN ÖZELLİKLERİ'!$E$9:$F$14,2,0)," ",Sayfa1!J22))),"")</f>
        <v/>
      </c>
      <c r="I66" s="643" t="str">
        <f>IF(OR(VALUE(RIGHT(Sayfa1!C2,1))&gt;5,VALUE(RIGHT(Sayfa1!C2,1))=5),IF(OR(Sayfa1!K22="Seçiniz.",Sayfa1!K22="")," ",IF(Sayfa1!K22="DİĞER",Sayfa1!L22,CONCATENATE(VLOOKUP(Sayfa1!K22,'ÜRÜN ÖZELLİKLERİ'!$E$9:$F$14,2,0)," ",Sayfa1!L22))),"")</f>
        <v/>
      </c>
      <c r="J66" s="643"/>
      <c r="K66" s="245" t="str">
        <f>IF(OR(VALUE(RIGHT(Sayfa1!C2,1))&gt;6,VALUE(RIGHT(Sayfa1!C2,1))=6),IF(OR(Sayfa1!M22="Seçiniz.",Sayfa1!M22="")," ",IF(Sayfa1!M22="DİĞER",Sayfa1!N22,CONCATENATE(VLOOKUP(Sayfa1!M22,'ÜRÜN ÖZELLİKLERİ'!$E$9:$F$14,2,0)," ",Sayfa1!N22))),"")</f>
        <v/>
      </c>
      <c r="L66" s="38"/>
      <c r="M66" s="50"/>
    </row>
    <row r="67" spans="2:13" s="7" customFormat="1" ht="63.6" customHeight="1">
      <c r="B67" s="684" t="s">
        <v>584</v>
      </c>
      <c r="C67" s="684"/>
      <c r="D67" s="242"/>
      <c r="E67" s="245" t="str">
        <f>IF(OR(VALUE(RIGHT(Sayfa1!C2,1))&gt;1,VALUE(RIGHT(Sayfa1!C2,1))=1),IF(OR(ISBLANK(Sayfa1!C23),Sayfa1!C23="Seçiniz" ), " ",IF(Sayfa1!C23="DİĞER",Sayfa1!D23,CONCATENATE(VLOOKUP(Sayfa1!C23,'ÜRÜN ÖZELLİKLERİ'!Q1:R15,2,0), " ", Sayfa1!D23))),"")</f>
        <v xml:space="preserve"> </v>
      </c>
      <c r="F67" s="245" t="str">
        <f>IF(OR(VALUE(RIGHT(Sayfa1!C2,1))&gt;2,VALUE(RIGHT(Sayfa1!C2,1))=2),IF(OR(ISBLANK(Sayfa1!E23),Sayfa1!E23="Seçiniz" ), " ",IF(Sayfa1!E23="DİĞER",Sayfa1!F23,CONCATENATE(VLOOKUP(Sayfa1!E23,'ÜRÜN ÖZELLİKLERİ'!Q1:R15,2,0), " ", Sayfa1!F23))),"")</f>
        <v/>
      </c>
      <c r="G67" s="245" t="str">
        <f>IF(OR(VALUE(RIGHT(Sayfa1!C2,1))&gt;3,VALUE(RIGHT(Sayfa1!C2,1))=3),IF(OR(ISBLANK(Sayfa1!G23),Sayfa1!G23="Seçiniz" ), " ",IF(Sayfa1!G23="DİĞER",Sayfa1!H23,CONCATENATE(VLOOKUP(Sayfa1!G23,'ÜRÜN ÖZELLİKLERİ'!Q1:R15,2,0), " ", Sayfa1!H23))),"")</f>
        <v/>
      </c>
      <c r="H67" s="245" t="str">
        <f>IF(OR(VALUE(RIGHT(Sayfa1!C2,1))&gt;4,VALUE(RIGHT(Sayfa1!C2,1))=4),IF(OR(ISBLANK(Sayfa1!I23),Sayfa1!I23="Seçiniz" ), " ",IF(Sayfa1!I23="DİĞER",Sayfa1!J23,CONCATENATE(VLOOKUP(Sayfa1!I23,'ÜRÜN ÖZELLİKLERİ'!Q1:R15,2,0), " ", Sayfa1!J23))),"")</f>
        <v/>
      </c>
      <c r="I67" s="643" t="str">
        <f>IF(OR(VALUE(RIGHT(Sayfa1!C2,1))&gt;5,VALUE(RIGHT(Sayfa1!C2,1))=5),IF(OR(ISBLANK(Sayfa1!K23),Sayfa1!K23="Seçiniz" ), " ",IF(Sayfa1!K23="DİĞER",Sayfa1!L23,CONCATENATE(VLOOKUP(Sayfa1!K23,'ÜRÜN ÖZELLİKLERİ'!Q1:R15,2,0), " ", Sayfa1!L23))),"")</f>
        <v/>
      </c>
      <c r="J67" s="643"/>
      <c r="K67" s="245" t="str">
        <f>IF(OR(VALUE(RIGHT(Sayfa1!C2,1))&gt;6,VALUE(RIGHT(Sayfa1!C2,1))=6),IF(OR(ISBLANK(Sayfa1!M23),Sayfa1!M23="Seçiniz" ), " ",IF(Sayfa1!M23="DİĞER",Sayfa1!N23,CONCATENATE(VLOOKUP(Sayfa1!M23,'ÜRÜN ÖZELLİKLERİ'!Q1:R15,2,0), " ", Sayfa1!N23))),"")</f>
        <v/>
      </c>
      <c r="L67" s="38"/>
    </row>
    <row r="68" spans="2:13" s="7" customFormat="1" ht="17.399999999999999">
      <c r="B68" s="684" t="s">
        <v>585</v>
      </c>
      <c r="C68" s="716"/>
      <c r="D68" s="242"/>
      <c r="E68" s="245" t="str">
        <f>IF(OR(VALUE(RIGHT(Sayfa1!C2,1))&gt;1,VALUE(RIGHT(Sayfa1!C2,1))=1),
IF(OR(Sayfa1!C24="Seçiniz",Sayfa1!C24=""),"",IF(Sayfa1!C24="DİĞER",
CONCATENATE(Sayfa1!D24," ",VLOOKUP(Sayfa1!C25,'ÜRÜN ÖZELLİKLERİ'!P27:Q69,2,0),Sayfa1!D25),
CONCATENATE(VLOOKUP(Sayfa1!C24,'ÜRÜN ÖZELLİKLERİ'!O1:P8,2,0)," ",Sayfa1!D24," ",VLOOKUP(Sayfa1!C25,'ÜRÜN ÖZELLİKLERİ'!P27:Q69,2,0)," ",Sayfa1!D25))),"")</f>
        <v/>
      </c>
      <c r="F68" s="245" t="str">
        <f>IF(OR(VALUE(RIGHT(Sayfa1!C2,1))&gt;2,VALUE(RIGHT(Sayfa1!C2,1))=2),
IF(OR(Sayfa1!E24="Seçiniz",Sayfa1!E24=""),"",IF(Sayfa1!E24="DİĞER",
CONCATENATE(Sayfa1!F24," ",VLOOKUP(Sayfa1!E25,'ÜRÜN ÖZELLİKLERİ'!P27:Q69,2,0),Sayfa1!F25),
CONCATENATE(VLOOKUP(Sayfa1!E24,'ÜRÜN ÖZELLİKLERİ'!O1:P8,2,0)," ",Sayfa1!F24," ",VLOOKUP(Sayfa1!E25,'ÜRÜN ÖZELLİKLERİ'!P27:Q69,2,0)," ",Sayfa1!F25))),"")</f>
        <v/>
      </c>
      <c r="G68" s="245" t="str">
        <f>IF(OR(VALUE(RIGHT(Sayfa1!C2,1))&gt;3,VALUE(RIGHT(Sayfa1!C2,1))=3),
IF(OR(Sayfa1!G24="Seçiniz",Sayfa1!G24=""),"",IF(Sayfa1!G24="DİĞER",
CONCATENATE(Sayfa1!H24," ",VLOOKUP(Sayfa1!G25,'ÜRÜN ÖZELLİKLERİ'!P27:Q69,2,0),Sayfa1!H25),
CONCATENATE(VLOOKUP(Sayfa1!G24,'ÜRÜN ÖZELLİKLERİ'!O1:P8,2,0)," ",Sayfa1!H24," ",VLOOKUP(Sayfa1!G25,'ÜRÜN ÖZELLİKLERİ'!P27:Q69,2,0)," ",Sayfa1!H25))),"")</f>
        <v/>
      </c>
      <c r="H68" s="245" t="str">
        <f>IF(OR(VALUE(RIGHT(Sayfa1!C2,1))&gt;4,VALUE(RIGHT(Sayfa1!C2,1))=4),
IF(OR(Sayfa1!I24="Seçiniz",Sayfa1!I24=""),"",IF(Sayfa1!I24="DİĞER",
CONCATENATE(Sayfa1!J24," ",VLOOKUP(Sayfa1!I25,'ÜRÜN ÖZELLİKLERİ'!P27:Q69,2,0),Sayfa1!J25),
CONCATENATE(VLOOKUP(Sayfa1!I24,'ÜRÜN ÖZELLİKLERİ'!O1:P8,2,0)," ",Sayfa1!J24," ",VLOOKUP(Sayfa1!I25,'ÜRÜN ÖZELLİKLERİ'!P27:Q69,2,0)," ",Sayfa1!J25))),"")</f>
        <v/>
      </c>
      <c r="I68" s="643" t="str">
        <f>IF(OR(VALUE(RIGHT(Sayfa1!C2,1))&gt;5,VALUE(RIGHT(Sayfa1!C2,1))=5),
IF(OR(Sayfa1!K24="Seçiniz",Sayfa1!K24=""),"",IF(Sayfa1!K24="DİĞER",
CONCATENATE(Sayfa1!L24," ",VLOOKUP(Sayfa1!K25,'ÜRÜN ÖZELLİKLERİ'!P27:Q69,2,0),Sayfa1!L25),
CONCATENATE(VLOOKUP(Sayfa1!K24,'ÜRÜN ÖZELLİKLERİ'!O1:P8,2,0)," ",Sayfa1!L24," ",VLOOKUP(Sayfa1!K25,'ÜRÜN ÖZELLİKLERİ'!P27:Q69,2,0)," ",Sayfa1!L25))),"")</f>
        <v/>
      </c>
      <c r="J68" s="643"/>
      <c r="K68" s="245" t="str">
        <f>IF(OR(VALUE(RIGHT(Sayfa1!C2,1))&gt;6,VALUE(RIGHT(Sayfa1!C2,1))=6),
IF(OR(Sayfa1!M24="Seçiniz",Sayfa1!M24=""),"",IF(Sayfa1!M24="DİĞER",
CONCATENATE(Sayfa1!N24," ",VLOOKUP(Sayfa1!M25,'ÜRÜN ÖZELLİKLERİ'!P27:Q69,2,0),Sayfa1!N25),
CONCATENATE(VLOOKUP(Sayfa1!M24,'ÜRÜN ÖZELLİKLERİ'!O1:P8,2,0)," ",Sayfa1!N24," ",VLOOKUP(Sayfa1!M25,'ÜRÜN ÖZELLİKLERİ'!P27:Q69,2,0)," ",Sayfa1!N25))),"")</f>
        <v/>
      </c>
      <c r="L68" s="38"/>
    </row>
    <row r="69" spans="2:13" s="7" customFormat="1" ht="34.950000000000003" customHeight="1">
      <c r="B69" s="684" t="s">
        <v>123</v>
      </c>
      <c r="C69" s="684"/>
      <c r="D69" s="242"/>
      <c r="E69" s="245" t="str">
        <f>IF(
  OR(
    VALUE(RIGHT(Sayfa1!C2,1)) &gt; 1,
    VALUE(RIGHT(Sayfa1!C2,1)) = 1
  ),
  IF(
    AND(Sayfa1!C26="DİĞER", Sayfa1!C27="DİĞER"),
    CONCATENATE(Sayfa1!D26, " ", Sayfa1!D27),
    IF(
      AND(Sayfa1!C26="Seçiniz.", Sayfa1!C27="Seçiniz."),
      "",
      IF(
        AND(Sayfa1!C26="", Sayfa1!C27=""),
        "",
        IF(
          AND(Sayfa1!C26="Seçiniz.", Sayfa1!C27="DİĞER"),
          Sayfa1!D27,IF(
                AND(Sayfa1!C26="DİĞER",
                  OR(Sayfa1!C27="Seçiniz.",
                    Sayfa1!C27="")),
                Sayfa1!D26,
          IF(
            AND(Sayfa1!C27="Seçiniz.",
              OR(Sayfa1!C26&lt;&gt;"Seçiniz.", Sayfa1!C26&lt;&gt;"", Sayfa1!C26&lt;&gt;"DİĞER")),
            CONCATENATE(VLOOKUP(Sayfa1!C26,'ÜRÜN ÖZELLİKLERİ'!P53:Q67,2,0)," ",Sayfa1!D26),
            IF(
              AND(Sayfa1!C27="DİĞER",
                OR(Sayfa1!C26&lt;&gt;"Seçiniz.", Sayfa1!C26&lt;&gt;"",Sayfa1!C26&lt;&gt;"DİĞER")),
              CONCATENATE(VLOOKUP(Sayfa1!C26,'ÜRÜN ÖZELLİKLERİ'!P53:Q67,2,0)," ", Sayfa1!D27),
                              IF(
                  AND(Sayfa1!C26="Seçiniz.",
                    OR(Sayfa1!C27&lt;&gt;"Seçiniz.", Sayfa1!C27&lt;&gt;"", Sayfa1!C27&lt;&gt;"DİĞER")),
                  CONCATENATE(VLOOKUP(Sayfa1!C27, 'ÜRÜN ÖZELLİKLERİ'!P47:Q50,2,0)," ", Sayfa1!D27),
                  IF(
                    AND(Sayfa1!C26="DİĞER",
                      OR(Sayfa1!C27&lt;&gt;"Seçiniz.", Sayfa1!C27&lt;&gt;"", Sayfa1!C27&lt;&gt;"DİĞER")),
                    CONCATENATE(Sayfa1!D26," ", VLOOKUP(Sayfa1!C27, 'ÜRÜN ÖZELLİKLERİ'!P47:Q50,2,0)),
                    IF(
                      AND(Sayfa1!C26&lt;&gt;"Seçiniz.",
                        Sayfa1!C27&lt;&gt;"Seçiniz.",
                        Sayfa1!C26&lt;&gt;"",
                        Sayfa1!C27&lt;&gt;"",
                        Sayfa1!C26&lt;&gt;"DİĞER",
                        Sayfa1!C27&lt;&gt;"DİĞER"),
                      CONCATENATE(VLOOKUP(Sayfa1!C26,'ÜRÜN ÖZELLİKLERİ'!P53:Q67,2,0), " ",Sayfa1!D26," ",VLOOKUP(Sayfa1!C27, 'ÜRÜN ÖZELLİKLERİ'!P47:Q50,2,0)," ",Sayfa1!D27)
                    )
                  )
                )
              )
            )
          )
        )
      )
    )
  ),""
)</f>
        <v/>
      </c>
      <c r="F69" s="245" t="str">
        <f>IF(
  OR(
    VALUE(RIGHT(Sayfa1!C2,1)) &gt; 2,
    VALUE(RIGHT(Sayfa1!C2,1)) = 2
  ),
  IF(
    AND(Sayfa1!E26="DİĞER", Sayfa1!E27="DİĞER"),
    CONCATENATE(Sayfa1!F26, " ", Sayfa1!F27),
    IF(
      AND(Sayfa1!E26="Seçiniz.", Sayfa1!E27="Seçiniz."),
      "",
      IF(
        AND(Sayfa1!E26="", Sayfa1!E27=""),
        "",
        IF(
          AND(Sayfa1!E26="Seçiniz.", Sayfa1!E27="DİĞER"),
          Sayfa1!F27,IF(
                AND(Sayfa1!E26="DİĞER",
                  OR(Sayfa1!E27="Seçiniz.",
                    Sayfa1!E27="")),
                Sayfa1!F26,
          IF(
            AND(Sayfa1!E27="Seçiniz.",
              OR(Sayfa1!E26&lt;&gt;"Seçiniz.", Sayfa1!E26&lt;&gt;"", Sayfa1!E26&lt;&gt;"DİĞER")),
            CONCATENATE(VLOOKUP(Sayfa1!E26,'ÜRÜN ÖZELLİKLERİ'!P53:Q67,2,0)," ",Sayfa1!F26),
            IF(
              AND(Sayfa1!E27="DİĞER",
                OR(Sayfa1!E26&lt;&gt;"Seçiniz.", Sayfa1!E26&lt;&gt;"",Sayfa1!E26&lt;&gt;"DİĞER")),
              CONCATENATE(VLOOKUP(Sayfa1!E26,'ÜRÜN ÖZELLİKLERİ'!P53:Q67,2,0)," ", Sayfa1!F27),
                              IF(
                  AND(Sayfa1!E26="Seçiniz.",
                    OR(Sayfa1!E27&lt;&gt;"Seçiniz.", Sayfa1!E27&lt;&gt;"", Sayfa1!E27&lt;&gt;"DİĞER")),
                  CONCATENATE(VLOOKUP(Sayfa1!E27, 'ÜRÜN ÖZELLİKLERİ'!P47:Q50,2,0)," ", Sayfa1!F27),
                  IF(
                    AND(Sayfa1!E26="DİĞER",
                      OR(Sayfa1!E27&lt;&gt;"Seçiniz.", Sayfa1!E27&lt;&gt;"", Sayfa1!E27&lt;&gt;"DİĞER")),
                    CONCATENATE(Sayfa1!F26," ", VLOOKUP(Sayfa1!E27, 'ÜRÜN ÖZELLİKLERİ'!P47:Q50,2,0)),
                    IF(
                      AND(Sayfa1!E26&lt;&gt;"Seçiniz.",
                        Sayfa1!E27&lt;&gt;"Seçiniz.",
                        Sayfa1!E26&lt;&gt;"",
                        Sayfa1!E27&lt;&gt;"",
                        Sayfa1!E26&lt;&gt;"DİĞER",
                        Sayfa1!E27&lt;&gt;"DİĞER"),
                      CONCATENATE(VLOOKUP(Sayfa1!E26,'ÜRÜN ÖZELLİKLERİ'!P53:Q67,2,0), " ",Sayfa1!F26," ",VLOOKUP(Sayfa1!E27, 'ÜRÜN ÖZELLİKLERİ'!P47:Q50,2,0)," ",Sayfa1!F27)
                    )
                  )
                )
              )
            )
          )
        )
      )
    )
  ),""
)</f>
        <v/>
      </c>
      <c r="G69" s="245" t="str">
        <f>IF(
  OR(
    VALUE(RIGHT(Sayfa1!C2,1)) &gt; 3,
    VALUE(RIGHT(Sayfa1!C2,1)) = 3
  ),
  IF(
    AND(Sayfa1!G26="DİĞER", Sayfa1!G27="DİĞER"),
    CONCATENATE(Sayfa1!H26, " ", Sayfa1!H27),
    IF(
      AND(Sayfa1!G26="Seçiniz.", Sayfa1!G27="Seçiniz."),
      "",
      IF(
        AND(Sayfa1!G26="", Sayfa1!G27=""),
        "",
        IF(
          AND(Sayfa1!G26="Seçiniz.", Sayfa1!G27="DİĞER"),
          Sayfa1!H27,IF(
                AND(Sayfa1!G26="DİĞER",
                  OR(Sayfa1!G27="Seçiniz.",
                    Sayfa1!G27="")),
                Sayfa1!H26,
          IF(
            AND(Sayfa1!G27="Seçiniz.",
              OR(Sayfa1!G26&lt;&gt;"Seçiniz.", Sayfa1!G26&lt;&gt;"", Sayfa1!G26&lt;&gt;"DİĞER")),
            VLOOKUP(Sayfa1!G26,'ÜRÜN ÖZELLİKLERİ'!E22:F28,2,0),
            IF(
              AND(Sayfa1!G27="DİĞER",
                OR(Sayfa1!G26&lt;&gt;"Seçiniz.", Sayfa1!G28&lt;&gt;"",Sayfa1!G28&lt;&gt;"DİĞER")),
              CONCATENATE(VLOOKUP(Sayfa1!G26,'ÜRÜN ÖZELLİKLERİ'!E22:F28,2,0)," ", Sayfa1!H27),
                              IF(
                  AND(Sayfa1!G26="Seçiniz.",
                    OR(Sayfa1!G27&lt;&gt;"Seçiniz.", Sayfa1!G27&lt;&gt;"", Sayfa1!G27&lt;&gt;"DİĞER")),
                  CONCATENATE(VLOOKUP(Sayfa1!G27, 'ÜRÜN ÖZELLİKLERİ'!O15:P19,2,0)," ", Sayfa1!H27),
                  IF(
                    AND(Sayfa1!G26="DİĞER",
                      OR(Sayfa1!G27&lt;&gt;"Seçiniz.", Sayfa1!G27&lt;&gt;"", Sayfa1!G27&lt;&gt;"DİĞER")),
                    CONCATENATE(Sayfa1!H26," ", VLOOKUP(Sayfa1!G27, 'ÜRÜN ÖZELLİKLERİ'!O15:P19,2,0)),
                    IF(
                      AND(Sayfa1!G26&lt;&gt;"Seçiniz.",
                        Sayfa1!G27&lt;&gt;"Seçiniz.",
                        Sayfa1!G26&lt;&gt;"",
                        Sayfa1!G27&lt;&gt;"",
                        Sayfa1!G26&lt;&gt;"DİĞER",
                        Sayfa1!G27&lt;&gt;"DİĞER"),
                      CONCATENATE(VLOOKUP(Sayfa1!G26,'ÜRÜN ÖZELLİKLERİ'!E22:F28,2,0), " ", Sayfa1!H26," ",VLOOKUP(Sayfa1!G27, 'ÜRÜN ÖZELLİKLERİ'!O15:P19,2,0)," ",Sayfa1!H27)
                    )
                  )
                )
              )
            )
          )
        )
      )
    )
  ),""
)</f>
        <v/>
      </c>
      <c r="H69" s="245" t="str">
        <f>IF(
  OR(
    VALUE(RIGHT(Sayfa1!C2,1)) &gt; 4,
    VALUE(RIGHT(Sayfa1!C2,1)) = 4
  ),
  IF(
    AND(Sayfa1!I26="DİĞER", Sayfa1!I27="DİĞER"),
    CONCATENATE(Sayfa1!J26, " ", Sayfa1!J27),
    IF(
      AND(Sayfa1!I26="Seçiniz.", Sayfa1!I27="Seçiniz."),
      "",
      IF(
        AND(Sayfa1!I26="", Sayfa1!I27=""),
        "",
        IF(
          AND(Sayfa1!I26="Seçiniz.", Sayfa1!I27="DİĞER"),
          Sayfa1!J27,IF(
                AND(Sayfa1!I26="DİĞER",
                  OR(Sayfa1!I27="Seçiniz.",
                    Sayfa1!I27="")),
                Sayfa1!J26,
          IF(
            AND(Sayfa1!I27="Seçiniz.",
              OR(Sayfa1!I26&lt;&gt;"Seçiniz.", Sayfa1!I26&lt;&gt;"", Sayfa1!I26&lt;&gt;"DİĞER")),
            VLOOKUP(Sayfa1!I26,'ÜRÜN ÖZELLİKLERİ'!E22:F28,2,0),
            IF(
              AND(Sayfa1!I27="DİĞER",
                OR(Sayfa1!I26&lt;&gt;"Seçiniz.", Sayfa1!I26&lt;&gt;"",Sayfa1!I26&lt;&gt;"DİĞER")),
              CONCATENATE(VLOOKUP(Sayfa1!I26,'ÜRÜN ÖZELLİKLERİ'!E22:F28,2,0)," ", Sayfa1!J27),
              IF(
                AND(Sayfa1!I26="Seçiniz.",
                  OR(Sayfa1!I27&lt;&gt;"Seçiniz.", Sayfa1!I27&lt;&gt;"", Sayfa1!I27&lt;&gt;"DİĞER")),
                CONCATENATE(VLOOKUP(Sayfa1!I27, 'ÜRÜN ÖZELLİKLERİ'!O15:P19,2,0)," ", Sayfa1!J27),
                IF(
                  AND(Sayfa1!I26="DİĞER",
                    OR(Sayfa1!I27&lt;&gt;"Seçiniz.", Sayfa1!I27&lt;&gt;"", Sayfa1!I27&lt;&gt;"DİĞER")),
                  CONCATENATE(Sayfa1!J26," ", VLOOKUP(Sayfa1!I27, 'ÜRÜN ÖZELLİKLERİ'!O15:P19,2,0)),
                  IF(
                    AND(Sayfa1!I26&lt;&gt;"Seçiniz.",
                      Sayfa1!I27&lt;&gt;"Seçiniz.",
                      Sayfa1!I26&lt;&gt;"",
                      Sayfa1!I27&lt;&gt;"",
                      Sayfa1!I26&lt;&gt;"DİĞER",
                      Sayfa1!I27&lt;&gt;"DİĞER"),
                    CONCATENATE(VLOOKUP(Sayfa1!I26,'ÜRÜN ÖZELLİKLERİ'!E22:F28,2,0), " ",Sayfa1!J26," ",VLOOKUP(Sayfa1!I27, 'ÜRÜN ÖZELLİKLERİ'!O15:P19,2,0)," ",Sayfa1!J27)
                  )
                )
              )
            )
          )
        )
      )
    )
  )
),"")</f>
        <v/>
      </c>
      <c r="I69" s="643" t="str">
        <f>IF(
  OR(
    VALUE(RIGHT(Sayfa1!C2,1)) &gt; 5,
    VALUE(RIGHT(Sayfa1!C2,1)) = 5
  ),
  IF(
    AND(Sayfa1!K26="DİĞER", Sayfa1!K27="DİĞER"),
    CONCATENATE(Sayfa1!L26, " ", Sayfa1!L27),
    IF(
      AND(Sayfa1!K26="Seçiniz.", Sayfa1!K27="Seçiniz."),
      "",
      IF(
        AND(Sayfa1!K26="", Sayfa1!K27=""),
        "",
        IF(
          AND(Sayfa1!K26="Seçiniz.", Sayfa1!K27="DİĞER"),
          Sayfa1!L27,IF(
                AND(Sayfa1!K26="DİĞER",
                  OR(Sayfa1!K27="Seçiniz.",
                    Sayfa1!K27="")),
                Sayfa1!L26,
          IF(
            AND(Sayfa1!K27="Seçiniz.",
              OR(Sayfa1!K26&lt;&gt;"Seçiniz.", Sayfa1!K26&lt;&gt;"", Sayfa1!K26&lt;&gt;"DİĞER")),
            VLOOKUP(Sayfa1!K26,'ÜRÜN ÖZELLİKLERİ'!E22:F28,2,0),
            IF(
              AND(Sayfa1!K27="DİĞER",
                OR(Sayfa1!K26&lt;&gt;"Seçiniz.", Sayfa1!K26&lt;&gt;"",Sayfa1!K26&lt;&gt;"DİĞER")),
              CONCATENATE(VLOOKUP(Sayfa1!K26,'ÜRÜN ÖZELLİKLERİ'!E22:F28,2,0)," ", Sayfa1!L27),
              IF(
                AND(Sayfa1!K26="Seçiniz.",
                  OR(Sayfa1!K27&lt;&gt;"Seçiniz.", Sayfa1!K27&lt;&gt;"", Sayfa1!K27&lt;&gt;"DİĞER")),
                CONCATENATE(VLOOKUP(Sayfa1!K27, 'ÜRÜN ÖZELLİKLERİ'!O15:P19,2,0)," ", Sayfa1!L27),
                IF(
                  AND(Sayfa1!K26="DİĞER",
                    OR(Sayfa1!K27&lt;&gt;"Seçiniz.", Sayfa1!K27&lt;&gt;"", Sayfa1!K27&lt;&gt;"DİĞER")),
                  CONCATENATE(Sayfa1!L26," ", VLOOKUP(Sayfa1!K27, 'ÜRÜN ÖZELLİKLERİ'!O15:P19,2,0)),
                  IF(
                    AND(Sayfa1!K26&lt;&gt;"Seçiniz.",
                      Sayfa1!K27&lt;&gt;"Seçiniz.",
                      Sayfa1!K26&lt;&gt;"",
                      Sayfa1!K27&lt;&gt;"",
                      Sayfa1!K26&lt;&gt;"DİĞER",
                      Sayfa1!K27&lt;&gt;"DİĞER"),
                    CONCATENATE(VLOOKUP(Sayfa1!K26,'ÜRÜN ÖZELLİKLERİ'!E22:F28,2,0), " ",Sayfa1!L26," ", VLOOKUP(Sayfa1!K27, 'ÜRÜN ÖZELLİKLERİ'!O15:P19,2,0)," ",Sayfa1!L27)
                  )
                )
              )
            )
          )
        )
      )
    )
  )
),"")</f>
        <v/>
      </c>
      <c r="J69" s="643"/>
      <c r="K69" s="245" t="str">
        <f>IF(
  OR(
    VALUE(RIGHT(Sayfa1!C2,1)) &gt; 6,
    VALUE(RIGHT(Sayfa1!C2,1)) = 6
  ),
  IF(
    AND(Sayfa1!M26="DİĞER", Sayfa1!M27="DİĞER"),
    CONCATENATE(Sayfa1!N26, " ", Sayfa1!N27),
    IF(
      AND(Sayfa1!M26="Seçiniz.", Sayfa1!M27="Seçiniz."),
      "",
      IF(
        AND(Sayfa1!M26="", Sayfa1!M27=""),
        "",
        IF(
          AND(Sayfa1!M26="Seçiniz.", Sayfa1!M27="DİĞER"),
          Sayfa1!N27,IF(
                AND(Sayfa1!M26="DİĞER",
                  OR(Sayfa1!M27="Seçiniz.",
                    Sayfa1!M27="")),
                Sayfa1!N26,
          IF(
            AND(Sayfa1!M27="Seçiniz.",
              OR(Sayfa1!M26&lt;&gt;"Seçiniz.", Sayfa1!M26&lt;&gt;"", Sayfa1!M26&lt;&gt;"DİĞER")),
            VLOOKUP(Sayfa1!M26,'ÜRÜN ÖZELLİKLERİ'!E22:F28,2,0),
            IF(
              AND(Sayfa1!M27="DİĞER",
                OR(Sayfa1!M26&lt;&gt;"Seçiniz.", Sayfa1!M26&lt;&gt;"",Sayfa1!M26&lt;&gt;"DİĞER")),
              CONCATENATE(VLOOKUP(Sayfa1!M26,'ÜRÜN ÖZELLİKLERİ'!E22:F28,2,0)," ", Sayfa1!N27),
              IF(
                AND(Sayfa1!M26="Seçiniz.",
                  OR(Sayfa1!M27&lt;&gt;"Seçiniz.", Sayfa1!M27&lt;&gt;"", Sayfa1!M27&lt;&gt;"DİĞER")),
                CONCATENATE(VLOOKUP(Sayfa1!M27, 'ÜRÜN ÖZELLİKLERİ'!O15:P19,2,0)," ", Sayfa1!N27),
                IF(
                  AND(Sayfa1!M26="DİĞER",
                    OR(Sayfa1!M27&lt;&gt;"Seçiniz.", Sayfa1!M27&lt;&gt;"", Sayfa1!M27&lt;&gt;"DİĞER")),
                  CONCATENATE(Sayfa1!N26," ", VLOOKUP(Sayfa1!M27, 'ÜRÜN ÖZELLİKLERİ'!O15:P19,2,0)),
                  IF(
                    AND(Sayfa1!M26&lt;&gt;"Seçiniz.",
                      Sayfa1!M27&lt;&gt;"Seçiniz.",
                      Sayfa1!M26&lt;&gt;"",
                      Sayfa1!M27&lt;&gt;"",
                      Sayfa1!M26&lt;&gt;"DİĞER",
                      Sayfa1!M27&lt;&gt;"DİĞER"),
                    CONCATENATE(VLOOKUP(Sayfa1!M26,'ÜRÜN ÖZELLİKLERİ'!E22:F28,2,0), " ",Sayfa1!N26,VLOOKUP(Sayfa1!M27, 'ÜRÜN ÖZELLİKLERİ'!O15:P19,2,0),Sayfa1!N27)
                  )
                )
              )
            )
          )
        )
      )
    )
  )
),"")</f>
        <v/>
      </c>
      <c r="L69" s="38"/>
      <c r="M69" s="114"/>
    </row>
    <row r="70" spans="2:13" s="7" customFormat="1" ht="17.399999999999999">
      <c r="B70" s="684" t="s">
        <v>536</v>
      </c>
      <c r="C70" s="716"/>
      <c r="D70" s="242"/>
      <c r="E70" s="245" t="str">
        <f>IF(
  OR(
    VALUE(RIGHT(Sayfa1!C2,1)) &gt; 1,
    VALUE(RIGHT(Sayfa1!C2,1)) = 1
  ),
  IF(
    AND(Sayfa1!C28="DİĞER", Sayfa1!C29="DİĞER"),
    CONCATENATE(Sayfa1!D28, " ", Sayfa1!D29),
    IF(
      AND(Sayfa1!C28="Seçiniz.", Sayfa1!C29="Seçiniz."),
      "",
      IF(
        AND(Sayfa1!C28="", Sayfa1!C29=""),
        "",
        IF(
          AND(Sayfa1!C28="Seçiniz.", Sayfa1!C29="DİĞER"),
          Sayfa1!D29,IF(
                AND(Sayfa1!C28="DİĞER",
                  OR(Sayfa1!C29="Seçiniz.",
                    Sayfa1!C29="")),
                Sayfa1!D28,
          IF(
            AND(Sayfa1!C29="Seçiniz.",
              OR(Sayfa1!C28&lt;&gt;"Seçiniz.", Sayfa1!C28&lt;&gt;"", Sayfa1!C28&lt;&gt;"DİĞER")),
            VLOOKUP(Sayfa1!C28,'ÜRÜN ÖZELLİKLERİ'!E22:F28,2,0),
            IF(
              AND(Sayfa1!C29="DİĞER",
                OR(Sayfa1!C28&lt;&gt;"Seçiniz.", Sayfa1!C28&lt;&gt;"",Sayfa1!C28&lt;&gt;"DİĞER")),
              CONCATENATE(VLOOKUP(Sayfa1!C28,'ÜRÜN ÖZELLİKLERİ'!E22:F28,2,0)," ", Sayfa1!D29),
                              IF(
                  AND(Sayfa1!C28="Seçiniz.",
                    OR(Sayfa1!C29&lt;&gt;"Seçiniz.", Sayfa1!C29&lt;&gt;"", Sayfa1!C29&lt;&gt;"DİĞER")),
                  CONCATENATE(VLOOKUP(Sayfa1!C29, 'ÜRÜN ÖZELLİKLERİ'!O15:P19,2,0)," ", Sayfa1!D29),
                  IF(
                    AND(Sayfa1!C28="DİĞER",
                      OR(Sayfa1!C29&lt;&gt;"Seçiniz.", Sayfa1!C29&lt;&gt;"", Sayfa1!C29&lt;&gt;"DİĞER")),
                    CONCATENATE(Sayfa1!D28," ", VLOOKUP(Sayfa1!C29, 'ÜRÜN ÖZELLİKLERİ'!O15:P19,2,0)),
                    IF(
                      AND(Sayfa1!C28&lt;&gt;"Seçiniz.",
                        Sayfa1!C29&lt;&gt;"Seçiniz.",
                        Sayfa1!C28&lt;&gt;"",
                        Sayfa1!C29&lt;&gt;"",
                        Sayfa1!C28&lt;&gt;"DİĞER",
                        Sayfa1!C29&lt;&gt;"DİĞER"),
                      CONCATENATE(VLOOKUP(Sayfa1!C28,'ÜRÜN ÖZELLİKLERİ'!E22:F28,2,0), " ", VLOOKUP(Sayfa1!C29, 'ÜRÜN ÖZELLİKLERİ'!O15:P19,2,0))
                    )
                  )
                )
              )
            )
          )
        )
      )
    )
  ),""
)</f>
        <v/>
      </c>
      <c r="F70" s="245" t="str">
        <f>IF(
  OR(
    VALUE(RIGHT(Sayfa1!C2,1)) &gt; 2,
    VALUE(RIGHT(Sayfa1!C2,1)) = 2
  ),
  IF(
    AND(Sayfa1!E28="DİĞER", Sayfa1!E29="DİĞER"),
    CONCATENATE(Sayfa1!F28, " ", Sayfa1!F29),
    IF(
      AND(Sayfa1!E28="Seçiniz.", Sayfa1!E29="Seçiniz."),
      "",
      IF(
        AND(Sayfa1!E28="", Sayfa1!E29=""),
        "",
        IF(
          AND(Sayfa1!E28="Seçiniz.", Sayfa1!E29="DİĞER"),
          Sayfa1!F29,IF(
                AND(Sayfa1!E28="DİĞER",
                  OR(Sayfa1!E29="Seçiniz.",
                    Sayfa1!E29="")),
                Sayfa1!F28,
          IF(
            AND(Sayfa1!E29="Seçiniz.",
              OR(Sayfa1!E28&lt;&gt;"Seçiniz.", Sayfa1!E28&lt;&gt;"", Sayfa1!E28&lt;&gt;"DİĞER")),
            VLOOKUP(Sayfa1!E28,'ÜRÜN ÖZELLİKLERİ'!E22:F28,2,0),
            IF(
              AND(Sayfa1!E29="DİĞER",
                OR(Sayfa1!E28&lt;&gt;"Seçiniz.", Sayfa1!E28&lt;&gt;"",Sayfa1!E28&lt;&gt;"DİĞER")),
              CONCATENATE(VLOOKUP(Sayfa1!E28,'ÜRÜN ÖZELLİKLERİ'!E22:F28,2,0)," ", Sayfa1!F29),
                              IF(
                  AND(Sayfa1!E28="Seçiniz.",
                    OR(Sayfa1!E29&lt;&gt;"Seçiniz.", Sayfa1!E29&lt;&gt;"", Sayfa1!E29&lt;&gt;"DİĞER")),
                  CONCATENATE(VLOOKUP(Sayfa1!E29, 'ÜRÜN ÖZELLİKLERİ'!O15:P19,2,0)," ", Sayfa1!F29),
                  IF(
                    AND(Sayfa1!E28="DİĞER",
                      OR(Sayfa1!E29&lt;&gt;"Seçiniz.", Sayfa1!E29&lt;&gt;"", Sayfa1!E29&lt;&gt;"DİĞER")),
                    CONCATENATE(Sayfa1!F28," ", VLOOKUP(Sayfa1!E29, 'ÜRÜN ÖZELLİKLERİ'!O15:P19,2,0)),
                    IF(
                      AND(Sayfa1!E28&lt;&gt;"Seçiniz.",
                        Sayfa1!E29&lt;&gt;"Seçiniz.",
                        Sayfa1!E28&lt;&gt;"",
                        Sayfa1!E29&lt;&gt;"",
                        Sayfa1!E28&lt;&gt;"DİĞER",
                        Sayfa1!E29&lt;&gt;"DİĞER"),
                      CONCATENATE(VLOOKUP(Sayfa1!E28,'ÜRÜN ÖZELLİKLERİ'!E22:F28,2,0), " ", VLOOKUP(Sayfa1!E29, 'ÜRÜN ÖZELLİKLERİ'!O15:P19,2,0))
                    )
                  )
                )
              )
            )
          )
        )
      )
    )
  ),""
)</f>
        <v/>
      </c>
      <c r="G70" s="245" t="str">
        <f>IF(
  OR(
    VALUE(RIGHT(Sayfa1!C2,1)) &gt; 3,
    VALUE(RIGHT(Sayfa1!C2,1)) = 3
  ),
  IF(
    AND(Sayfa1!G28="DİĞER", Sayfa1!G29="DİĞER"),
    CONCATENATE(Sayfa1!H28, " ", Sayfa1!H29),
    IF(
      AND(Sayfa1!G28="Seçiniz.", Sayfa1!G29="Seçiniz."),
      "",
      IF(
        AND(Sayfa1!G28="", Sayfa1!G29=""),
        "",
        IF(
          AND(Sayfa1!G28="Seçiniz.", Sayfa1!G29="DİĞER"),
          Sayfa1!H29,IF(
                AND(Sayfa1!G28="DİĞER",
                  OR(Sayfa1!G29="Seçiniz.",
                    Sayfa1!G29="")),
                Sayfa1!H28,
          IF(
            AND(Sayfa1!G29="Seçiniz.",
              OR(Sayfa1!G28&lt;&gt;"Seçiniz.", Sayfa1!G28&lt;&gt;"", Sayfa1!G28&lt;&gt;"DİĞER")),
            VLOOKUP(Sayfa1!G28,'ÜRÜN ÖZELLİKLERİ'!E22:F28,2,0),
            IF(
              AND(Sayfa1!G29="DİĞER",
                OR(Sayfa1!G28&lt;&gt;"Seçiniz.", Sayfa1!G28&lt;&gt;"",Sayfa1!G28&lt;&gt;"DİĞER")),
              CONCATENATE(VLOOKUP(Sayfa1!G28,'ÜRÜN ÖZELLİKLERİ'!E22:F28,2,0)," ", Sayfa1!H29),
                              IF(
                  AND(Sayfa1!G28="Seçiniz.",
                    OR(Sayfa1!G29&lt;&gt;"Seçiniz.", Sayfa1!G29&lt;&gt;"", Sayfa1!G29&lt;&gt;"DİĞER")),
                  CONCATENATE(VLOOKUP(Sayfa1!G29, 'ÜRÜN ÖZELLİKLERİ'!O15:P19,2,0)," ", Sayfa1!H29),
                  IF(
                    AND(Sayfa1!G28="DİĞER",
                      OR(Sayfa1!G29&lt;&gt;"Seçiniz.", Sayfa1!G29&lt;&gt;"", Sayfa1!G29&lt;&gt;"DİĞER")),
                    CONCATENATE(Sayfa1!H28," ", VLOOKUP(Sayfa1!G29, 'ÜRÜN ÖZELLİKLERİ'!O15:P19,2,0)),
                    IF(
                      AND(Sayfa1!G28&lt;&gt;"Seçiniz.",
                        Sayfa1!G29&lt;&gt;"Seçiniz.",
                        Sayfa1!G28&lt;&gt;"",
                        Sayfa1!G29&lt;&gt;"",
                        Sayfa1!G28&lt;&gt;"DİĞER",
                        Sayfa1!G29&lt;&gt;"DİĞER"),
                      CONCATENATE(VLOOKUP(Sayfa1!G28,'ÜRÜN ÖZELLİKLERİ'!E22:F28,2,0), " ", VLOOKUP(Sayfa1!G29, 'ÜRÜN ÖZELLİKLERİ'!O15:P19,2,0))
                    )
                  )
                )
              )
            )
          )
        )
      )
    )
  ),""
)</f>
        <v/>
      </c>
      <c r="H70" s="245" t="str">
        <f>IF(
  OR(
    VALUE(RIGHT(Sayfa1!C2,1)) &gt; 4,
    VALUE(RIGHT(Sayfa1!C2,1)) = 4
  ),
  IF(
    AND(Sayfa1!I28="DİĞER", Sayfa1!I29="DİĞER"),
    CONCATENATE(Sayfa1!J28, " ", Sayfa1!J29),
    IF(
      AND(Sayfa1!I28="Seçiniz.", Sayfa1!I29="Seçiniz."),
      "",
      IF(
        AND(Sayfa1!I28="", Sayfa1!I29=""),
        "",
        IF(
          AND(Sayfa1!I28="Seçiniz.", Sayfa1!I29="DİĞER"),
          Sayfa1!J29,IF(
                AND(Sayfa1!I28="DİĞER",
                  OR(Sayfa1!I29="Seçiniz.",
                    Sayfa1!I29="")),
                Sayfa1!J28,
          IF(
            AND(Sayfa1!I29="Seçiniz.",
              OR(Sayfa1!I28&lt;&gt;"Seçiniz.", Sayfa1!I28&lt;&gt;"", Sayfa1!I28&lt;&gt;"DİĞER")),
            VLOOKUP(Sayfa1!I28,'ÜRÜN ÖZELLİKLERİ'!E22:F28,2,0),
            IF(
              AND(Sayfa1!I29="DİĞER",
                OR(Sayfa1!I28&lt;&gt;"Seçiniz.", Sayfa1!I28&lt;&gt;"",Sayfa1!I28&lt;&gt;"DİĞER")),
              CONCATENATE(VLOOKUP(Sayfa1!I28,'ÜRÜN ÖZELLİKLERİ'!E22:F28,2,0)," ", Sayfa1!J29),
                              IF(
                  AND(Sayfa1!I28="Seçiniz.",
                    OR(Sayfa1!I29&lt;&gt;"Seçiniz.", Sayfa1!I29&lt;&gt;"", Sayfa1!I29&lt;&gt;"DİĞER")),
                  CONCATENATE(VLOOKUP(Sayfa1!I29, 'ÜRÜN ÖZELLİKLERİ'!O15:P19,2,0)," ", Sayfa1!J29),
                  IF(
                    AND(Sayfa1!I28="DİĞER",
                      OR(Sayfa1!I29&lt;&gt;"Seçiniz.", Sayfa1!I29&lt;&gt;"", Sayfa1!I29&lt;&gt;"DİĞER")),
                    CONCATENATE(Sayfa1!J28," ", VLOOKUP(Sayfa1!I29, 'ÜRÜN ÖZELLİKLERİ'!O15:P19,2,0)),
                    IF(
                      AND(Sayfa1!I28&lt;&gt;"Seçiniz.",
                        Sayfa1!I29&lt;&gt;"Seçiniz.",
                        Sayfa1!I28&lt;&gt;"",
                        Sayfa1!I29&lt;&gt;"",
                        Sayfa1!I28&lt;&gt;"DİĞER",
                        Sayfa1!I29&lt;&gt;"DİĞER"),
                      CONCATENATE(VLOOKUP(Sayfa1!I28,'ÜRÜN ÖZELLİKLERİ'!E22:F28,2,0), " ", VLOOKUP(Sayfa1!I29, 'ÜRÜN ÖZELLİKLERİ'!O15:P19,2,0))
                    )
                  )
                )
              )
            )
          )
        )
      )
    )
  ),""
)</f>
        <v/>
      </c>
      <c r="I70" s="643" t="str">
        <f>IF(
  OR(
    VALUE(RIGHT(Sayfa1!C2,1)) &gt; 5,
    VALUE(RIGHT(Sayfa1!C2,1)) = 5
  ),
  IF(
    AND(Sayfa1!K28="DİĞER", Sayfa1!K29="DİĞER"),
    CONCATENATE(Sayfa1!L28, " ", Sayfa1!L29),
    IF(
      AND(Sayfa1!K28="Seçiniz.", Sayfa1!K29="Seçiniz."),
      "",
      IF(
        AND(Sayfa1!K28="", Sayfa1!K29=""),
        "",
        IF(
          AND(Sayfa1!K28="Seçiniz.", Sayfa1!K29="DİĞER"),
          Sayfa1!L29,IF(
                AND(Sayfa1!K28="DİĞER",
                  OR(Sayfa1!K29="Seçiniz.",
                    Sayfa1!K29="")),
                Sayfa1!L28,
          IF(
            AND(Sayfa1!K29="Seçiniz.",
              OR(Sayfa1!K28&lt;&gt;"Seçiniz.", Sayfa1!K28&lt;&gt;"", Sayfa1!K28&lt;&gt;"DİĞER")),
            VLOOKUP(Sayfa1!K28,'ÜRÜN ÖZELLİKLERİ'!E22:F28,2,0),
            IF(
              AND(Sayfa1!K29="DİĞER",
                OR(Sayfa1!K28&lt;&gt;"Seçiniz.", Sayfa1!K28&lt;&gt;"",Sayfa1!K28&lt;&gt;"DİĞER")),
              CONCATENATE(VLOOKUP(Sayfa1!K28,'ÜRÜN ÖZELLİKLERİ'!E22:F28,2,0)," ", Sayfa1!L29),
                              IF(
                  AND(Sayfa1!K28="Seçiniz.",
                    OR(Sayfa1!K29&lt;&gt;"Seçiniz.", Sayfa1!K29&lt;&gt;"", Sayfa1!K29&lt;&gt;"DİĞER")),
                  CONCATENATE(VLOOKUP(Sayfa1!K29, 'ÜRÜN ÖZELLİKLERİ'!O15:P19,2,0)," ", Sayfa1!L29),
                  IF(
                    AND(Sayfa1!K28="DİĞER",
                      OR(Sayfa1!K29&lt;&gt;"Seçiniz.", Sayfa1!K29&lt;&gt;"", Sayfa1!K29&lt;&gt;"DİĞER")),
                    CONCATENATE(Sayfa1!L28," ", VLOOKUP(Sayfa1!K29, 'ÜRÜN ÖZELLİKLERİ'!O15:P19,2,0)),
                    IF(
                      AND(Sayfa1!K28&lt;&gt;"Seçiniz.",
                        Sayfa1!K29&lt;&gt;"Seçiniz.",
                        Sayfa1!K28&lt;&gt;"",
                        Sayfa1!K29&lt;&gt;"",
                        Sayfa1!K28&lt;&gt;"DİĞER",
                        Sayfa1!K29&lt;&gt;"DİĞER"),
                      CONCATENATE(VLOOKUP(Sayfa1!K28,'ÜRÜN ÖZELLİKLERİ'!E22:F28,2,0), " ", VLOOKUP(Sayfa1!K29, 'ÜRÜN ÖZELLİKLERİ'!O15:P19,2,0))
                    )
                  )
                )
              )
            )
          )
        )
      )
    )
  ),""
)</f>
        <v/>
      </c>
      <c r="J70" s="643"/>
      <c r="K70" s="245" t="str">
        <f>IF(
  OR(
    VALUE(RIGHT(Sayfa1!C2,1)) &gt; 6,
    VALUE(RIGHT(Sayfa1!C2,1)) = 6
  ),
  IF(
    AND(Sayfa1!M28="DİĞER", Sayfa1!M29="DİĞER"),
    CONCATENATE(Sayfa1!N28, " ", Sayfa1!N29),
    IF(
      AND(Sayfa1!M28="Seçiniz.", Sayfa1!M29="Seçiniz."),
      "",
      IF(
        AND(Sayfa1!M28="", Sayfa1!M29=""),
        "",
        IF(
          AND(Sayfa1!M28="Seçiniz.", Sayfa1!M29="DİĞER"),
          Sayfa1!N29,IF(
                AND(Sayfa1!M28="DİĞER",
                  OR(Sayfa1!M29="Seçiniz.",
                    Sayfa1!M29="")),
                Sayfa1!N28,
          IF(
            AND(Sayfa1!M29="Seçiniz.",
              OR(Sayfa1!M28&lt;&gt;"Seçiniz.", Sayfa1!M28&lt;&gt;"", Sayfa1!M28&lt;&gt;"DİĞER")),
            VLOOKUP(Sayfa1!M28,'ÜRÜN ÖZELLİKLERİ'!E22:F28,2,0),
            IF(
              AND(Sayfa1!M29="DİĞER",
                OR(Sayfa1!M28&lt;&gt;"Seçiniz.", Sayfa1!M28&lt;&gt;"",Sayfa1!M28&lt;&gt;"DİĞER")),
              CONCATENATE(VLOOKUP(Sayfa1!M28,'ÜRÜN ÖZELLİKLERİ'!E22:F28,2,0)," ", Sayfa1!N29),
                              IF(
                  AND(Sayfa1!M28="Seçiniz.",
                    OR(Sayfa1!M29&lt;&gt;"Seçiniz.", Sayfa1!M29&lt;&gt;"", Sayfa1!M29&lt;&gt;"DİĞER")),
                  CONCATENATE(VLOOKUP(Sayfa1!M29, 'ÜRÜN ÖZELLİKLERİ'!O15:P19,2,0)," ", Sayfa1!N29),
                  IF(
                    AND(Sayfa1!M28="DİĞER",
                      OR(Sayfa1!M29&lt;&gt;"Seçiniz.", Sayfa1!M29&lt;&gt;"", Sayfa1!M29&lt;&gt;"DİĞER")),
                    CONCATENATE(Sayfa1!N28," ", VLOOKUP(Sayfa1!M29, 'ÜRÜN ÖZELLİKLERİ'!O15:P19,2,0)),
                    IF(
                      AND(Sayfa1!M28&lt;&gt;"Seçiniz.",
                        Sayfa1!M29&lt;&gt;"Seçiniz.",
                        Sayfa1!M28&lt;&gt;"",
                        Sayfa1!M29&lt;&gt;"",
                        Sayfa1!M28&lt;&gt;"DİĞER",
                        Sayfa1!M29&lt;&gt;"DİĞER"),
                      CONCATENATE(VLOOKUP(Sayfa1!M28,'ÜRÜN ÖZELLİKLERİ'!E22:F28,2,0), " ", VLOOKUP(Sayfa1!M29, 'ÜRÜN ÖZELLİKLERİ'!O15:P19,2,0))
                    )
                  )
                )
              )
            )
          )
        )
      )
    )
  ),""
)</f>
        <v/>
      </c>
      <c r="L70" s="38"/>
      <c r="M70" s="114"/>
    </row>
    <row r="71" spans="2:13" s="7" customFormat="1" ht="17.399999999999999">
      <c r="B71" s="244"/>
      <c r="C71" s="248" t="s">
        <v>693</v>
      </c>
      <c r="D71" s="249"/>
      <c r="E71" s="245" t="str">
        <f>IF(OR(VALUE(RIGHT(Sayfa1!C2,1))&gt;1,VALUE(RIGHT(Sayfa1!C2,1))=1),IF(OR(Sayfa1!C30="Seçiniz.",ISBLANK(Sayfa1!C30))," ",IF(OR(Sayfa1!C30="PVC",Sayfa1!C30="PET"),IF(TEXT(RIGHT(Sayfa1!D30,2),"%")="%",CONCATENATE(Sayfa1!C30," ",Sayfa1!D30,"%"),CONCATENATE(Sayfa1!C30," ",Sayfa1!D30))))," ")</f>
        <v xml:space="preserve"> </v>
      </c>
      <c r="F71" s="245" t="str">
        <f>IF(OR(VALUE(RIGHT(Sayfa1!C2,1))&gt;2,VALUE(RIGHT(Sayfa1!C2,1))=2),IF(OR(Sayfa1!E30="Seçiniz.",ISBLANK(Sayfa1!E30))," ",IF(OR(Sayfa1!E30="PVC",Sayfa1!E30="PET"),IF(TEXT(RIGHT(Sayfa1!F30,2),"%")="%",CONCATENATE(Sayfa1!E30," ",Sayfa1!F30,"%"),CONCATENATE(Sayfa1!E30," ",Sayfa1!F30))))," ")</f>
        <v xml:space="preserve"> </v>
      </c>
      <c r="G71" s="245" t="str">
        <f>IF(OR(VALUE(RIGHT(Sayfa1!C2,1))&gt;3,VALUE(RIGHT(Sayfa1!C2,1))=3),IF(OR(Sayfa1!G30="Seçiniz.",ISBLANK(Sayfa1!G30))," ",IF(OR(Sayfa1!G30="PVC",Sayfa1!G30="PET"),IF(TEXT(RIGHT(Sayfa1!H30,2),"%")="%",CONCATENATE(Sayfa1!G30," ",Sayfa1!H30,"%"),CONCATENATE(Sayfa1!G30," ",Sayfa1!H30))))," ")</f>
        <v xml:space="preserve"> </v>
      </c>
      <c r="H71" s="245" t="str">
        <f>IF(OR(VALUE(RIGHT(Sayfa1!C2,1))&gt;4,VALUE(RIGHT(Sayfa1!C2,1))=4),IF(OR(Sayfa1!I30="Seçiniz.",ISBLANK(Sayfa1!I30))," ",IF(OR(Sayfa1!I30="PVC",Sayfa1!I30="PET"),IF(TEXT(RIGHT(Sayfa1!J30,2),"%")="%",CONCATENATE(Sayfa1!I30," ",Sayfa1!J30,"%"),CONCATENATE(Sayfa1!I30," ",Sayfa1!J30))))," ")</f>
        <v xml:space="preserve"> </v>
      </c>
      <c r="I71" s="643" t="str">
        <f>IF(OR(VALUE(RIGHT(Sayfa1!C2,1))&gt;5,VALUE(RIGHT(Sayfa1!C2,1))=5),IF(OR(Sayfa1!K30="Seçiniz.",ISBLANK(Sayfa1!K30))," ",IF(OR(Sayfa1!K30="PVC",Sayfa1!K30="PET"),IF(TEXT(RIGHT(Sayfa1!L30,2),"%")="%",CONCATENATE(Sayfa1!K30," ",Sayfa1!L30,"%"),CONCATENATE(Sayfa1!K30," ",Sayfa1!L30))))," ")</f>
        <v xml:space="preserve"> </v>
      </c>
      <c r="J71" s="643"/>
      <c r="K71" s="245" t="str">
        <f>IF(OR(VALUE(RIGHT(Sayfa1!C2,1))&gt;6,VALUE(RIGHT(Sayfa1!C2,1))=6),IF(OR(Sayfa1!M30="Seçiniz.",ISBLANK(Sayfa1!M30))," ",IF(OR(Sayfa1!M30="PVC",Sayfa1!M30="PET"),IF(TEXT(RIGHT(Sayfa1!N30,2),"%")="%",CONCATENATE(Sayfa1!M30," ",Sayfa1!N30,"%"),CONCATENATE(Sayfa1!M30," ",Sayfa1!N30))))," ")</f>
        <v xml:space="preserve"> </v>
      </c>
      <c r="L71" s="38"/>
      <c r="M71" s="114"/>
    </row>
    <row r="72" spans="2:13" s="51" customFormat="1" ht="17.399999999999999">
      <c r="B72" s="714" t="s">
        <v>124</v>
      </c>
      <c r="C72" s="714"/>
      <c r="D72" s="250"/>
      <c r="E72" s="251" t="str">
        <f>IF(OR(VALUE(RIGHT(Sayfa1!C2,1))&gt;1,VALUE(RIGHT(Sayfa1!C2,1))=1),IF(OR(Sayfa1!C31="Seçiniz",ISBLANK(Sayfa1!C31))," ",IF(Sayfa1!C31="VARAK YALDIZ",CONCATENATE(VLOOKUP(Sayfa1!C31,'ÜRÜN ÖZELLİKLERİ'!M2:N24,2,0)," ",Sayfa1!D31)))," ")</f>
        <v xml:space="preserve"> </v>
      </c>
      <c r="F72" s="245" t="str">
        <f>IF(OR(VALUE(RIGHT(Sayfa1!C2,1))&gt;2,VALUE(RIGHT(Sayfa1!C2,1))=2),IF(OR(Sayfa1!E31="Seçiniz",ISBLANK(Sayfa1!E31))," ",IF(Sayfa1!E31="VARAK YALDIZ",CONCATENATE(VLOOKUP(Sayfa1!E31,'ÜRÜN ÖZELLİKLERİ'!M2:N24,2,0)," ",Sayfa1!F31)))," ")</f>
        <v xml:space="preserve"> </v>
      </c>
      <c r="G72" s="245" t="str">
        <f>IF(OR(VALUE(RIGHT(Sayfa1!C2,1))&gt;3,VALUE(RIGHT(Sayfa1!C2,1))=3),IF(OR(Sayfa1!G31="Seçiniz",ISBLANK(Sayfa1!G31))," ",IF(Sayfa1!G31="VARAK YALDIZ",CONCATENATE(VLOOKUP(Sayfa1!G31,'ÜRÜN ÖZELLİKLERİ'!M2:N24,2,0)," ",Sayfa1!H31)))," ")</f>
        <v xml:space="preserve"> </v>
      </c>
      <c r="H72" s="245" t="str">
        <f>IF(OR(VALUE(RIGHT(Sayfa1!C2,1))&gt;4,VALUE(RIGHT(Sayfa1!C2,1))=4),IF(OR(Sayfa1!I31="Seçiniz",ISBLANK(Sayfa1!I31))," ",IF(Sayfa1!I31="VARAK YALDIZ",CONCATENATE(VLOOKUP(Sayfa1!I31,'ÜRÜN ÖZELLİKLERİ'!M2:N24,2,0)," ",Sayfa1!J31)))," ")</f>
        <v xml:space="preserve"> </v>
      </c>
      <c r="I72" s="643" t="str">
        <f>IF(OR(VALUE(RIGHT(Sayfa1!C2,1))&gt;5,VALUE(RIGHT(Sayfa1!C2,1))=5),IF(OR(Sayfa1!K31="Seçiniz",ISBLANK(Sayfa1!K31))," ",IF(Sayfa1!K31="VARAK YALDIZ",CONCATENATE(VLOOKUP(Sayfa1!K31,'ÜRÜN ÖZELLİKLERİ'!M2:N24,2,0)," ",Sayfa1!L31)))," ")</f>
        <v xml:space="preserve"> </v>
      </c>
      <c r="J72" s="643"/>
      <c r="K72" s="245" t="str">
        <f>IF(OR(VALUE(RIGHT(Sayfa1!C2,1))&gt;6,VALUE(RIGHT(Sayfa1!C2,1))=6),IF(OR(Sayfa1!M31="Seçiniz",ISBLANK(Sayfa1!M31))," ",IF(Sayfa1!M31="VARAK YALDIZ",CONCATENATE(VLOOKUP(Sayfa1!M31,'ÜRÜN ÖZELLİKLERİ'!M2:N24,2,0)," ",Sayfa1!N31)))," ")</f>
        <v xml:space="preserve"> </v>
      </c>
      <c r="L72" s="140"/>
    </row>
    <row r="73" spans="2:13" s="7" customFormat="1" ht="17.399999999999999">
      <c r="B73" s="715" t="s">
        <v>485</v>
      </c>
      <c r="C73" s="715"/>
      <c r="D73" s="247"/>
      <c r="E73" s="245" t="str">
        <f>IF(OR(VALUE(RIGHT(Sayfa1!C2,1))&gt;1,VALUE(RIGHT(Sayfa1!C2,1))=1),IF(OR(Sayfa1!C32="Seçiniz",ISBLANK(Sayfa1!C32))," ",IF(Sayfa1!C32="EMBOSS",IF(TEXT(RIGHT(Sayfa1!D32,2),"%")="%",CONCATENATE(Sayfa1!C32," ",Sayfa1!D32,"%"),CONCATENATE(Sayfa1!C32," ",Sayfa1!D32))))," ")</f>
        <v xml:space="preserve"> </v>
      </c>
      <c r="F73" s="245" t="str">
        <f>IF(OR(VALUE(RIGHT(Sayfa1!C2,1))&gt;2,VALUE(RIGHT(Sayfa1!C2,1))=2),IF(OR(Sayfa1!E32="Seçiniz",ISBLANK(Sayfa1!E32))," ",IF(Sayfa1!E32="EMBOSS",IF(TEXT(RIGHT(Sayfa1!F32,2),"%")="%",CONCATENATE(Sayfa1!E32," ",Sayfa1!F32,"%"),CONCATENATE(Sayfa1!E32," ",Sayfa1!F32))))," ")</f>
        <v xml:space="preserve"> </v>
      </c>
      <c r="G73" s="245" t="str">
        <f>IF(OR(VALUE(RIGHT(Sayfa1!C2,1))&gt;3,VALUE(RIGHT(Sayfa1!C2,1))=3),IF(OR(Sayfa1!G32="Seçiniz",ISBLANK(Sayfa1!G32))," ",IF(Sayfa1!G32="EMBOSS",IF(TEXT(RIGHT(Sayfa1!H32,2),"%")="%",CONCATENATE(Sayfa1!G32," ",Sayfa1!H32,"%"),CONCATENATE(Sayfa1!G32," ",Sayfa1!H32))))," ")</f>
        <v xml:space="preserve"> </v>
      </c>
      <c r="H73" s="245" t="str">
        <f>IF(OR(VALUE(RIGHT(Sayfa1!C2,1))&gt;4,VALUE(RIGHT(Sayfa1!C2,1))=4),IF(OR(Sayfa1!I32="Seçiniz",ISBLANK(Sayfa1!I32))," ",IF(Sayfa1!I32="EMBOSS",IF(TEXT(RIGHT(Sayfa1!J32,2),"%")="%",CONCATENATE(Sayfa1!I32," ",Sayfa1!J32,"%"),CONCATENATE(Sayfa1!I32," ",Sayfa1!J32))))," ")</f>
        <v xml:space="preserve"> </v>
      </c>
      <c r="I73" s="643" t="str">
        <f>IF(OR(VALUE(RIGHT(Sayfa1!C2,1))&gt;5,VALUE(RIGHT(Sayfa1!C2,1))=5),IF(OR(Sayfa1!K32="Seçiniz",ISBLANK(Sayfa1!K32))," ",IF(Sayfa1!K32="EMBOSS",IF(TEXT(RIGHT(Sayfa1!L32,2),"%")="%",CONCATENATE(Sayfa1!K32," ",Sayfa1!L32,"%"),CONCATENATE(Sayfa1!K32," ",Sayfa1!L32))))," ")</f>
        <v xml:space="preserve"> </v>
      </c>
      <c r="J73" s="643"/>
      <c r="K73" s="245" t="str">
        <f>IF(OR(VALUE(RIGHT(Sayfa1!C2,1))&gt;6,VALUE(RIGHT(Sayfa1!C2,1))=6),IF(OR(Sayfa1!M32="Seçiniz",ISBLANK(Sayfa1!M32))," ",IF(Sayfa1!M32="EMBOSS",IF(TEXT(RIGHT(Sayfa1!N32,2),"%")="%",CONCATENATE(Sayfa1!M32," ",Sayfa1!N32,"%"),CONCATENATE(Sayfa1!M32," ",Sayfa1!N32))))," ")</f>
        <v xml:space="preserve"> </v>
      </c>
      <c r="L73" s="38"/>
    </row>
    <row r="74" spans="2:13" s="7" customFormat="1" ht="17.399999999999999">
      <c r="B74" s="244"/>
      <c r="C74" s="246" t="s">
        <v>484</v>
      </c>
      <c r="D74" s="247"/>
      <c r="E74" s="245" t="str">
        <f>IF(OR(VALUE(RIGHT(Sayfa1!C2,1))&gt;1,VALUE(RIGHT(Sayfa1!C2,1))=1),IF(OR(Sayfa1!C33="Seçiniz",ISBLANK(Sayfa1!C33))," ",IF(Sayfa1!C33="DEBOSS",IF(TEXT(RIGHT(Sayfa1!D33,2),"%")="%",CONCATENATE(Sayfa1!C33," ",Sayfa1!D33,"%"),CONCATENATE(Sayfa1!C33," ",Sayfa1!D33))))," ")</f>
        <v xml:space="preserve"> </v>
      </c>
      <c r="F74" s="245" t="str">
        <f>IF(OR(VALUE(RIGHT(Sayfa1!C2,1))&gt;2,VALUE(RIGHT(Sayfa1!C2,1))=2),IF(OR(Sayfa1!E33="Seçiniz",ISBLANK(Sayfa1!E33))," ",IF(Sayfa1!E33="DEBOSS",IF(TEXT(RIGHT(Sayfa1!F33,2),"%")="%",CONCATENATE(Sayfa1!E33," ",Sayfa1!F33,"%"),CONCATENATE(Sayfa1!E33," ",Sayfa1!F33))))," ")</f>
        <v xml:space="preserve"> </v>
      </c>
      <c r="G74" s="245" t="str">
        <f>IF(OR(VALUE(RIGHT(Sayfa1!C2,1))&gt;3,VALUE(RIGHT(Sayfa1!C2,1))=3),IF(OR(Sayfa1!G33="Seçiniz",ISBLANK(Sayfa1!G33))," ",IF(Sayfa1!G33="DEBOSS",IF(TEXT(RIGHT(Sayfa1!H33,2),"%")="%",CONCATENATE(Sayfa1!G33," ",Sayfa1!H33,"%"),CONCATENATE(Sayfa1!G33," ",Sayfa1!H33))))," ")</f>
        <v xml:space="preserve"> </v>
      </c>
      <c r="H74" s="245" t="str">
        <f>IF(OR(VALUE(RIGHT(Sayfa1!C2,1))&gt;4,VALUE(RIGHT(Sayfa1!C2,1))=4),IF(OR(Sayfa1!I33="Seçiniz",ISBLANK(Sayfa1!I33))," ",IF(Sayfa1!I33="DEBOSS",IF(TEXT(RIGHT(Sayfa1!J33,2),"%")="%",CONCATENATE(Sayfa1!I33," ",Sayfa1!J33,"%"),CONCATENATE(Sayfa1!I33," ",Sayfa1!J33))))," ")</f>
        <v xml:space="preserve"> </v>
      </c>
      <c r="I74" s="643" t="str">
        <f>IF(OR(VALUE(RIGHT(Sayfa1!C2,1))&gt;5,VALUE(RIGHT(Sayfa1!C2,1))=5),IF(OR(Sayfa1!K33="Seçiniz",ISBLANK(Sayfa1!K33))," ",IF(Sayfa1!K33="DEBOSS",IF(TEXT(RIGHT(Sayfa1!L33,2),"%")="%",CONCATENATE(Sayfa1!K33," ",Sayfa1!L33,"%"),CONCATENATE(Sayfa1!K33," ",Sayfa1!L33))))," ")</f>
        <v xml:space="preserve"> </v>
      </c>
      <c r="J74" s="643"/>
      <c r="K74" s="245" t="str">
        <f>IF(OR(VALUE(RIGHT(Sayfa1!C2,1))&gt;6,VALUE(RIGHT(Sayfa1!C2,1))=6),IF(OR(Sayfa1!M33="Seçiniz",ISBLANK(Sayfa1!M33))," ",IF(Sayfa1!M33="DEBOSS",IF(TEXT(RIGHT(Sayfa1!N33,2),"%")="%",CONCATENATE(Sayfa1!M33," ",Sayfa1!N33,"%"),CONCATENATE(Sayfa1!M33," ",Sayfa1!N33))))," ")</f>
        <v xml:space="preserve"> </v>
      </c>
      <c r="L74" s="38"/>
    </row>
    <row r="75" spans="2:13" s="7" customFormat="1" ht="17.399999999999999">
      <c r="B75" s="244"/>
      <c r="C75" s="717" t="s">
        <v>515</v>
      </c>
      <c r="D75" s="718"/>
      <c r="E75" s="245" t="str">
        <f>IF(OR(VALUE(RIGHT(Sayfa1!C2,1))&gt;1,VALUE(RIGHT(Sayfa1!C2,1))=1),IF(OR(Sayfa1!C34="Seçiniz",ISBLANK(Sayfa1!C34))," ",IF(Sayfa1!C34="GREN",CONCATENATE(VLOOKUP(Sayfa1!C34,'ÜRÜN ÖZELLİKLERİ'!M2:N24,2,0)," ",Sayfa1!D34)))," ")</f>
        <v xml:space="preserve"> </v>
      </c>
      <c r="F75" s="245" t="str">
        <f>IF(OR(VALUE(RIGHT(Sayfa1!C2,1))&gt;2,VALUE(RIGHT(Sayfa1!C2,1))=2),IF(OR(Sayfa1!E34="Seçiniz",ISBLANK(Sayfa1!E34))," ",IF(Sayfa1!E34="GREN",CONCATENATE(VLOOKUP(Sayfa1!E34,'ÜRÜN ÖZELLİKLERİ'!M2:N24,2,0)," ",Sayfa1!F34)))," ")</f>
        <v xml:space="preserve"> </v>
      </c>
      <c r="G75" s="245" t="str">
        <f>IF(OR(VALUE(RIGHT(Sayfa1!C2,1))&gt;3,VALUE(RIGHT(Sayfa1!C2,1))=3),IF(OR(Sayfa1!G34="Seçiniz",ISBLANK(Sayfa1!G34))," ",IF(Sayfa1!G34="GREN",CONCATENATE(VLOOKUP(Sayfa1!G34,'ÜRÜN ÖZELLİKLERİ'!M2:N24,2,0)," ",Sayfa1!H34)))," ")</f>
        <v xml:space="preserve"> </v>
      </c>
      <c r="H75" s="245" t="str">
        <f>IF(OR(VALUE(RIGHT(Sayfa1!C2,1))&gt;4,VALUE(RIGHT(Sayfa1!C2,1))=4),IF(OR(Sayfa1!I34="Seçiniz",ISBLANK(Sayfa1!I34))," ",IF(Sayfa1!I34="GREN",CONCATENATE(VLOOKUP(Sayfa1!I34,'ÜRÜN ÖZELLİKLERİ'!M2:N24,2,0)," ",Sayfa1!J34)))," ")</f>
        <v xml:space="preserve"> </v>
      </c>
      <c r="I75" s="643" t="str">
        <f>IF(OR(VALUE(RIGHT(Sayfa1!C2,1))&gt;5,VALUE(RIGHT(Sayfa1!C2,1))=5),IF(OR(Sayfa1!K34="Seçiniz",ISBLANK(Sayfa1!K34))," ",IF(Sayfa1!K34="GREN",CONCATENATE(VLOOKUP(Sayfa1!K34,'ÜRÜN ÖZELLİKLERİ'!M2:N24,2,0)," ",Sayfa1!L34)))," ")</f>
        <v xml:space="preserve"> </v>
      </c>
      <c r="J75" s="643"/>
      <c r="K75" s="245" t="str">
        <f>IF(OR(VALUE(RIGHT(Sayfa1!C2,1))&gt;6,VALUE(RIGHT(Sayfa1!C2,1))=6),IF(OR(Sayfa1!M34="Seçiniz",ISBLANK(Sayfa1!M34))," ",IF(Sayfa1!M34="GREN",CONCATENATE(VLOOKUP(Sayfa1!M34,'ÜRÜN ÖZELLİKLERİ'!M2:N24,2,0)," ",Sayfa1!N34)))," ")</f>
        <v xml:space="preserve"> </v>
      </c>
      <c r="L75" s="38"/>
    </row>
    <row r="76" spans="2:13" s="7" customFormat="1" ht="17.399999999999999">
      <c r="B76" s="684" t="s">
        <v>514</v>
      </c>
      <c r="C76" s="684"/>
      <c r="D76" s="242"/>
      <c r="E76" s="245" t="str">
        <f>IF(OR(VALUE(RIGHT(Sayfa1!C2,1))&gt;1,VALUE(RIGHT(Sayfa1!C2,1))=1),IF(OR(Sayfa1!C35="Seçiniz",ISBLANK(Sayfa1!C35))," ",IF(Sayfa1!C35="KUŞGÖZÜ",CONCATENATE(VLOOKUP(Sayfa1!C35,'ÜRÜN ÖZELLİKLERİ'!M2:N24,2,0)," ",Sayfa1!D35)))," ")</f>
        <v xml:space="preserve"> </v>
      </c>
      <c r="F76" s="252" t="str">
        <f>IF(OR(VALUE(RIGHT(Sayfa1!C2,1))&gt;2,VALUE(RIGHT(Sayfa1!C2,1))=2),IF(OR(Sayfa1!E35="Seçiniz",ISBLANK(Sayfa1!E35))," ",IF(Sayfa1!E35="KUŞGÖZÜ",CONCATENATE(VLOOKUP(Sayfa1!E35,'ÜRÜN ÖZELLİKLERİ'!M2:N24,2,0)," ",Sayfa1!F35)))," ")</f>
        <v xml:space="preserve"> </v>
      </c>
      <c r="G76" s="252" t="str">
        <f>IF(OR(VALUE(RIGHT(Sayfa1!C2,1))&gt;3,VALUE(RIGHT(Sayfa1!C2,1))=3),IF(OR(Sayfa1!G35="Seçiniz",ISBLANK(Sayfa1!G35))," ",IF(Sayfa1!G35="KUŞGÖZÜ",CONCATENATE(VLOOKUP(Sayfa1!G35,'ÜRÜN ÖZELLİKLERİ'!M2:N24,2,0)," ",Sayfa1!H35)))," ")</f>
        <v xml:space="preserve"> </v>
      </c>
      <c r="H76" s="252" t="str">
        <f>IF(OR(VALUE(RIGHT(Sayfa1!C2,1))&gt;4,VALUE(RIGHT(Sayfa1!C2,1))=4),IF(OR(Sayfa1!I35="Seçiniz",ISBLANK(Sayfa1!I35))," ",IF(Sayfa1!I35="KUŞGÖZÜ",CONCATENATE(VLOOKUP(Sayfa1!I35,'ÜRÜN ÖZELLİKLERİ'!M2:N24,2,0)," ",Sayfa1!J35)))," ")</f>
        <v xml:space="preserve"> </v>
      </c>
      <c r="I76" s="647" t="str">
        <f>IF(OR(VALUE(RIGHT(Sayfa1!C2,1))&gt;5,VALUE(RIGHT(Sayfa1!C2,1))=5),IF(OR(Sayfa1!K35="Seçiniz",ISBLANK(Sayfa1!K35))," ",IF(Sayfa1!K35="KUŞGÖZÜ",CONCATENATE(VLOOKUP(Sayfa1!K35,'ÜRÜN ÖZELLİKLERİ'!M2:N24,2,0)," ",Sayfa1!L35)))," ")</f>
        <v xml:space="preserve"> </v>
      </c>
      <c r="J76" s="647"/>
      <c r="K76" s="252" t="str">
        <f>IF(OR(VALUE(RIGHT(Sayfa1!C2,1))&gt;6,VALUE(RIGHT(Sayfa1!C2,1))=6),IF(OR(Sayfa1!M35="Seçiniz",ISBLANK(Sayfa1!M35))," ",IF(Sayfa1!M35="KUŞGÖZÜ",CONCATENATE(VLOOKUP(Sayfa1!M35,'ÜRÜN ÖZELLİKLERİ'!M2:N24,2,0)," ",Sayfa1!N35)))," ")</f>
        <v xml:space="preserve"> </v>
      </c>
      <c r="L76" s="38"/>
    </row>
    <row r="77" spans="2:13" s="7" customFormat="1" ht="17.399999999999999">
      <c r="B77" s="684" t="s">
        <v>501</v>
      </c>
      <c r="C77" s="684"/>
      <c r="D77" s="242"/>
      <c r="E77" s="245" t="str">
        <f>IF(OR(VALUE(RIGHT(Sayfa1!C2,1))&gt;1,VALUE(RIGHT(Sayfa1!C2,1))=1),IF(OR(Sayfa1!C36="Seçiniz",ISBLANK(Sayfa1!C36))," ",IF(Sayfa1!C36="LOKAL LAK",IF(TEXT(RIGHT(Sayfa1!D36,2),"%")="%",CONCATENATE(VLOOKUP(Sayfa1!C36,'ÜRÜN ÖZELLİKLERİ'!M2:N24,2,0)," ",Sayfa1!D36,"%"),CONCATENATE(VLOOKUP(Sayfa1!C36,'ÜRÜN ÖZELLİKLERİ'!M2:N24,2,0)," ",Sayfa1!D36))))," ")</f>
        <v xml:space="preserve"> </v>
      </c>
      <c r="F77" s="245" t="str">
        <f>IF(OR(VALUE(RIGHT(Sayfa1!C2,1))&gt;2,VALUE(RIGHT(Sayfa1!C2,1))=2),IF(OR(Sayfa1!E36="Seçiniz",ISBLANK(Sayfa1!E36))," ",IF(Sayfa1!E36="LOKAL LAK",IF(TEXT(RIGHT(Sayfa1!F36,2),"%")="%",CONCATENATE(VLOOKUP(Sayfa1!E36,'ÜRÜN ÖZELLİKLERİ'!M2:N24,2,0)," ",Sayfa1!F36,"%"),CONCATENATE(VLOOKUP(Sayfa1!E36,'ÜRÜN ÖZELLİKLERİ'!M2:N24,2,0)," ",Sayfa1!F36))))," ")</f>
        <v xml:space="preserve"> </v>
      </c>
      <c r="G77" s="245" t="str">
        <f>IF(OR(VALUE(RIGHT(Sayfa1!C2,1))&gt;3,VALUE(RIGHT(Sayfa1!C2,1))=3),IF(OR(Sayfa1!G36="Seçiniz",ISBLANK(Sayfa1!G36))," ",IF(Sayfa1!G36="LOKAL LAK",IF(TEXT(RIGHT(Sayfa1!H36,2),"%")="%",CONCATENATE(VLOOKUP(Sayfa1!G36,'ÜRÜN ÖZELLİKLERİ'!M2:N24,2,0)," ",Sayfa1!H36,"%"),CONCATENATE(VLOOKUP(Sayfa1!G36,'ÜRÜN ÖZELLİKLERİ'!M2:N24,2,0)," ",Sayfa1!H36))))," ")</f>
        <v xml:space="preserve"> </v>
      </c>
      <c r="H77" s="245" t="str">
        <f>IF(OR(VALUE(RIGHT(Sayfa1!C2,1))&gt;4,VALUE(RIGHT(Sayfa1!C2,1))=4),IF(OR(Sayfa1!I36="Seçiniz",ISBLANK(Sayfa1!I36))," ",IF(Sayfa1!I36="LOKAL LAK",IF(TEXT(RIGHT(Sayfa1!J36,2),"%")="%",CONCATENATE(VLOOKUP(Sayfa1!I36,'ÜRÜN ÖZELLİKLERİ'!M2:N24,2,0)," ",Sayfa1!J36,"%"),CONCATENATE(VLOOKUP(Sayfa1!I36,'ÜRÜN ÖZELLİKLERİ'!M2:N24,2,0)," ",Sayfa1!J36))))," ")</f>
        <v xml:space="preserve"> </v>
      </c>
      <c r="I77" s="643" t="str">
        <f>IF(OR(VALUE(RIGHT(Sayfa1!C2,1))&gt;5,VALUE(RIGHT(Sayfa1!C2,1))=5),IF(OR(Sayfa1!K36="Seçiniz",ISBLANK(Sayfa1!K36))," ",IF(Sayfa1!K36="LOKAL LAK",IF(TEXT(RIGHT(Sayfa1!L36,2),"%")="%",CONCATENATE(VLOOKUP(Sayfa1!K36,'ÜRÜN ÖZELLİKLERİ'!M2:N24,2,0)," ",Sayfa1!L36,"%"),CONCATENATE(VLOOKUP(Sayfa1!K36,'ÜRÜN ÖZELLİKLERİ'!M2:N24,2,0)," ",Sayfa1!L36))))," ")</f>
        <v xml:space="preserve"> </v>
      </c>
      <c r="J77" s="643"/>
      <c r="K77" s="245" t="str">
        <f>IF(OR(VALUE(RIGHT(Sayfa1!C2,1))&gt;6,VALUE(RIGHT(Sayfa1!C2,1))=6),IF(OR(Sayfa1!M36="Seçiniz",ISBLANK(Sayfa1!M36))," ",IF(Sayfa1!M36="LOKAL LAK",IF(TEXT(RIGHT(Sayfa1!N36,2),"%")="%",CONCATENATE(VLOOKUP(Sayfa1!M36,'ÜRÜN ÖZELLİKLERİ'!M2:N24,2,0)," ",Sayfa1!N36,"%"),CONCATENATE(VLOOKUP(Sayfa1!M36,'ÜRÜN ÖZELLİKLERİ'!M2:N24,2,0)," ",Sayfa1!N36))))," ")</f>
        <v xml:space="preserve"> </v>
      </c>
      <c r="L77" s="38"/>
    </row>
    <row r="78" spans="2:13" s="7" customFormat="1" ht="17.399999999999999">
      <c r="B78" s="244"/>
      <c r="C78" s="244" t="s">
        <v>482</v>
      </c>
      <c r="D78" s="242"/>
      <c r="E78" s="245" t="str">
        <f>IF(OR(VALUE(RIGHT(Sayfa1!C2,1))&gt;1,VALUE(RIGHT(Sayfa1!C2,1))=1),IF(OR(Sayfa1!C37="Seçiniz",ISBLANK(Sayfa1!C37))," ",IF(Sayfa1!C37="YÜKSEK LAK",IF(TEXT(RIGHT(Sayfa1!D37,2),"%")="%",CONCATENATE(VLOOKUP(Sayfa1!C37,'ÜRÜN ÖZELLİKLERİ'!M2:N24,2,0)," ",Sayfa1!D37,"%"),CONCATENATE(VLOOKUP(Sayfa1!C37,'ÜRÜN ÖZELLİKLERİ'!M2:N24,2,0)," ",Sayfa1!D37))))," ")</f>
        <v xml:space="preserve"> </v>
      </c>
      <c r="F78" s="245" t="str">
        <f>IF(OR(VALUE(RIGHT(Sayfa1!C2,1))&gt;2,VALUE(RIGHT(Sayfa1!C2,1))=2),IF(OR(Sayfa1!E37="Seçiniz",ISBLANK(Sayfa1!E37))," ",IF(Sayfa1!E37="YÜKSEK LAK",IF(TEXT(RIGHT(Sayfa1!F37,2),"%")="%",CONCATENATE(VLOOKUP(Sayfa1!E37,'ÜRÜN ÖZELLİKLERİ'!M2:N24,2,0)," ",Sayfa1!F37,"%"),CONCATENATE(VLOOKUP(Sayfa1!E37,'ÜRÜN ÖZELLİKLERİ'!M2:N24,2,0)," ",Sayfa1!F37))))," ")</f>
        <v xml:space="preserve"> </v>
      </c>
      <c r="G78" s="245" t="str">
        <f>IF(OR(VALUE(RIGHT(Sayfa1!C2,1))&gt;3,VALUE(RIGHT(Sayfa1!C2,1))=3),IF(OR(Sayfa1!G37="Seçiniz",ISBLANK(Sayfa1!G37))," ",IF(Sayfa1!G37="YÜKSEK LAK",IF(TEXT(RIGHT(Sayfa1!H37,2),"%")="%",CONCATENATE(VLOOKUP(Sayfa1!G37,'ÜRÜN ÖZELLİKLERİ'!M2:N24,2,0)," ",Sayfa1!H37,"%"),CONCATENATE(VLOOKUP(Sayfa1!G37,'ÜRÜN ÖZELLİKLERİ'!M2:N24,2,0)," ",Sayfa1!H37))))," ")</f>
        <v xml:space="preserve"> </v>
      </c>
      <c r="H78" s="245" t="str">
        <f>IF(OR(VALUE(RIGHT(Sayfa1!C2,1))&gt;4,VALUE(RIGHT(Sayfa1!C2,1))=4),IF(OR(Sayfa1!I37="Seçiniz",ISBLANK(Sayfa1!I37))," ",IF(Sayfa1!I37="YÜKSEK LAK",IF(TEXT(RIGHT(Sayfa1!J37,2),"%")="%",CONCATENATE(VLOOKUP(Sayfa1!I37,'ÜRÜN ÖZELLİKLERİ'!M2:N24,2,0)," ",Sayfa1!J37,"%"),CONCATENATE(VLOOKUP(Sayfa1!I37,'ÜRÜN ÖZELLİKLERİ'!M2:N24,2,0)," ",Sayfa1!J37))))," ")</f>
        <v xml:space="preserve"> </v>
      </c>
      <c r="I78" s="643" t="str">
        <f>IF(OR(VALUE(RIGHT(Sayfa1!C2,1))&gt;5,VALUE(RIGHT(Sayfa1!C2,1))=5),IF(OR(Sayfa1!K37="Seçiniz",ISBLANK(Sayfa1!K37))," ",IF(Sayfa1!K37="YÜKSEK LAK",IF(TEXT(RIGHT(Sayfa1!L37,2),"%")="%",CONCATENATE(VLOOKUP(Sayfa1!K37,'ÜRÜN ÖZELLİKLERİ'!M2:N24,2,0)," ",Sayfa1!L37,"%"),CONCATENATE(VLOOKUP(Sayfa1!K37,'ÜRÜN ÖZELLİKLERİ'!M2:N24,2,0)," ",Sayfa1!L37))))," ")</f>
        <v xml:space="preserve"> </v>
      </c>
      <c r="J78" s="643"/>
      <c r="K78" s="245" t="str">
        <f>IF(OR(VALUE(RIGHT(Sayfa1!C2,1))&gt;6,VALUE(RIGHT(Sayfa1!C2,1))=6),IF(OR(Sayfa1!M37="Seçiniz",ISBLANK(Sayfa1!M37))," ",IF(Sayfa1!M37="YÜKSEK LAK",IF(TEXT(RIGHT(Sayfa1!N37,2),"%")="%",CONCATENATE(VLOOKUP(Sayfa1!M37,'ÜRÜN ÖZELLİKLERİ'!M2:N24,2,0)," ",Sayfa1!N37,"%"),CONCATENATE(VLOOKUP(Sayfa1!M37,'ÜRÜN ÖZELLİKLERİ'!M2:N24,2,0)," ",Sayfa1!N37))))," ")</f>
        <v xml:space="preserve"> </v>
      </c>
      <c r="L78" s="38"/>
    </row>
    <row r="79" spans="2:13" s="7" customFormat="1" ht="29.4" customHeight="1">
      <c r="B79" s="244"/>
      <c r="C79" s="246" t="s">
        <v>517</v>
      </c>
      <c r="D79" s="242"/>
      <c r="E79" s="245" t="str">
        <f>IF(OR(VALUE(RIGHT(Sayfa1!C2,1))&gt;1,VALUE(RIGHT(Sayfa1!C2,1))=1),IF(OR(Sayfa1!C38="Seçiniz",ISBLANK(Sayfa1!C38))," ",IF(Sayfa1!C38="PVC EURO KANCA",CONCATENATE(VLOOKUP(Sayfa1!C38,'ÜRÜN ÖZELLİKLERİ'!M2:N24,2,0)," ",Sayfa1!D38)))," ")</f>
        <v xml:space="preserve"> </v>
      </c>
      <c r="F79" s="245" t="str">
        <f>IF(OR(VALUE(RIGHT(Sayfa1!C2,1))&gt;2,VALUE(RIGHT(Sayfa1!C2,1))=2),IF(OR(Sayfa1!E38="Seçiniz",ISBLANK(Sayfa1!E38))," ",IF(Sayfa1!E38="PVC EURO KANCA",CONCATENATE(VLOOKUP(Sayfa1!E38,'ÜRÜN ÖZELLİKLERİ'!M2:N24,2,0)," ",Sayfa1!F38)))," ")</f>
        <v xml:space="preserve"> </v>
      </c>
      <c r="G79" s="245" t="str">
        <f>IF(OR(VALUE(RIGHT(Sayfa1!C2,1))&gt;3,VALUE(RIGHT(Sayfa1!C2,1))=3),IF(OR(Sayfa1!G38="Seçiniz",ISBLANK(Sayfa1!G38))," ",IF(Sayfa1!G38="PVC EURO KANCA",CONCATENATE(VLOOKUP(Sayfa1!G38,'ÜRÜN ÖZELLİKLERİ'!M2:N24,2,0)," ",Sayfa1!H38)))," ")</f>
        <v xml:space="preserve"> </v>
      </c>
      <c r="H79" s="245" t="str">
        <f>IF(OR(VALUE(RIGHT(Sayfa1!C2,1))&gt;4,VALUE(RIGHT(Sayfa1!C2,1))=4),IF(OR(Sayfa1!I38="Seçiniz",ISBLANK(Sayfa1!I38))," ",IF(Sayfa1!I38="PVC EURO KANCA",CONCATENATE(VLOOKUP(Sayfa1!I38,'ÜRÜN ÖZELLİKLERİ'!M2:N24,2,0)," ",Sayfa1!J38)))," ")</f>
        <v xml:space="preserve"> </v>
      </c>
      <c r="I79" s="643" t="str">
        <f>IF(OR(VALUE(RIGHT(Sayfa1!C2,1))&gt;5,VALUE(RIGHT(Sayfa1!C2,1))=5),IF(OR(Sayfa1!K38="Seçiniz",ISBLANK(Sayfa1!K38))," ",IF(Sayfa1!K38="PVC EURO KANCA",CONCATENATE(VLOOKUP(Sayfa1!K38,'ÜRÜN ÖZELLİKLERİ'!M2:N24,2,0)," ",Sayfa1!L38)))," ")</f>
        <v xml:space="preserve"> </v>
      </c>
      <c r="J79" s="643"/>
      <c r="K79" s="245" t="str">
        <f>IF(OR(VALUE(RIGHT(Sayfa1!C2,1))&gt;6,VALUE(RIGHT(Sayfa1!C2,1))=6),IF(OR(Sayfa1!M38="Seçiniz",ISBLANK(Sayfa1!M38))," ",IF(Sayfa1!M38="PVC EURO KANCA",CONCATENATE(VLOOKUP(Sayfa1!M38,'ÜRÜN ÖZELLİKLERİ'!M2:N24,2,0)," ",Sayfa1!N38)))," ")</f>
        <v xml:space="preserve"> </v>
      </c>
      <c r="L79" s="38"/>
    </row>
    <row r="80" spans="2:13" s="7" customFormat="1" ht="17.399999999999999">
      <c r="B80" s="244"/>
      <c r="C80" s="244" t="s">
        <v>518</v>
      </c>
      <c r="D80" s="242"/>
      <c r="E80" s="245" t="str">
        <f>IF(OR(VALUE(RIGHT(Sayfa1!C2,1))&gt;1,VALUE(RIGHT(Sayfa1!C2,1))=1),IF(OR(Sayfa1!C39="Seçiniz",ISBLANK(Sayfa1!C39))," ",IF(Sayfa1!C39="KARTON EURO KANCA",CONCATENATE(VLOOKUP(Sayfa1!C39,'ÜRÜN ÖZELLİKLERİ'!M2:N24,2,0)," ",Sayfa1!D39)))," ")</f>
        <v xml:space="preserve"> </v>
      </c>
      <c r="F80" s="245" t="str">
        <f>IF(OR(VALUE(RIGHT(Sayfa1!C2,1))&gt;2,VALUE(RIGHT(Sayfa1!C2,1))=2),IF(OR(Sayfa1!E39="Seçiniz",ISBLANK(Sayfa1!E39))," ",IF(Sayfa1!E39="KARTON EURO KANCA",CONCATENATE(VLOOKUP(Sayfa1!E39,'ÜRÜN ÖZELLİKLERİ'!M2:N24,2,0)," ",Sayfa1!F39)))," ")</f>
        <v xml:space="preserve"> </v>
      </c>
      <c r="G80" s="245" t="str">
        <f>IF(OR(VALUE(RIGHT(Sayfa1!C2,1))&gt;3,VALUE(RIGHT(Sayfa1!C2,1))=3),IF(OR(Sayfa1!G39="Seçiniz",ISBLANK(Sayfa1!G39))," ",IF(Sayfa1!G39="KARTON EURO KANCA",CONCATENATE(VLOOKUP(Sayfa1!G39,'ÜRÜN ÖZELLİKLERİ'!M2:N24,2,0)," ",Sayfa1!H39)))," ")</f>
        <v xml:space="preserve"> </v>
      </c>
      <c r="H80" s="245" t="str">
        <f>IF(OR(VALUE(RIGHT(Sayfa1!C2,1))&gt;4,VALUE(RIGHT(Sayfa1!C2,1))=4),IF(OR(Sayfa1!I39="Seçiniz",ISBLANK(Sayfa1!I39))," ",IF(Sayfa1!I39="KARTON EURO KANCA",CONCATENATE(VLOOKUP(Sayfa1!I39,'ÜRÜN ÖZELLİKLERİ'!M2:N24,2,0)," ",Sayfa1!J39)))," ")</f>
        <v xml:space="preserve"> </v>
      </c>
      <c r="I80" s="643" t="str">
        <f>IF(OR(VALUE(RIGHT(Sayfa1!C2,1))&gt;5,VALUE(RIGHT(Sayfa1!C2,1))=5),IF(OR(Sayfa1!K39="Seçiniz",ISBLANK(Sayfa1!K39))," ",IF(Sayfa1!K39="KARTON EURO KANCA",CONCATENATE(VLOOKUP(Sayfa1!K39,'ÜRÜN ÖZELLİKLERİ'!M2:N24,2,0)," ",Sayfa1!L39)))," ")</f>
        <v xml:space="preserve"> </v>
      </c>
      <c r="J80" s="643"/>
      <c r="K80" s="245" t="str">
        <f>IF(OR(VALUE(RIGHT(Sayfa1!C2,1))&gt;6,VALUE(RIGHT(Sayfa1!C2,1))=6),IF(OR(Sayfa1!M39="Seçiniz",ISBLANK(Sayfa1!M39))," ",IF(Sayfa1!M39="KARTON EURO KANCA",CONCATENATE(VLOOKUP(Sayfa1!M39,'ÜRÜN ÖZELLİKLERİ'!M2:N24,2,0)," ",Sayfa1!N39)))," ")</f>
        <v xml:space="preserve"> </v>
      </c>
      <c r="L80" s="38"/>
    </row>
    <row r="81" spans="2:13" s="7" customFormat="1" ht="29.25" customHeight="1">
      <c r="B81" s="244"/>
      <c r="C81" s="246" t="s">
        <v>483</v>
      </c>
      <c r="D81" s="242"/>
      <c r="E81" s="245" t="str">
        <f>IF(OR(VALUE(RIGHT(Sayfa1!C2,1))&gt;1,VALUE(RIGHT(Sayfa1!C2,1))=1),IF(OR(Sayfa1!C40="Seçiniz",ISBLANK(Sayfa1!C40))," ",IF(Sayfa1!C40="ÇİFT TARAFLI BANT",CONCATENATE(VLOOKUP(Sayfa1!C40,'ÜRÜN ÖZELLİKLERİ'!M2:N24,2,0)," ",Sayfa1!D40)))," ")</f>
        <v xml:space="preserve"> </v>
      </c>
      <c r="F81" s="245" t="str">
        <f>IF(OR(VALUE(RIGHT(Sayfa1!C2,1))&gt;2,VALUE(RIGHT(Sayfa1!C2,1))=2),IF(OR(Sayfa1!E40="Seçiniz",ISBLANK(Sayfa1!E40))," ",IF(Sayfa1!E40="ÇİFT TARAFLI BANT",CONCATENATE(VLOOKUP(Sayfa1!E40,'ÜRÜN ÖZELLİKLERİ'!M2:N24,2,0)," ",Sayfa1!F40)))," ")</f>
        <v xml:space="preserve"> </v>
      </c>
      <c r="G81" s="245" t="str">
        <f>IF(OR(VALUE(RIGHT(Sayfa1!C2,1))&gt;3,VALUE(RIGHT(Sayfa1!C2,1))=3),IF(OR(Sayfa1!G40="Seçiniz",ISBLANK(Sayfa1!G40))," ",IF(Sayfa1!G40="ÇİFT TARAFLI BANT",CONCATENATE(VLOOKUP(Sayfa1!G40,'ÜRÜN ÖZELLİKLERİ'!M2:N24,2,0)," ",Sayfa1!H40)))," ")</f>
        <v xml:space="preserve"> </v>
      </c>
      <c r="H81" s="245" t="str">
        <f>IF(OR(VALUE(RIGHT(Sayfa1!C2,1))&gt;4,VALUE(RIGHT(Sayfa1!C2,1))=4),IF(OR(Sayfa1!I40="Seçiniz",ISBLANK(Sayfa1!I40))," ",IF(Sayfa1!I40="ÇİFT TARAFLI BANT",CONCATENATE(VLOOKUP(Sayfa1!I40,'ÜRÜN ÖZELLİKLERİ'!M2:N24,2,0)," ",Sayfa1!J40)))," ")</f>
        <v xml:space="preserve"> </v>
      </c>
      <c r="I81" s="643" t="str">
        <f>IF(OR(VALUE(RIGHT(Sayfa1!C2,1))&gt;5,VALUE(RIGHT(Sayfa1!C2,1))=5),IF(OR(Sayfa1!K40="Seçiniz",ISBLANK(Sayfa1!K40))," ",IF(Sayfa1!K40="ÇİFT TARAFLI BANT",CONCATENATE(VLOOKUP(Sayfa1!K40,'ÜRÜN ÖZELLİKLERİ'!M2:N24,2,0)," ",Sayfa1!L40)))," ")</f>
        <v xml:space="preserve"> </v>
      </c>
      <c r="J81" s="643"/>
      <c r="K81" s="245" t="str">
        <f>IF(OR(VALUE(RIGHT(Sayfa1!C2,1))&gt;6,VALUE(RIGHT(Sayfa1!C2,1))=6),IF(OR(Sayfa1!M40="Seçiniz",ISBLANK(Sayfa1!M40))," ",IF(Sayfa1!M40="ÇİFT TARAFLI BANT",CONCATENATE(VLOOKUP(Sayfa1!M40,'ÜRÜN ÖZELLİKLERİ'!M2:N24,2,0)," ",Sayfa1!N40)))," ")</f>
        <v xml:space="preserve"> </v>
      </c>
      <c r="L81" s="38"/>
    </row>
    <row r="82" spans="2:13" s="7" customFormat="1" ht="17.399999999999999">
      <c r="B82" s="253"/>
      <c r="C82" s="246" t="s">
        <v>516</v>
      </c>
      <c r="D82" s="242"/>
      <c r="E82" s="254" t="str">
        <f>IF(OR(VALUE(RIGHT(Sayfa1!C2,1))&gt;1,VALUE(RIGHT(Sayfa1!C2,1))=1),IF(OR(Sayfa1!C41="Seçiniz",ISBLANK(Sayfa1!C41))," ",IF(Sayfa1!C41="PELUR",CONCATENATE(VLOOKUP(Sayfa1!C41,'ÜRÜN ÖZELLİKLERİ'!M36:N39,2,0)," ",Sayfa1!D41),IF(Sayfa1!C41="PELURA SARMA",CONCATENATE(VLOOKUP(Sayfa1!C41,'ÜRÜN ÖZELLİKLERİ'!M36:N39,2,0)," ",Sayfa1!D41),IF(Sayfa1!C41="PELUR PAKET",CONCATENATE(VLOOKUP(Sayfa1!C41,'ÜRÜN ÖZELLİKLERİ'!M36:N39,2,0)," ",Sayfa1!D41)))))," ")</f>
        <v xml:space="preserve"> </v>
      </c>
      <c r="F82" s="254" t="str">
        <f>IF(OR(VALUE(RIGHT(Sayfa1!C2,1))&gt;2,VALUE(RIGHT(Sayfa1!C2,1))=2),IF(OR(Sayfa1!E41="Seçiniz",ISBLANK(Sayfa1!E41))," ",IF(Sayfa1!E41="PELUR",CONCATENATE(VLOOKUP(Sayfa1!E41,'ÜRÜN ÖZELLİKLERİ'!M36:N39,2,0)," ",Sayfa1!F41),IF(Sayfa1!E41="PELURA SARMA",CONCATENATE(VLOOKUP(Sayfa1!E41,'ÜRÜN ÖZELLİKLERİ'!M36:N39,2,0)," ",Sayfa1!F41),IF(Sayfa1!E41="PELUR PAKET",CONCATENATE(VLOOKUP(Sayfa1!E41,'ÜRÜN ÖZELLİKLERİ'!M36:N39,2,0)," ",Sayfa1!F41)))))," ")</f>
        <v xml:space="preserve"> </v>
      </c>
      <c r="G82" s="254" t="str">
        <f>IF(OR(VALUE(RIGHT(Sayfa1!C2,1))&gt;3,VALUE(RIGHT(Sayfa1!C2,1))=3),IF(OR(Sayfa1!G41="Seçiniz",ISBLANK(Sayfa1!G41))," ",IF(Sayfa1!G41="PELUR",CONCATENATE(VLOOKUP(Sayfa1!G41,'ÜRÜN ÖZELLİKLERİ'!M36:N39,2,0)," ",Sayfa1!H41),IF(Sayfa1!G41="PELURA SARMA",CONCATENATE(VLOOKUP(Sayfa1!G41,'ÜRÜN ÖZELLİKLERİ'!M36:N39,2,0)," ",Sayfa1!H41),IF(Sayfa1!G41="PELUR PAKET",CONCATENATE(VLOOKUP(Sayfa1!G41,'ÜRÜN ÖZELLİKLERİ'!M36:N39,2,0)," ",Sayfa1!H41)))))," ")</f>
        <v xml:space="preserve"> </v>
      </c>
      <c r="H82" s="254" t="str">
        <f>IF(OR(VALUE(RIGHT(Sayfa1!C2,1))&gt;4,VALUE(RIGHT(Sayfa1!C2,1))=4),IF(OR(Sayfa1!I41="Seçiniz",ISBLANK(Sayfa1!I41))," ",IF(Sayfa1!I41="PELUR",CONCATENATE(VLOOKUP(Sayfa1!I41,'ÜRÜN ÖZELLİKLERİ'!M36:N39,2,0)," ",Sayfa1!J41),IF(Sayfa1!I41="PELURA SARMA",CONCATENATE(VLOOKUP(Sayfa1!I41,'ÜRÜN ÖZELLİKLERİ'!M36:N39,2,0)," ",Sayfa1!J41),IF(Sayfa1!I41="PELUR PAKET",CONCATENATE(VLOOKUP(Sayfa1!I41,'ÜRÜN ÖZELLİKLERİ'!M36:N39,2,0)," ",Sayfa1!J41)))))," ")</f>
        <v xml:space="preserve"> </v>
      </c>
      <c r="I82" s="644" t="str">
        <f>IF(OR(VALUE(RIGHT(Sayfa1!C2,1))&gt;5,VALUE(RIGHT(Sayfa1!C2,1))=5),IF(OR(Sayfa1!K41="Seçiniz",ISBLANK(Sayfa1!K41))," ",IF(Sayfa1!K41="PELUR",CONCATENATE(VLOOKUP(Sayfa1!K41,'ÜRÜN ÖZELLİKLERİ'!M36:N39,2,0)," ",Sayfa1!L41),IF(Sayfa1!K41="PELURA SARMA",CONCATENATE(VLOOKUP(Sayfa1!K41,'ÜRÜN ÖZELLİKLERİ'!M36:N39,2,0)," ",Sayfa1!L41),IF(Sayfa1!K41="PELUR PAKET",CONCATENATE(VLOOKUP(Sayfa1!K41,'ÜRÜN ÖZELLİKLERİ'!M36:N39,2,0)," ",Sayfa1!L41)))))," ")</f>
        <v xml:space="preserve"> </v>
      </c>
      <c r="J82" s="644"/>
      <c r="K82" s="254" t="str">
        <f>IF(OR(VALUE(RIGHT(Sayfa1!C2,1))&gt;6,VALUE(RIGHT(Sayfa1!C2,1))=6),IF(OR(Sayfa1!M41="Seçiniz",ISBLANK(Sayfa1!M41))," ",IF(Sayfa1!M41="PELUR",CONCATENATE(VLOOKUP(Sayfa1!CM1,'ÜRÜN ÖZELLİKLERİ'!M36:N39,2,0)," ",Sayfa1!N41),IF(Sayfa1!M41="PELURA SARMA",CONCATENATE(VLOOKUP(Sayfa1!M41,'ÜRÜN ÖZELLİKLERİ'!M36:N39,2,0)," ",Sayfa1!N41),IF(Sayfa1!M41="PELUR PAKET",CONCATENATE(VLOOKUP(Sayfa1!M41,'ÜRÜN ÖZELLİKLERİ'!M36:N39,2,0)," ",Sayfa1!N41)))))," ")</f>
        <v xml:space="preserve"> </v>
      </c>
      <c r="L82" s="38"/>
    </row>
    <row r="83" spans="2:13" s="7" customFormat="1" ht="22.95" customHeight="1">
      <c r="B83" s="712" t="s">
        <v>125</v>
      </c>
      <c r="C83" s="713"/>
      <c r="D83" s="255"/>
      <c r="E83" s="256">
        <v>1</v>
      </c>
      <c r="F83" s="256">
        <v>2</v>
      </c>
      <c r="G83" s="256">
        <v>3</v>
      </c>
      <c r="H83" s="256">
        <v>4</v>
      </c>
      <c r="I83" s="645">
        <v>5</v>
      </c>
      <c r="J83" s="646"/>
      <c r="K83" s="256">
        <v>6</v>
      </c>
      <c r="L83" s="38"/>
    </row>
    <row r="84" spans="2:13" s="7" customFormat="1" ht="19.2" customHeight="1">
      <c r="B84" s="703" t="s">
        <v>586</v>
      </c>
      <c r="C84" s="703"/>
      <c r="D84" s="255"/>
      <c r="E84" s="238" t="str">
        <f>IF(OR(VALUE(RIGHT(Sayfa1!C2,1))=1,VALUE(RIGHT(Sayfa1!C2,1))&gt;1),IF(ISBLANK(Sayfa1!C42), " ",Sayfa1!C42),"")</f>
        <v xml:space="preserve"> </v>
      </c>
      <c r="F84" s="238" t="str">
        <f>IF(OR(VALUE(RIGHT(Sayfa1!C2,1))=2,VALUE(RIGHT(Sayfa1!C2,1))&gt;2),IF(ISBLANK(Sayfa1!E42), " ",Sayfa1!E42),"")</f>
        <v/>
      </c>
      <c r="G84" s="238" t="str">
        <f>IF(OR(VALUE(RIGHT(Sayfa1!C2,1))=3,VALUE(RIGHT(Sayfa1!C2,1))&gt;3),IF(ISBLANK(Sayfa1!G42), " ",Sayfa1!G42),"")</f>
        <v/>
      </c>
      <c r="H84" s="238" t="str">
        <f>IF(OR(VALUE(RIGHT(Sayfa1!C2,1))=4,VALUE(RIGHT(Sayfa1!C2,1))&gt;4),IF(ISBLANK(Sayfa1!I42), " ",Sayfa1!I42),"")</f>
        <v/>
      </c>
      <c r="I84" s="638" t="str">
        <f>IF(OR(VALUE(RIGHT(Sayfa1!C2,1))=5,VALUE(RIGHT(Sayfa1!C2,1))&gt;5),IF(ISBLANK(Sayfa1!K42), " ",Sayfa1!K42),"")</f>
        <v/>
      </c>
      <c r="J84" s="639"/>
      <c r="K84" s="238" t="str">
        <f>IF(OR(VALUE(RIGHT(Sayfa1!C2,1))=6,VALUE(RIGHT(Sayfa1!C2,1))&gt;6),IF(ISBLANK(Sayfa1!M42), " ",Sayfa1!M42),"")</f>
        <v/>
      </c>
      <c r="L84" s="38" t="str">
        <f>IFERROR(IF(Sayfa1!C42="","",Sayfa1!C42),)</f>
        <v/>
      </c>
      <c r="M84" s="137"/>
    </row>
    <row r="85" spans="2:13" s="7" customFormat="1" ht="18">
      <c r="B85" s="703" t="s">
        <v>593</v>
      </c>
      <c r="C85" s="703"/>
      <c r="D85" s="255"/>
      <c r="E85" s="323"/>
      <c r="F85" s="323"/>
      <c r="G85" s="323"/>
      <c r="H85" s="323"/>
      <c r="I85" s="636"/>
      <c r="J85" s="637"/>
      <c r="K85" s="323"/>
      <c r="L85" s="38"/>
    </row>
    <row r="86" spans="2:13" s="7" customFormat="1" ht="18">
      <c r="B86" s="703" t="s">
        <v>594</v>
      </c>
      <c r="C86" s="703"/>
      <c r="D86" s="255"/>
      <c r="E86" s="323"/>
      <c r="F86" s="323"/>
      <c r="G86" s="323"/>
      <c r="H86" s="323"/>
      <c r="I86" s="636"/>
      <c r="J86" s="637"/>
      <c r="K86" s="323"/>
      <c r="L86" s="38"/>
    </row>
    <row r="87" spans="2:13" s="7" customFormat="1" ht="18" hidden="1">
      <c r="B87" s="704" t="s">
        <v>595</v>
      </c>
      <c r="C87" s="704"/>
      <c r="D87" s="36"/>
      <c r="E87" s="323"/>
      <c r="F87" s="323"/>
      <c r="G87" s="323"/>
      <c r="H87" s="323"/>
      <c r="I87" s="636"/>
      <c r="J87" s="637"/>
      <c r="K87" s="323"/>
      <c r="L87" s="38"/>
    </row>
    <row r="88" spans="2:13" s="7" customFormat="1" ht="18" hidden="1">
      <c r="B88" s="704" t="s">
        <v>596</v>
      </c>
      <c r="C88" s="704"/>
      <c r="D88" s="36"/>
      <c r="E88" s="323"/>
      <c r="F88" s="323"/>
      <c r="G88" s="323"/>
      <c r="H88" s="323"/>
      <c r="I88" s="636"/>
      <c r="J88" s="637"/>
      <c r="K88" s="323"/>
      <c r="L88" s="38"/>
    </row>
    <row r="89" spans="2:13" s="7" customFormat="1" ht="18" hidden="1">
      <c r="B89" s="704" t="s">
        <v>597</v>
      </c>
      <c r="C89" s="704"/>
      <c r="D89" s="36"/>
      <c r="E89" s="323"/>
      <c r="F89" s="323"/>
      <c r="G89" s="323"/>
      <c r="H89" s="323"/>
      <c r="I89" s="636"/>
      <c r="J89" s="637"/>
      <c r="K89" s="323"/>
      <c r="L89" s="38"/>
    </row>
    <row r="90" spans="2:13" s="7" customFormat="1" ht="18" hidden="1">
      <c r="B90" s="704" t="s">
        <v>587</v>
      </c>
      <c r="C90" s="704"/>
      <c r="D90" s="36"/>
      <c r="E90" s="238" t="str">
        <f>IF(OR(VALUE(RIGHT(Sayfa1!C2,1))=1,VALUE(RIGHT(Sayfa1!C2,1))&gt;1),IF(ISBLANK(Sayfa1!C43), " ",Sayfa1!C43),"")</f>
        <v xml:space="preserve"> </v>
      </c>
      <c r="F90" s="238" t="str">
        <f>IF(OR(VALUE(RIGHT(Sayfa1!C2,1))=2,VALUE(RIGHT(Sayfa1!C2,1))&gt;2),IF(ISBLANK(Sayfa1!E43), " ",Sayfa1!E43),"")</f>
        <v/>
      </c>
      <c r="G90" s="238" t="str">
        <f>IF(OR(VALUE(RIGHT(Sayfa1!C2,1))=3,VALUE(RIGHT(Sayfa1!C2,1))&gt;3),IF(ISBLANK(Sayfa1!G43), " ",Sayfa1!G43),"")</f>
        <v/>
      </c>
      <c r="H90" s="238" t="str">
        <f>IF(OR(VALUE(RIGHT(Sayfa1!C2,1))=4,VALUE(RIGHT(Sayfa1!C2,1))&gt;4),IF(ISBLANK(Sayfa1!I43), " ",Sayfa1!I43),"")</f>
        <v/>
      </c>
      <c r="I90" s="638" t="str">
        <f>IF(OR(VALUE(RIGHT(Sayfa1!C2,1))=5,VALUE(RIGHT(Sayfa1!C2,1))&gt;5),IF(ISBLANK(Sayfa1!K43), " ",Sayfa1!K43),"")</f>
        <v/>
      </c>
      <c r="J90" s="639"/>
      <c r="K90" s="238" t="str">
        <f>IF(OR(VALUE(RIGHT(Sayfa1!C2,1))=6,VALUE(RIGHT(Sayfa1!C2,1))&gt;6),IF(ISBLANK(Sayfa1!M43), " ",Sayfa1!M43),"")</f>
        <v/>
      </c>
      <c r="L90" s="38" t="str">
        <f>IFERROR(IF(Sayfa1!C43="","",Sayfa1!C43),)</f>
        <v/>
      </c>
    </row>
    <row r="91" spans="2:13" s="7" customFormat="1" ht="18" hidden="1">
      <c r="B91" s="704" t="s">
        <v>593</v>
      </c>
      <c r="C91" s="704"/>
      <c r="D91" s="36"/>
      <c r="E91" s="323"/>
      <c r="F91" s="323"/>
      <c r="G91" s="323"/>
      <c r="H91" s="323"/>
      <c r="I91" s="636"/>
      <c r="J91" s="637"/>
      <c r="K91" s="323"/>
      <c r="L91" s="38"/>
    </row>
    <row r="92" spans="2:13" s="7" customFormat="1" ht="18" hidden="1">
      <c r="B92" s="704" t="s">
        <v>594</v>
      </c>
      <c r="C92" s="704"/>
      <c r="D92" s="36"/>
      <c r="E92" s="323"/>
      <c r="F92" s="323"/>
      <c r="G92" s="323"/>
      <c r="H92" s="323"/>
      <c r="I92" s="636"/>
      <c r="J92" s="637"/>
      <c r="K92" s="323"/>
      <c r="L92" s="38"/>
    </row>
    <row r="93" spans="2:13" s="7" customFormat="1" ht="18" hidden="1">
      <c r="B93" s="704" t="s">
        <v>595</v>
      </c>
      <c r="C93" s="704"/>
      <c r="D93" s="36"/>
      <c r="E93" s="323"/>
      <c r="F93" s="323"/>
      <c r="G93" s="323"/>
      <c r="H93" s="323"/>
      <c r="I93" s="636"/>
      <c r="J93" s="637"/>
      <c r="K93" s="323"/>
      <c r="L93" s="38"/>
    </row>
    <row r="94" spans="2:13" s="7" customFormat="1" ht="18" hidden="1">
      <c r="B94" s="704" t="s">
        <v>596</v>
      </c>
      <c r="C94" s="704"/>
      <c r="D94" s="36"/>
      <c r="E94" s="323"/>
      <c r="F94" s="323"/>
      <c r="G94" s="323"/>
      <c r="H94" s="323"/>
      <c r="I94" s="636"/>
      <c r="J94" s="637"/>
      <c r="K94" s="323"/>
      <c r="L94" s="38"/>
    </row>
    <row r="95" spans="2:13" s="7" customFormat="1" ht="18" hidden="1">
      <c r="B95" s="704" t="s">
        <v>597</v>
      </c>
      <c r="C95" s="704"/>
      <c r="D95" s="36"/>
      <c r="E95" s="323"/>
      <c r="F95" s="323"/>
      <c r="G95" s="323"/>
      <c r="H95" s="323"/>
      <c r="I95" s="636"/>
      <c r="J95" s="637"/>
      <c r="K95" s="323"/>
      <c r="L95" s="38"/>
    </row>
    <row r="96" spans="2:13" s="7" customFormat="1" ht="18" hidden="1">
      <c r="B96" s="704" t="s">
        <v>588</v>
      </c>
      <c r="C96" s="704"/>
      <c r="D96" s="36"/>
      <c r="E96" s="238" t="str">
        <f>IF(OR(VALUE(RIGHT(Sayfa1!C2,1))=1,VALUE(RIGHT(Sayfa1!C2,1))&gt;1),IF(ISBLANK(Sayfa1!C44), " ",Sayfa1!C44),"")</f>
        <v xml:space="preserve"> </v>
      </c>
      <c r="F96" s="238" t="str">
        <f>IF(OR(VALUE(RIGHT(Sayfa1!C2,1))=2,VALUE(RIGHT(Sayfa1!C2,1))&gt;2),IF(ISBLANK(Sayfa1!E44), " ",Sayfa1!E44),"")</f>
        <v/>
      </c>
      <c r="G96" s="238" t="str">
        <f>IF(OR(VALUE(RIGHT(Sayfa1!C2,1))=3,VALUE(RIGHT(Sayfa1!C2,1))&gt;3),IF(ISBLANK(Sayfa1!G44), " ",Sayfa1!G44),"")</f>
        <v/>
      </c>
      <c r="H96" s="238" t="str">
        <f>IF(OR(VALUE(RIGHT(Sayfa1!C2,1))=4,VALUE(RIGHT(Sayfa1!C2,1))&gt;4),IF(ISBLANK(Sayfa1!I44), " ",Sayfa1!I44),"")</f>
        <v/>
      </c>
      <c r="I96" s="638" t="str">
        <f>IF(OR(VALUE(RIGHT(Sayfa1!C2,1))=5,VALUE(RIGHT(Sayfa1!C2,1))&gt;5),IF(ISBLANK(Sayfa1!K44), " ",Sayfa1!K44),"")</f>
        <v/>
      </c>
      <c r="J96" s="639"/>
      <c r="K96" s="238" t="str">
        <f>IF(OR(VALUE(RIGHT(Sayfa1!C2,1))=6,VALUE(RIGHT(Sayfa1!C2,1))&gt;6),IF(ISBLANK(Sayfa1!M44), " ",Sayfa1!M44),"")</f>
        <v/>
      </c>
      <c r="L96" s="38" t="str">
        <f>IFERROR(IF(Sayfa1!C44="","",Sayfa1!C44),)</f>
        <v/>
      </c>
      <c r="M96" s="143"/>
    </row>
    <row r="97" spans="2:12" s="7" customFormat="1" ht="18" hidden="1">
      <c r="B97" s="704" t="s">
        <v>593</v>
      </c>
      <c r="C97" s="704"/>
      <c r="D97" s="36"/>
      <c r="E97" s="239"/>
      <c r="F97" s="240"/>
      <c r="G97" s="240"/>
      <c r="H97" s="240"/>
      <c r="I97" s="640"/>
      <c r="J97" s="641"/>
      <c r="K97" s="240"/>
      <c r="L97" s="38"/>
    </row>
    <row r="98" spans="2:12" s="7" customFormat="1" ht="18" hidden="1">
      <c r="B98" s="704" t="s">
        <v>594</v>
      </c>
      <c r="C98" s="704"/>
      <c r="D98" s="36"/>
      <c r="E98" s="239"/>
      <c r="F98" s="240"/>
      <c r="G98" s="240"/>
      <c r="H98" s="240"/>
      <c r="I98" s="640"/>
      <c r="J98" s="641"/>
      <c r="K98" s="240"/>
      <c r="L98" s="38"/>
    </row>
    <row r="99" spans="2:12" s="7" customFormat="1" ht="18" hidden="1">
      <c r="B99" s="704" t="s">
        <v>595</v>
      </c>
      <c r="C99" s="704"/>
      <c r="D99" s="36"/>
      <c r="E99" s="239"/>
      <c r="F99" s="240"/>
      <c r="G99" s="240"/>
      <c r="H99" s="240"/>
      <c r="I99" s="640"/>
      <c r="J99" s="641"/>
      <c r="K99" s="240"/>
      <c r="L99" s="38"/>
    </row>
    <row r="100" spans="2:12" s="7" customFormat="1" ht="18" hidden="1">
      <c r="B100" s="704" t="s">
        <v>596</v>
      </c>
      <c r="C100" s="704"/>
      <c r="D100" s="36"/>
      <c r="E100" s="239"/>
      <c r="F100" s="240"/>
      <c r="G100" s="240"/>
      <c r="H100" s="240"/>
      <c r="I100" s="640"/>
      <c r="J100" s="642"/>
      <c r="K100" s="241"/>
      <c r="L100" s="38"/>
    </row>
    <row r="101" spans="2:12" s="7" customFormat="1" ht="18" hidden="1">
      <c r="B101" s="704" t="s">
        <v>597</v>
      </c>
      <c r="C101" s="704"/>
      <c r="D101" s="36"/>
      <c r="E101" s="239"/>
      <c r="F101" s="240"/>
      <c r="G101" s="240"/>
      <c r="H101" s="240"/>
      <c r="I101" s="640"/>
      <c r="J101" s="641"/>
      <c r="K101" s="240"/>
      <c r="L101" s="38"/>
    </row>
    <row r="102" spans="2:12" s="7" customFormat="1" ht="17.25" hidden="1" customHeight="1">
      <c r="B102" s="704" t="s">
        <v>589</v>
      </c>
      <c r="C102" s="704"/>
      <c r="D102" s="36"/>
      <c r="E102" s="238" t="str">
        <f ca="1">IF(OR(VALUE(RIGHT(Sayfa1!C3,1))=1,VALUE(RIGHT(Sayfa1!C3,1))&gt;1),IF(ISBLANK(Sayfa1!C45), " ",Sayfa1!C45),"")</f>
        <v xml:space="preserve"> </v>
      </c>
      <c r="F102" s="238" t="str">
        <f>IF(OR(VALUE(RIGHT(Sayfa1!C2,1))=2,VALUE(RIGHT(Sayfa1!C2,1))&gt;2),IF(ISBLANK(Sayfa1!E45), " ",Sayfa1!E45),"")</f>
        <v/>
      </c>
      <c r="G102" s="238" t="str">
        <f>IF(OR(VALUE(RIGHT(Sayfa1!C2,1))=3,VALUE(RIGHT(Sayfa1!C2,1))&gt;3),IF(ISBLANK(Sayfa1!G45), " ",Sayfa1!G45),"")</f>
        <v/>
      </c>
      <c r="H102" s="238" t="str">
        <f>IF(OR(VALUE(RIGHT(Sayfa1!C2,1))=4,VALUE(RIGHT(Sayfa1!C2,1))&gt;4),IF(ISBLANK(Sayfa1!I45), " ",Sayfa1!I45),"")</f>
        <v/>
      </c>
      <c r="I102" s="638" t="str">
        <f>IF(OR(VALUE(RIGHT(Sayfa1!C2,1))=5,VALUE(RIGHT(Sayfa1!C2,1))&gt;5),IF(ISBLANK(Sayfa1!K45), " ",Sayfa1!K45),"")</f>
        <v/>
      </c>
      <c r="J102" s="639"/>
      <c r="K102" s="238" t="str">
        <f>IF(OR(VALUE(RIGHT(Sayfa1!C2,1))=6,VALUE(RIGHT(Sayfa1!C2,1))&gt;6),IF(ISBLANK(Sayfa1!M45), " ",Sayfa1!M45),"")</f>
        <v/>
      </c>
      <c r="L102" s="38" t="str">
        <f>IFERROR(IF(Sayfa1!C45="","",Sayfa1!C45),)</f>
        <v/>
      </c>
    </row>
    <row r="103" spans="2:12" s="7" customFormat="1" ht="18" hidden="1">
      <c r="B103" s="704" t="s">
        <v>593</v>
      </c>
      <c r="C103" s="704"/>
      <c r="D103" s="36"/>
      <c r="E103" s="323"/>
      <c r="F103" s="323"/>
      <c r="G103" s="323"/>
      <c r="H103" s="323"/>
      <c r="I103" s="636"/>
      <c r="J103" s="637"/>
      <c r="K103" s="323"/>
      <c r="L103" s="38"/>
    </row>
    <row r="104" spans="2:12" s="7" customFormat="1" ht="18" hidden="1">
      <c r="B104" s="704" t="s">
        <v>594</v>
      </c>
      <c r="C104" s="704"/>
      <c r="D104" s="36"/>
      <c r="E104" s="323"/>
      <c r="F104" s="323"/>
      <c r="G104" s="323"/>
      <c r="H104" s="323"/>
      <c r="I104" s="636"/>
      <c r="J104" s="637"/>
      <c r="K104" s="323"/>
      <c r="L104" s="38"/>
    </row>
    <row r="105" spans="2:12" s="7" customFormat="1" ht="18" hidden="1">
      <c r="B105" s="704" t="s">
        <v>595</v>
      </c>
      <c r="C105" s="704"/>
      <c r="D105" s="36"/>
      <c r="E105" s="323"/>
      <c r="F105" s="323"/>
      <c r="G105" s="323"/>
      <c r="H105" s="323"/>
      <c r="I105" s="636"/>
      <c r="J105" s="637"/>
      <c r="K105" s="323"/>
      <c r="L105" s="38"/>
    </row>
    <row r="106" spans="2:12" s="7" customFormat="1" ht="18" hidden="1">
      <c r="B106" s="704" t="s">
        <v>596</v>
      </c>
      <c r="C106" s="704"/>
      <c r="D106" s="36"/>
      <c r="E106" s="323"/>
      <c r="F106" s="323"/>
      <c r="G106" s="323"/>
      <c r="H106" s="323"/>
      <c r="I106" s="636"/>
      <c r="J106" s="637"/>
      <c r="K106" s="323"/>
      <c r="L106" s="38"/>
    </row>
    <row r="107" spans="2:12" s="7" customFormat="1" ht="18" hidden="1">
      <c r="B107" s="704" t="s">
        <v>597</v>
      </c>
      <c r="C107" s="704"/>
      <c r="D107" s="36"/>
      <c r="E107" s="323"/>
      <c r="F107" s="323"/>
      <c r="G107" s="323"/>
      <c r="H107" s="323"/>
      <c r="I107" s="636"/>
      <c r="J107" s="637"/>
      <c r="K107" s="323"/>
      <c r="L107" s="38"/>
    </row>
    <row r="108" spans="2:12" s="7" customFormat="1" ht="18" hidden="1">
      <c r="B108" s="704" t="s">
        <v>590</v>
      </c>
      <c r="C108" s="704"/>
      <c r="D108" s="36"/>
      <c r="E108" s="238" t="str">
        <f>IF(OR(VALUE(RIGHT(Sayfa1!C2,1))=1,VALUE(RIGHT(Sayfa1!C2,1))&gt;1),IF(ISBLANK(Sayfa1!C46), " ",Sayfa1!C46),"")</f>
        <v xml:space="preserve"> </v>
      </c>
      <c r="F108" s="238" t="str">
        <f>IF(OR(VALUE(RIGHT(Sayfa1!C2,1))=2,VALUE(RIGHT(Sayfa1!C2,1))&gt;2),IF(ISBLANK(Sayfa1!E46), " ",Sayfa1!E46),"")</f>
        <v/>
      </c>
      <c r="G108" s="238" t="str">
        <f>IF(OR(VALUE(RIGHT(Sayfa1!C2,1))=3,VALUE(RIGHT(Sayfa1!C2,1))&gt;3),IF(ISBLANK(Sayfa1!G46), " ",Sayfa1!G46),"")</f>
        <v/>
      </c>
      <c r="H108" s="238" t="str">
        <f>IF(OR(VALUE(RIGHT(Sayfa1!C2,1))=4,VALUE(RIGHT(Sayfa1!C2,1))&gt;4),IF(ISBLANK(Sayfa1!I46), " ",Sayfa1!I46),"")</f>
        <v/>
      </c>
      <c r="I108" s="638" t="str">
        <f>IF(OR(VALUE(RIGHT(Sayfa1!C2,1))=5,VALUE(RIGHT(Sayfa1!C2,1))&gt;5),IF(ISBLANK(Sayfa1!K46), " ",Sayfa1!K46),"")</f>
        <v/>
      </c>
      <c r="J108" s="639"/>
      <c r="K108" s="238" t="str">
        <f>IF(OR(VALUE(RIGHT(Sayfa1!C2,1))=6,VALUE(RIGHT(Sayfa1!C2,1))&gt;6),IF(ISBLANK(Sayfa1!M46), " ",Sayfa1!M46),"")</f>
        <v/>
      </c>
      <c r="L108" s="38" t="str">
        <f>IFERROR(IF(Sayfa1!C46="","",Sayfa1!C46),)</f>
        <v/>
      </c>
    </row>
    <row r="109" spans="2:12" s="7" customFormat="1" ht="18" hidden="1">
      <c r="B109" s="704" t="s">
        <v>593</v>
      </c>
      <c r="C109" s="704"/>
      <c r="D109" s="36"/>
      <c r="E109" s="323"/>
      <c r="F109" s="323"/>
      <c r="G109" s="323"/>
      <c r="H109" s="323"/>
      <c r="I109" s="636"/>
      <c r="J109" s="637"/>
      <c r="K109" s="323"/>
      <c r="L109" s="38"/>
    </row>
    <row r="110" spans="2:12" s="7" customFormat="1" ht="18" hidden="1">
      <c r="B110" s="704" t="s">
        <v>594</v>
      </c>
      <c r="C110" s="704"/>
      <c r="D110" s="138"/>
      <c r="E110" s="323"/>
      <c r="F110" s="323"/>
      <c r="G110" s="323"/>
      <c r="H110" s="323"/>
      <c r="I110" s="636"/>
      <c r="J110" s="637"/>
      <c r="K110" s="323"/>
      <c r="L110" s="38"/>
    </row>
    <row r="111" spans="2:12" s="7" customFormat="1" ht="18" hidden="1">
      <c r="B111" s="704" t="s">
        <v>595</v>
      </c>
      <c r="C111" s="704"/>
      <c r="D111" s="138"/>
      <c r="E111" s="323"/>
      <c r="F111" s="323"/>
      <c r="G111" s="323"/>
      <c r="H111" s="323"/>
      <c r="I111" s="636"/>
      <c r="J111" s="637"/>
      <c r="K111" s="323"/>
      <c r="L111" s="38"/>
    </row>
    <row r="112" spans="2:12" s="7" customFormat="1" ht="18" hidden="1">
      <c r="B112" s="704" t="s">
        <v>596</v>
      </c>
      <c r="C112" s="704"/>
      <c r="D112" s="138"/>
      <c r="E112" s="323"/>
      <c r="F112" s="323"/>
      <c r="G112" s="323"/>
      <c r="H112" s="323"/>
      <c r="I112" s="636"/>
      <c r="J112" s="637"/>
      <c r="K112" s="323"/>
      <c r="L112" s="38"/>
    </row>
    <row r="113" spans="2:24" s="7" customFormat="1" ht="18" hidden="1">
      <c r="B113" s="704" t="s">
        <v>597</v>
      </c>
      <c r="C113" s="704"/>
      <c r="D113" s="138"/>
      <c r="E113" s="323"/>
      <c r="F113" s="323"/>
      <c r="G113" s="323"/>
      <c r="H113" s="323"/>
      <c r="I113" s="636"/>
      <c r="J113" s="637"/>
      <c r="K113" s="323"/>
      <c r="L113" s="38"/>
    </row>
    <row r="114" spans="2:24" ht="13.2" customHeight="1">
      <c r="B114" s="8"/>
      <c r="C114" s="9"/>
      <c r="D114" s="9"/>
      <c r="E114" s="699"/>
      <c r="F114" s="699"/>
      <c r="G114" s="699"/>
      <c r="H114" s="700"/>
      <c r="I114" s="700"/>
      <c r="J114" s="700"/>
      <c r="K114" s="700"/>
    </row>
    <row r="115" spans="2:24" ht="15.75" customHeight="1">
      <c r="B115" s="10"/>
      <c r="C115" s="11"/>
      <c r="D115" s="12"/>
      <c r="E115" s="13"/>
      <c r="F115" s="13"/>
      <c r="G115" s="13"/>
      <c r="H115" s="13"/>
      <c r="I115" s="13"/>
      <c r="J115" s="13"/>
      <c r="K115" s="14"/>
      <c r="O115" s="1" t="str">
        <f>IF(R56="YOK"," ",IF(Sayfa1!F31="LOKAL LAK","LOKAL LAK",IF(Sayfa1!F32="LOKAL LAK","LOKAL LAK",IF(Sayfa1!F33="LOKAL LAK","LOKAL LAK",IF(Sayfa1!F34="LOKAL LAK","LOKAL LAK",IF(Sayfa1!F35="LOKAL LAK","LOKAL LAK",IF(Sayfa1!F36="LOKAL LAK","LOKAL LAK",IF(Sayfa1!F37="LOKAL LAK","LOKAL LAK",IF(Sayfa1!F38="LOKAL LAK","LOKAL LAK",IF(Sayfa1!F39="LOKAL LAK","LOKAL LAK",IF(Sayfa1!F40="LOKAL LAK","LOKAL LAK",IF(Sayfa1!F42="LOKAL LAK","LOKAL LAK",IF(Sayfa1!F31="EMBOSS LOKAL LAK","EMBOSS LOKAL LAK",IF(Sayfa1!F32="EMBOSS LOKAL LAK","EMBOSS LOKAL LAK",IF(Sayfa1!F33="EMBOSS LOKAL LAK","EMBOSS LOKAL LAK",IF(Sayfa1!F34="EMBOSS LOKAL LAK","EMBOSS LOKAL LAK",IF(Sayfa1!F35="EMBOSS LOKAL LAK","EMBOSS LOKAL LAK",IF(Sayfa1!F36="EMBOSS LOKAL LAK","EMBOSS LOKAL LAK",IF(Sayfa1!F37="EMBOSS LOKAL LAK","EMBOSS LOKAL LAK",IF(Sayfa1!F38="EMBOSS LOKAL LAK","EMBOSS LOKAL LAK",IF(Sayfa1!F39="EMBOSS LOKAL LAK","EMBOSS LOKAL LAK",IF(Sayfa1!F40="EMBOSS LOKAL LAK","EMBOSS LOKAL LAK",IF(Sayfa1!F42="EMBOSS LOKAL LAK","EMBOSS LOKAL LAK"," ")))))))))))))))))))))))</f>
        <v xml:space="preserve"> </v>
      </c>
      <c r="Q115" s="1" t="str">
        <f>IF(T56="YOK"," ",IF(Sayfa1!J31="LOKAL LAK","LOKAL LAK",IF(Sayfa1!J32="LOKAL LAK","LOKAL LAK",IF(Sayfa1!J33="LOKAL LAK","LOKAL LAK",IF(Sayfa1!J34="LOKAL LAK","LOKAL LAK",IF(Sayfa1!J35="LOKAL LAK","LOKAL LAK",IF(Sayfa1!J36="LOKAL LAK","LOKAL LAK",IF(Sayfa1!J37="LOKAL LAK","LOKAL LAK",IF(Sayfa1!J38="LOKAL LAK","LOKAL LAK",IF(Sayfa1!J39="LOKAL LAK","LOKAL LAK",IF(Sayfa1!J40="LOKAL LAK","LOKAL LAK",IF(Sayfa1!J42="LOKAL LAK","LOKAL LAK",IF(Sayfa1!J31="EMBOSS LOKAL LAK","EMBOSS LOKAL LAK",IF(Sayfa1!J32="EMBOSS LOKAL LAK","EMBOSS LOKAL LAK",IF(Sayfa1!J33="EMBOSS LOKAL LAK","EMBOSS LOKAL LAK",IF(Sayfa1!J34="EMBOSS LOKAL LAK","EMBOSS LOKAL LAK",IF(Sayfa1!J35="EMBOSS LOKAL LAK","EMBOSS LOKAL LAK",IF(Sayfa1!J36="EMBOSS LOKAL LAK","EMBOSS LOKAL LAK",IF(Sayfa1!J37="EMBOSS LOKAL LAK","EMBOSS LOKAL LAK",IF(Sayfa1!J38="EMBOSS LOKAL LAK","EMBOSS LOKAL LAK",IF(Sayfa1!J39="EMBOSS LOKAL LAK","EMBOSS LOKAL LAK",IF(Sayfa1!J40="EMBOSS LOKAL LAK","EMBOSS LOKAL LAK",IF(Sayfa1!J42="EMBOSS LOKAL LAK","EMBOSS LOKAL LAK"," ")))))))))))))))))))))))</f>
        <v xml:space="preserve"> </v>
      </c>
      <c r="S115" s="1" t="str">
        <f>IF(V56="YOK"," ",IF(Sayfa1!J31="LOKAL LAK","LOKAL LAK",IF(Sayfa1!J32="LOKAL LAK","LOKAL LAK",IF(Sayfa1!J33="LOKAL LAK","LOKAL LAK",IF(Sayfa1!J34="LOKAL LAK","LOKAL LAK",IF(Sayfa1!J35="LOKAL LAK","LOKAL LAK",IF(Sayfa1!J36="LOKAL LAK","LOKAL LAK",IF(Sayfa1!J37="LOKAL LAK","LOKAL LAK",IF(Sayfa1!J38="LOKAL LAK","LOKAL LAK",IF(Sayfa1!J39="LOKAL LAK","LOKAL LAK",IF(Sayfa1!J40="LOKAL LAK","LOKAL LAK",IF(Sayfa1!J42="LOKAL LAK","LOKAL LAK",IF(Sayfa1!J31="EMBOSS LOKAL LAK","EMBOSS LOKAL LAK",IF(Sayfa1!J32="EMBOSS LOKAL LAK","EMBOSS LOKAL LAK",IF(Sayfa1!J33="EMBOSS LOKAL LAK","EMBOSS LOKAL LAK",IF(Sayfa1!J34="EMBOSS LOKAL LAK","EMBOSS LOKAL LAK",IF(Sayfa1!J35="EMBOSS LOKAL LAK","EMBOSS LOKAL LAK",IF(Sayfa1!J36="EMBOSS LOKAL LAK","EMBOSS LOKAL LAK",IF(Sayfa1!J37="EMBOSS LOKAL LAK","EMBOSS LOKAL LAK",IF(Sayfa1!J38="EMBOSS LOKAL LAK","EMBOSS LOKAL LAK",IF(Sayfa1!J39="EMBOSS LOKAL LAK","EMBOSS LOKAL LAK",IF(Sayfa1!J40="EMBOSS LOKAL LAK","EMBOSS LOKAL LAK",IF(Sayfa1!J42="EMBOSS LOKAL LAK","EMBOSS LOKAL LAK"," ")))))))))))))))))))))))</f>
        <v xml:space="preserve"> </v>
      </c>
      <c r="U115" s="1" t="str">
        <f>IF(X56="YOK"," ",IF(Sayfa1!L31="LOKAL LAK","LOKAL LAK",IF(Sayfa1!L32="LOKAL LAK","LOKAL LAK",IF(Sayfa1!L33="LOKAL LAK","LOKAL LAK",IF(Sayfa1!L34="LOKAL LAK","LOKAL LAK",IF(Sayfa1!L35="LOKAL LAK","LOKAL LAK",IF(Sayfa1!L36="LOKAL LAK","LOKAL LAK",IF(Sayfa1!L37="LOKAL LAK","LOKAL LAK",IF(Sayfa1!L38="LOKAL LAK","LOKAL LAK",IF(Sayfa1!L39="LOKAL LAK","LOKAL LAK",IF(Sayfa1!L40="LOKAL LAK","LOKAL LAK",IF(Sayfa1!L42="LOKAL LAK","LOKAL LAK",IF(Sayfa1!L31="EMBOSS LOKAL LAK","EMBOSS LOKAL LAK",IF(Sayfa1!L32="EMBOSS LOKAL LAK","EMBOSS LOKAL LAK",IF(Sayfa1!L33="EMBOSS LOKAL LAK","EMBOSS LOKAL LAK",IF(Sayfa1!L34="EMBOSS LOKAL LAK","EMBOSS LOKAL LAK",IF(Sayfa1!L35="EMBOSS LOKAL LAK","EMBOSS LOKAL LAK",IF(Sayfa1!L36="EMBOSS LOKAL LAK","EMBOSS LOKAL LAK",IF(Sayfa1!L37="EMBOSS LOKAL LAK","EMBOSS LOKAL LAK",IF(Sayfa1!L38="EMBOSS LOKAL LAK","EMBOSS LOKAL LAK",IF(Sayfa1!L39="EMBOSS LOKAL LAK","EMBOSS LOKAL LAK",IF(Sayfa1!L40="EMBOSS LOKAL LAK","EMBOSS LOKAL LAK",IF(Sayfa1!L42="EMBOSS LOKAL LAK","EMBOSS LOKAL LAK"," ")))))))))))))))))))))))</f>
        <v xml:space="preserve"> </v>
      </c>
      <c r="W115" s="1" t="str">
        <f>IF(Z56="YOK"," ",IF(Sayfa1!N31="LOKAL LAK","LOKAL LAK",IF(Sayfa1!N32="LOKAL LAK","LOKAL LAK",IF(Sayfa1!N33="LOKAL LAK","LOKAL LAK",IF(Sayfa1!N34="LOKAL LAK","LOKAL LAK",IF(Sayfa1!N35="LOKAL LAK","LOKAL LAK",IF(Sayfa1!N36="LOKAL LAK","LOKAL LAK",IF(Sayfa1!N37="LOKAL LAK","LOKAL LAK",IF(Sayfa1!N38="LOKAL LAK","LOKAL LAK",IF(Sayfa1!N39="LOKAL LAK","LOKAL LAK",IF(Sayfa1!N40="LOKAL LAK","LOKAL LAK",IF(Sayfa1!N42="LOKAL LAK","LOKAL LAK",IF(Sayfa1!N31="EMBOSS LOKAL LAK","EMBOSS LOKAL LAK",IF(Sayfa1!N32="EMBOSS LOKAL LAK","EMBOSS LOKAL LAK",IF(Sayfa1!N33="EMBOSS LOKAL LAK","EMBOSS LOKAL LAK",IF(Sayfa1!N34="EMBOSS LOKAL LAK","EMBOSS LOKAL LAK",IF(Sayfa1!N35="EMBOSS LOKAL LAK","EMBOSS LOKAL LAK",IF(Sayfa1!N36="EMBOSS LOKAL LAK","EMBOSS LOKAL LAK",IF(Sayfa1!N37="EMBOSS LOKAL LAK","EMBOSS LOKAL LAK",IF(Sayfa1!N38="EMBOSS LOKAL LAK","EMBOSS LOKAL LAK",IF(Sayfa1!N39="EMBOSS LOKAL LAK","EMBOSS LOKAL LAK",IF(Sayfa1!N40="EMBOSS LOKAL LAK","EMBOSS LOKAL LAK",IF(Sayfa1!N42="EMBOSS LOKAL LAK","EMBOSS LOKAL LAK"," ")))))))))))))))))))))))</f>
        <v xml:space="preserve"> </v>
      </c>
      <c r="X115" s="1" t="str">
        <f>IF(AA56="YOK"," ",IF(Sayfa1!O31="LOKAL LAK","LOKAL LAK",IF(Sayfa1!O32="LOKAL LAK","LOKAL LAK",IF(Sayfa1!O33="LOKAL LAK","LOKAL LAK",IF(Sayfa1!O34="LOKAL LAK","LOKAL LAK",IF(Sayfa1!O35="LOKAL LAK","LOKAL LAK",IF(Sayfa1!O36="LOKAL LAK","LOKAL LAK",IF(Sayfa1!O37="LOKAL LAK","LOKAL LAK",IF(Sayfa1!O38="LOKAL LAK","LOKAL LAK",IF(Sayfa1!O39="LOKAL LAK","LOKAL LAK",IF(Sayfa1!O40="LOKAL LAK","LOKAL LAK",IF(Sayfa1!O42="LOKAL LAK","LOKAL LAK",IF(Sayfa1!O31="EMBOSS LOKAL LAK","EMBOSS LOKAL LAK",IF(Sayfa1!O32="EMBOSS LOKAL LAK","EMBOSS LOKAL LAK",IF(Sayfa1!O33="EMBOSS LOKAL LAK","EMBOSS LOKAL LAK",IF(Sayfa1!O34="EMBOSS LOKAL LAK","EMBOSS LOKAL LAK",IF(Sayfa1!O35="EMBOSS LOKAL LAK","EMBOSS LOKAL LAK",IF(Sayfa1!O36="EMBOSS LOKAL LAK","EMBOSS LOKAL LAK",IF(Sayfa1!O37="EMBOSS LOKAL LAK","EMBOSS LOKAL LAK",IF(Sayfa1!O38="EMBOSS LOKAL LAK","EMBOSS LOKAL LAK",IF(Sayfa1!O39="EMBOSS LOKAL LAK","EMBOSS LOKAL LAK",IF(Sayfa1!O40="EMBOSS LOKAL LAK","EMBOSS LOKAL LAK",IF(Sayfa1!O42="EMBOSS LOKAL LAK","EMBOSS LOKAL LAK"," ")))))))))))))))))))))))</f>
        <v xml:space="preserve"> </v>
      </c>
    </row>
    <row r="116" spans="2:24" ht="15.75" customHeight="1">
      <c r="B116" s="701" t="s">
        <v>126</v>
      </c>
      <c r="C116" s="701"/>
      <c r="D116" s="12"/>
      <c r="E116" s="702">
        <f>Sayfa1!C61</f>
        <v>0</v>
      </c>
      <c r="F116" s="702"/>
      <c r="G116" s="702"/>
      <c r="H116" s="702"/>
      <c r="I116" s="702"/>
      <c r="J116" s="702"/>
      <c r="K116" s="702"/>
    </row>
    <row r="117" spans="2:24" ht="15.75" customHeight="1">
      <c r="B117" s="701" t="s">
        <v>127</v>
      </c>
      <c r="C117" s="701"/>
      <c r="D117" s="12"/>
      <c r="E117" s="702" t="s">
        <v>128</v>
      </c>
      <c r="F117" s="702"/>
      <c r="G117" s="702"/>
      <c r="H117" s="702"/>
      <c r="I117" s="702"/>
      <c r="J117" s="702"/>
      <c r="K117" s="702"/>
    </row>
    <row r="118" spans="2:24" ht="15.75" customHeight="1">
      <c r="B118" s="701" t="s">
        <v>129</v>
      </c>
      <c r="C118" s="701"/>
      <c r="D118" s="12"/>
      <c r="E118" s="705" t="s">
        <v>130</v>
      </c>
      <c r="F118" s="705"/>
      <c r="G118" s="705"/>
      <c r="H118" s="705"/>
      <c r="I118" s="705"/>
      <c r="J118" s="705"/>
      <c r="K118" s="705"/>
    </row>
    <row r="119" spans="2:24" ht="15.75" customHeight="1">
      <c r="B119" s="701" t="s">
        <v>131</v>
      </c>
      <c r="C119" s="701"/>
      <c r="D119" s="12"/>
      <c r="E119" s="705" t="s">
        <v>132</v>
      </c>
      <c r="F119" s="705"/>
      <c r="G119" s="705"/>
      <c r="H119" s="705"/>
      <c r="I119" s="705"/>
      <c r="J119" s="705"/>
      <c r="K119" s="705"/>
    </row>
    <row r="120" spans="2:24" ht="19.5" customHeight="1">
      <c r="B120" s="701" t="s">
        <v>133</v>
      </c>
      <c r="C120" s="701"/>
      <c r="D120" s="12"/>
      <c r="E120" s="705" t="s">
        <v>134</v>
      </c>
      <c r="F120" s="705"/>
      <c r="G120" s="705"/>
      <c r="H120" s="705"/>
      <c r="I120" s="705"/>
      <c r="J120" s="705"/>
      <c r="K120" s="705"/>
    </row>
    <row r="121" spans="2:24" ht="15.75" customHeight="1">
      <c r="B121" s="10"/>
      <c r="C121" s="11"/>
      <c r="D121" s="12"/>
      <c r="E121" s="237"/>
      <c r="F121" s="237"/>
      <c r="G121" s="237"/>
      <c r="H121" s="237"/>
      <c r="I121" s="237"/>
      <c r="J121" s="237"/>
      <c r="K121" s="266"/>
    </row>
    <row r="122" spans="2:24" ht="15.75" customHeight="1">
      <c r="B122" s="701" t="s">
        <v>135</v>
      </c>
      <c r="C122" s="701"/>
      <c r="D122" s="12"/>
      <c r="E122" s="705" t="s">
        <v>136</v>
      </c>
      <c r="F122" s="705"/>
      <c r="G122" s="705"/>
      <c r="H122" s="705"/>
      <c r="I122" s="705"/>
      <c r="J122" s="705"/>
      <c r="K122" s="705"/>
    </row>
    <row r="123" spans="2:24" ht="15.75" customHeight="1">
      <c r="B123" s="701" t="s">
        <v>137</v>
      </c>
      <c r="C123" s="701"/>
      <c r="D123" s="12"/>
      <c r="E123" s="705" t="s">
        <v>138</v>
      </c>
      <c r="F123" s="705"/>
      <c r="G123" s="705"/>
      <c r="H123" s="705"/>
      <c r="I123" s="705"/>
      <c r="J123" s="705"/>
      <c r="K123" s="705"/>
    </row>
    <row r="124" spans="2:24" ht="15.75" customHeight="1">
      <c r="B124" s="701" t="s">
        <v>139</v>
      </c>
      <c r="C124" s="701"/>
      <c r="D124" s="12"/>
      <c r="E124" s="705"/>
      <c r="F124" s="705"/>
      <c r="G124" s="705"/>
      <c r="H124" s="705"/>
      <c r="I124" s="705"/>
      <c r="J124" s="705"/>
      <c r="K124" s="705"/>
    </row>
    <row r="125" spans="2:24" ht="15.75" customHeight="1">
      <c r="B125" s="701" t="s">
        <v>140</v>
      </c>
      <c r="C125" s="701"/>
      <c r="D125" s="12"/>
      <c r="E125" s="705" t="s">
        <v>141</v>
      </c>
      <c r="F125" s="705"/>
      <c r="G125" s="705"/>
      <c r="H125" s="705"/>
      <c r="I125" s="705"/>
      <c r="J125" s="705"/>
      <c r="K125" s="705"/>
    </row>
    <row r="126" spans="2:24" ht="15.75" customHeight="1">
      <c r="B126" s="10"/>
      <c r="C126" s="11"/>
      <c r="D126" s="12"/>
      <c r="E126" s="237"/>
      <c r="F126" s="237"/>
      <c r="G126" s="237"/>
      <c r="H126" s="237"/>
      <c r="I126" s="237"/>
      <c r="J126" s="237"/>
      <c r="K126" s="266"/>
    </row>
    <row r="127" spans="2:24" ht="15.75" customHeight="1">
      <c r="B127" s="701" t="s">
        <v>142</v>
      </c>
      <c r="C127" s="701"/>
      <c r="D127" s="12"/>
      <c r="E127" s="705" t="s">
        <v>143</v>
      </c>
      <c r="F127" s="705"/>
      <c r="G127" s="705"/>
      <c r="H127" s="705"/>
      <c r="I127" s="705"/>
      <c r="J127" s="705"/>
      <c r="K127" s="705"/>
    </row>
    <row r="128" spans="2:24" ht="15.75" customHeight="1">
      <c r="B128" s="701" t="s">
        <v>144</v>
      </c>
      <c r="C128" s="701"/>
      <c r="D128" s="12"/>
      <c r="E128" s="705" t="s">
        <v>115</v>
      </c>
      <c r="F128" s="705"/>
      <c r="G128" s="705"/>
      <c r="H128" s="705"/>
      <c r="I128" s="705"/>
      <c r="J128" s="705"/>
      <c r="K128" s="705"/>
    </row>
    <row r="129" spans="2:11" ht="15.75" customHeight="1">
      <c r="B129" s="701" t="s">
        <v>145</v>
      </c>
      <c r="C129" s="701"/>
      <c r="D129" s="12"/>
      <c r="E129" s="706" t="s">
        <v>146</v>
      </c>
      <c r="F129" s="706"/>
      <c r="G129" s="706"/>
      <c r="H129" s="706"/>
      <c r="I129" s="706"/>
      <c r="J129" s="706"/>
      <c r="K129" s="706"/>
    </row>
    <row r="130" spans="2:11" ht="15.75" customHeight="1">
      <c r="B130" s="707"/>
      <c r="C130" s="707"/>
      <c r="D130" s="12"/>
      <c r="E130" s="706" t="s">
        <v>147</v>
      </c>
      <c r="F130" s="706"/>
      <c r="G130" s="706"/>
      <c r="H130" s="706"/>
      <c r="I130" s="706"/>
      <c r="J130" s="706"/>
      <c r="K130" s="706"/>
    </row>
    <row r="131" spans="2:11" ht="15.75" customHeight="1">
      <c r="B131" s="707"/>
      <c r="C131" s="707"/>
      <c r="D131" s="12"/>
      <c r="E131" s="706" t="s">
        <v>148</v>
      </c>
      <c r="F131" s="706"/>
      <c r="G131" s="706"/>
      <c r="H131" s="706"/>
      <c r="I131" s="706"/>
      <c r="J131" s="706"/>
      <c r="K131" s="706"/>
    </row>
    <row r="132" spans="2:11" ht="15.75" customHeight="1">
      <c r="B132" s="707"/>
      <c r="C132" s="707"/>
      <c r="D132" s="12"/>
      <c r="E132" s="706" t="s">
        <v>149</v>
      </c>
      <c r="F132" s="706"/>
      <c r="G132" s="706"/>
      <c r="H132" s="706"/>
      <c r="I132" s="706"/>
      <c r="J132" s="706"/>
      <c r="K132" s="706"/>
    </row>
    <row r="133" spans="2:11" ht="15.75" customHeight="1">
      <c r="B133" s="707"/>
      <c r="C133" s="707"/>
      <c r="D133" s="12"/>
      <c r="E133" s="706" t="s">
        <v>459</v>
      </c>
      <c r="F133" s="706"/>
      <c r="G133" s="706"/>
      <c r="H133" s="706"/>
      <c r="I133" s="706"/>
      <c r="J133" s="706"/>
      <c r="K133" s="706"/>
    </row>
    <row r="134" spans="2:11" ht="15.75" customHeight="1">
      <c r="B134" s="707"/>
      <c r="C134" s="707"/>
      <c r="D134" s="12"/>
      <c r="E134" s="706" t="s">
        <v>151</v>
      </c>
      <c r="F134" s="706"/>
      <c r="G134" s="706"/>
      <c r="H134" s="706"/>
      <c r="I134" s="706"/>
      <c r="J134" s="706"/>
      <c r="K134" s="706"/>
    </row>
    <row r="135" spans="2:11" ht="15.75" customHeight="1">
      <c r="B135" s="707"/>
      <c r="C135" s="707"/>
      <c r="D135" s="12"/>
      <c r="E135" s="706" t="s">
        <v>152</v>
      </c>
      <c r="F135" s="706"/>
      <c r="G135" s="706"/>
      <c r="H135" s="706"/>
      <c r="I135" s="706"/>
      <c r="J135" s="706"/>
      <c r="K135" s="706"/>
    </row>
    <row r="136" spans="2:11" ht="15.75" customHeight="1">
      <c r="B136" s="707"/>
      <c r="C136" s="707"/>
      <c r="D136" s="12"/>
      <c r="E136" s="706" t="s">
        <v>153</v>
      </c>
      <c r="F136" s="706"/>
      <c r="G136" s="706"/>
      <c r="H136" s="706"/>
      <c r="I136" s="706"/>
      <c r="J136" s="706"/>
      <c r="K136" s="706"/>
    </row>
    <row r="137" spans="2:11" ht="15.75" customHeight="1">
      <c r="B137" s="701" t="s">
        <v>154</v>
      </c>
      <c r="C137" s="701"/>
      <c r="D137" s="12"/>
      <c r="E137" s="709" t="str">
        <f>IF(Sayfa1!C2="Seçiniz.","",IF(Sayfa1!C2="Ürün 1",IF(OR(Sayfa1!C63="Seçiniz.",Sayfa1!C63=""),"",IF(Sayfa1!C63="DİĞER",Sayfa1!D63,Sayfa1!C63)),IF(Sayfa1!C2="Ürün 2",IF(OR(Sayfa1!E63="Seçiniz.",Sayfa1!E63=""),"",IF(Sayfa1!E63="DİĞER",Sayfa1!F63,Sayfa1!E63)),IF(Sayfa1!C2="Seçiniz.","",IF(Sayfa1!C2="Ürün 3",IF(OR(Sayfa1!G63="Seçiniz.",Sayfa1!G63=""),"",IF(Sayfa1!G63="DİĞER",Sayfa1!H63,Sayfa1!G63)),IF(Sayfa1!C2="Seçiniz.","",IF(Sayfa1!C2="Ürün 4",IF(OR(Sayfa1!I63="Seçiniz.",Sayfa1!I63=""),"",IF(Sayfa1!I63="DİĞER",Sayfa1!J63,Sayfa1!I63)),IF(Sayfa1!C2="Seçiniz.","",IF(Sayfa1!C2="Ürün 5",IF(OR(Sayfa1!K63="Seçiniz.",Sayfa1!K63=""),"",IF(Sayfa1!K63="DİĞER",Sayfa1!L63,Sayfa1!K63)),IF(Sayfa1!C2="Seçiniz.","",IF(Sayfa1!C2="Ürün 6",IF(OR(Sayfa1!M63="Seçiniz.",Sayfa1!M63=""),"",IF(Sayfa1!M63="DİĞER",Sayfa1!N63,Sayfa1!M63)),"")))))))))))</f>
        <v/>
      </c>
      <c r="F137" s="709"/>
      <c r="G137" s="709"/>
      <c r="H137" s="709"/>
      <c r="I137" s="709"/>
      <c r="J137" s="709"/>
      <c r="K137" s="709"/>
    </row>
    <row r="138" spans="2:11" ht="15.75" customHeight="1">
      <c r="B138" s="701" t="s">
        <v>155</v>
      </c>
      <c r="C138" s="701"/>
      <c r="D138" s="12"/>
      <c r="E138" s="705" t="s">
        <v>156</v>
      </c>
      <c r="F138" s="705"/>
      <c r="G138" s="705"/>
      <c r="H138" s="705"/>
      <c r="I138" s="705"/>
      <c r="J138" s="705"/>
      <c r="K138" s="705"/>
    </row>
    <row r="139" spans="2:11" ht="15.75" customHeight="1">
      <c r="B139" s="707"/>
      <c r="C139" s="707"/>
      <c r="D139" s="12"/>
      <c r="E139" s="705" t="s">
        <v>157</v>
      </c>
      <c r="F139" s="705"/>
      <c r="G139" s="705"/>
      <c r="H139" s="705"/>
      <c r="I139" s="705"/>
      <c r="J139" s="705"/>
      <c r="K139" s="705"/>
    </row>
    <row r="140" spans="2:11" ht="15.75" customHeight="1">
      <c r="B140" s="701" t="s">
        <v>158</v>
      </c>
      <c r="C140" s="701"/>
      <c r="D140" s="12"/>
      <c r="E140" s="705" t="s">
        <v>159</v>
      </c>
      <c r="F140" s="705"/>
      <c r="G140" s="705"/>
      <c r="H140" s="705"/>
      <c r="I140" s="705"/>
      <c r="J140" s="705"/>
      <c r="K140" s="705"/>
    </row>
    <row r="141" spans="2:11" ht="15.75" customHeight="1">
      <c r="B141" s="701" t="s">
        <v>160</v>
      </c>
      <c r="C141" s="701"/>
      <c r="D141" s="12"/>
      <c r="E141" s="705" t="s">
        <v>161</v>
      </c>
      <c r="F141" s="705"/>
      <c r="G141" s="705"/>
      <c r="H141" s="705"/>
      <c r="I141" s="705"/>
      <c r="J141" s="705"/>
      <c r="K141" s="705"/>
    </row>
    <row r="142" spans="2:11" ht="15.75" customHeight="1">
      <c r="B142" s="701" t="s">
        <v>162</v>
      </c>
      <c r="C142" s="701"/>
      <c r="D142" s="12"/>
      <c r="E142" s="708"/>
      <c r="F142" s="708"/>
      <c r="G142" s="708"/>
      <c r="H142" s="708"/>
      <c r="I142" s="708"/>
      <c r="J142" s="708"/>
      <c r="K142" s="708"/>
    </row>
    <row r="143" spans="2:11" ht="15.75" customHeight="1">
      <c r="B143" s="701" t="s">
        <v>163</v>
      </c>
      <c r="C143" s="701"/>
      <c r="D143" s="12"/>
      <c r="E143" s="705" t="s">
        <v>164</v>
      </c>
      <c r="F143" s="705"/>
      <c r="G143" s="705"/>
      <c r="H143" s="705"/>
      <c r="I143" s="705"/>
      <c r="J143" s="705"/>
      <c r="K143" s="705"/>
    </row>
    <row r="144" spans="2:11" ht="15.75" customHeight="1">
      <c r="B144" s="701" t="s">
        <v>165</v>
      </c>
      <c r="C144" s="701"/>
      <c r="D144" s="12"/>
      <c r="E144" s="705" t="s">
        <v>460</v>
      </c>
      <c r="F144" s="705"/>
      <c r="G144" s="705"/>
      <c r="H144" s="705"/>
      <c r="I144" s="705"/>
      <c r="J144" s="705"/>
      <c r="K144" s="705"/>
    </row>
    <row r="145" spans="2:11" ht="15.75" customHeight="1">
      <c r="B145" s="701" t="s">
        <v>167</v>
      </c>
      <c r="C145" s="701"/>
      <c r="D145" s="12"/>
      <c r="E145" s="705" t="s">
        <v>168</v>
      </c>
      <c r="F145" s="705"/>
      <c r="G145" s="705"/>
      <c r="H145" s="705"/>
      <c r="I145" s="705"/>
      <c r="J145" s="705"/>
      <c r="K145" s="705"/>
    </row>
    <row r="146" spans="2:11">
      <c r="B146" s="701" t="s">
        <v>169</v>
      </c>
      <c r="C146" s="701"/>
      <c r="D146" s="12"/>
      <c r="E146" s="705" t="s">
        <v>170</v>
      </c>
      <c r="F146" s="705"/>
      <c r="G146" s="705"/>
      <c r="H146" s="705"/>
      <c r="I146" s="705"/>
      <c r="J146" s="705"/>
      <c r="K146" s="705"/>
    </row>
    <row r="147" spans="2:11">
      <c r="B147" s="710"/>
      <c r="C147" s="710"/>
      <c r="D147" s="15"/>
      <c r="E147" s="711"/>
      <c r="F147" s="711"/>
      <c r="G147" s="711"/>
      <c r="H147" s="711"/>
      <c r="I147" s="711"/>
      <c r="J147" s="711"/>
      <c r="K147" s="711"/>
    </row>
  </sheetData>
  <sheetProtection selectLockedCells="1" selectUnlockedCells="1"/>
  <mergeCells count="206">
    <mergeCell ref="B83:C83"/>
    <mergeCell ref="B76:C76"/>
    <mergeCell ref="B77:C77"/>
    <mergeCell ref="B72:C72"/>
    <mergeCell ref="B73:C73"/>
    <mergeCell ref="B65:C65"/>
    <mergeCell ref="B67:C67"/>
    <mergeCell ref="B69:C69"/>
    <mergeCell ref="B62:C62"/>
    <mergeCell ref="B64:C64"/>
    <mergeCell ref="B63:C63"/>
    <mergeCell ref="C75:D75"/>
    <mergeCell ref="B70:C70"/>
    <mergeCell ref="B66:C66"/>
    <mergeCell ref="B68:C68"/>
    <mergeCell ref="B113:C113"/>
    <mergeCell ref="B99:C99"/>
    <mergeCell ref="B100:C100"/>
    <mergeCell ref="B101:C101"/>
    <mergeCell ref="B104:C104"/>
    <mergeCell ref="B105:C105"/>
    <mergeCell ref="B106:C106"/>
    <mergeCell ref="B107:C107"/>
    <mergeCell ref="B110:C110"/>
    <mergeCell ref="B111:C111"/>
    <mergeCell ref="B146:C146"/>
    <mergeCell ref="E146:K146"/>
    <mergeCell ref="B147:C147"/>
    <mergeCell ref="E147:K147"/>
    <mergeCell ref="B143:C143"/>
    <mergeCell ref="E143:K143"/>
    <mergeCell ref="B144:C144"/>
    <mergeCell ref="E144:K144"/>
    <mergeCell ref="B145:C145"/>
    <mergeCell ref="E145:K145"/>
    <mergeCell ref="B140:C140"/>
    <mergeCell ref="E140:K140"/>
    <mergeCell ref="B141:C141"/>
    <mergeCell ref="E141:K141"/>
    <mergeCell ref="B142:C142"/>
    <mergeCell ref="E142:K142"/>
    <mergeCell ref="B137:C137"/>
    <mergeCell ref="E137:K137"/>
    <mergeCell ref="B138:C138"/>
    <mergeCell ref="E138:K138"/>
    <mergeCell ref="B139:C139"/>
    <mergeCell ref="E139:K139"/>
    <mergeCell ref="B134:C134"/>
    <mergeCell ref="E134:K134"/>
    <mergeCell ref="B135:C135"/>
    <mergeCell ref="E135:K135"/>
    <mergeCell ref="B136:C136"/>
    <mergeCell ref="E136:K136"/>
    <mergeCell ref="B131:C131"/>
    <mergeCell ref="E131:K131"/>
    <mergeCell ref="B132:C132"/>
    <mergeCell ref="E132:K132"/>
    <mergeCell ref="B133:C133"/>
    <mergeCell ref="E133:K133"/>
    <mergeCell ref="B128:C128"/>
    <mergeCell ref="E128:K128"/>
    <mergeCell ref="B129:C129"/>
    <mergeCell ref="E129:K129"/>
    <mergeCell ref="B130:C130"/>
    <mergeCell ref="E130:K130"/>
    <mergeCell ref="B124:C124"/>
    <mergeCell ref="E124:K124"/>
    <mergeCell ref="B125:C125"/>
    <mergeCell ref="E125:K125"/>
    <mergeCell ref="B127:C127"/>
    <mergeCell ref="E127:K127"/>
    <mergeCell ref="B120:C120"/>
    <mergeCell ref="E120:K120"/>
    <mergeCell ref="B122:C122"/>
    <mergeCell ref="E122:K122"/>
    <mergeCell ref="B123:C123"/>
    <mergeCell ref="E123:K123"/>
    <mergeCell ref="B117:C117"/>
    <mergeCell ref="E117:K117"/>
    <mergeCell ref="B118:C118"/>
    <mergeCell ref="E118:K118"/>
    <mergeCell ref="B119:C119"/>
    <mergeCell ref="E119:K119"/>
    <mergeCell ref="E114:G114"/>
    <mergeCell ref="H114:K114"/>
    <mergeCell ref="B116:C116"/>
    <mergeCell ref="E116:K116"/>
    <mergeCell ref="B84:C84"/>
    <mergeCell ref="B85:C85"/>
    <mergeCell ref="B90:C90"/>
    <mergeCell ref="B91:C91"/>
    <mergeCell ref="B96:C96"/>
    <mergeCell ref="B97:C97"/>
    <mergeCell ref="B102:C102"/>
    <mergeCell ref="B103:C103"/>
    <mergeCell ref="B108:C108"/>
    <mergeCell ref="B109:C109"/>
    <mergeCell ref="B86:C86"/>
    <mergeCell ref="B87:C87"/>
    <mergeCell ref="B88:C88"/>
    <mergeCell ref="B89:C89"/>
    <mergeCell ref="B92:C92"/>
    <mergeCell ref="B93:C93"/>
    <mergeCell ref="B94:C94"/>
    <mergeCell ref="B95:C95"/>
    <mergeCell ref="B98:C98"/>
    <mergeCell ref="B112:C112"/>
    <mergeCell ref="B59:C59"/>
    <mergeCell ref="B60:C60"/>
    <mergeCell ref="B61:C61"/>
    <mergeCell ref="B53:D53"/>
    <mergeCell ref="E53:G53"/>
    <mergeCell ref="B56:K56"/>
    <mergeCell ref="B58:C58"/>
    <mergeCell ref="B57:D57"/>
    <mergeCell ref="K54:K55"/>
    <mergeCell ref="I57:J57"/>
    <mergeCell ref="I58:J58"/>
    <mergeCell ref="I59:J59"/>
    <mergeCell ref="I60:J60"/>
    <mergeCell ref="I61:J61"/>
    <mergeCell ref="E48:F52"/>
    <mergeCell ref="C43:D47"/>
    <mergeCell ref="C48:D52"/>
    <mergeCell ref="B43:B47"/>
    <mergeCell ref="B48:B52"/>
    <mergeCell ref="B22:D22"/>
    <mergeCell ref="C28:D32"/>
    <mergeCell ref="C33:D37"/>
    <mergeCell ref="C38:D42"/>
    <mergeCell ref="B28:B32"/>
    <mergeCell ref="B33:B37"/>
    <mergeCell ref="B38:B42"/>
    <mergeCell ref="C23:D27"/>
    <mergeCell ref="B23:B27"/>
    <mergeCell ref="E23:F27"/>
    <mergeCell ref="E28:F32"/>
    <mergeCell ref="E33:F37"/>
    <mergeCell ref="E38:F42"/>
    <mergeCell ref="E43:F47"/>
    <mergeCell ref="E22:F22"/>
    <mergeCell ref="E16:H16"/>
    <mergeCell ref="E17:H17"/>
    <mergeCell ref="E18:K18"/>
    <mergeCell ref="E19:K19"/>
    <mergeCell ref="E20:K20"/>
    <mergeCell ref="B21:K21"/>
    <mergeCell ref="B10:K10"/>
    <mergeCell ref="B11:K11"/>
    <mergeCell ref="E12:H12"/>
    <mergeCell ref="E13:H13"/>
    <mergeCell ref="E14:H14"/>
    <mergeCell ref="E15:H15"/>
    <mergeCell ref="C19:C20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98:J98"/>
    <mergeCell ref="I99:J99"/>
    <mergeCell ref="I100:J100"/>
    <mergeCell ref="I101:J101"/>
    <mergeCell ref="I102:J102"/>
    <mergeCell ref="I103:J103"/>
    <mergeCell ref="I104:J104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105:J105"/>
    <mergeCell ref="I106:J106"/>
    <mergeCell ref="I107:J107"/>
    <mergeCell ref="I108:J108"/>
    <mergeCell ref="I109:J109"/>
    <mergeCell ref="I110:J110"/>
    <mergeCell ref="I111:J111"/>
    <mergeCell ref="I112:J112"/>
    <mergeCell ref="I113:J113"/>
  </mergeCells>
  <conditionalFormatting sqref="E72">
    <cfRule type="expression" dxfId="13" priority="1">
      <formula>D72="EMBOSS VARAK YALDIZ"</formula>
    </cfRule>
    <cfRule type="expression" dxfId="12" priority="2">
      <formula>D72="VARAK YALDIZ"</formula>
    </cfRule>
  </conditionalFormatting>
  <pageMargins left="0.25" right="0.25" top="0.75" bottom="0.75" header="0.3" footer="0.3"/>
  <pageSetup paperSize="9" scale="40" firstPageNumber="0" fitToWidth="0" orientation="portrait" horizontalDpi="300" verticalDpi="300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OpenSaveAsMenu">
                <anchor moveWithCells="1" sizeWithCells="1">
                  <from>
                    <xdr:col>11</xdr:col>
                    <xdr:colOff>571500</xdr:colOff>
                    <xdr:row>1</xdr:row>
                    <xdr:rowOff>182880</xdr:rowOff>
                  </from>
                  <to>
                    <xdr:col>13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xWindow="301" yWindow="803" count="1">
        <x14:dataValidation type="list" allowBlank="1" showInputMessage="1" showErrorMessage="1" xr:uid="{2CA8D1EE-70C9-405E-B325-40732B36827F}">
          <x14:formula1>
            <xm:f>'ÜRÜN ÖZELLİKLERİ'!$C$51:$C$57</xm:f>
          </x14:formula1>
          <xm:sqref>O12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1C62E-2C01-4369-9CDC-5324414D462B}">
  <sheetPr codeName="Sayfa10"/>
  <dimension ref="A1:H59"/>
  <sheetViews>
    <sheetView topLeftCell="A34" zoomScaleNormal="100" workbookViewId="0">
      <selection activeCell="E24" sqref="E23:E24"/>
    </sheetView>
  </sheetViews>
  <sheetFormatPr defaultRowHeight="14.4"/>
  <cols>
    <col min="1" max="1" width="14.6640625" customWidth="1"/>
    <col min="2" max="2" width="18.33203125" bestFit="1" customWidth="1"/>
    <col min="3" max="3" width="9.5546875" bestFit="1" customWidth="1"/>
    <col min="4" max="4" width="12.5546875" bestFit="1" customWidth="1"/>
    <col min="5" max="5" width="18.33203125" bestFit="1" customWidth="1"/>
    <col min="7" max="7" width="23" customWidth="1"/>
  </cols>
  <sheetData>
    <row r="1" spans="1:8">
      <c r="A1" t="s">
        <v>281</v>
      </c>
      <c r="G1" s="719" t="s">
        <v>314</v>
      </c>
      <c r="H1" s="719"/>
    </row>
    <row r="2" spans="1:8">
      <c r="A2" t="s">
        <v>553</v>
      </c>
      <c r="B2" t="s">
        <v>558</v>
      </c>
      <c r="C2" t="s">
        <v>299</v>
      </c>
      <c r="H2" t="s">
        <v>311</v>
      </c>
    </row>
    <row r="3" spans="1:8">
      <c r="A3" t="s">
        <v>554</v>
      </c>
      <c r="B3" t="s">
        <v>556</v>
      </c>
      <c r="C3" t="s">
        <v>299</v>
      </c>
      <c r="G3" t="s">
        <v>313</v>
      </c>
      <c r="H3" t="str">
        <f>IF('Proforma Invoice'!M7="Seçiniz."," ",IF('Proforma Invoice'!M7="Ürün 1",Sayfa1!C4,IF('Proforma Invoice'!M7="Ürün 2",Sayfa1!E4,IF('Proforma Invoice'!M7="Ürün 3",Sayfa1!G4,IF('Proforma Invoice'!M7="Ürün 4",Sayfa1!I4,IF('Proforma Invoice'!M7="Ürün 5",Sayfa1!K4,IF('Proforma Invoice'!M7="Ürün 6",Sayfa1!M4,)))))))</f>
        <v xml:space="preserve"> </v>
      </c>
    </row>
    <row r="4" spans="1:8">
      <c r="A4" t="s">
        <v>582</v>
      </c>
      <c r="B4" t="s">
        <v>583</v>
      </c>
      <c r="C4" t="s">
        <v>299</v>
      </c>
      <c r="G4" t="s">
        <v>312</v>
      </c>
      <c r="H4" t="b">
        <f>IF('Proforma Invoice'!$M$7="Ürün 1",Sayfa1!C19,IF('Proforma Invoice'!$M$7="Ürün 2",Sayfa1!E19,IF('Proforma Invoice'!$M$7="Ürün 3",Sayfa1!G19,IF('Proforma Invoice'!$M$7="Ürün 4",Sayfa1!I19,IF('Proforma Invoice'!$M$7="Ürün 5",Sayfa1!K19,IF('Proforma Invoice'!$M$7="Ürün 6",Sayfa1!M19))))))</f>
        <v>0</v>
      </c>
    </row>
    <row r="5" spans="1:8">
      <c r="A5" t="s">
        <v>1108</v>
      </c>
      <c r="B5" t="s">
        <v>1109</v>
      </c>
      <c r="C5" t="s">
        <v>299</v>
      </c>
      <c r="G5" t="s">
        <v>10</v>
      </c>
      <c r="H5" t="b">
        <f>IF('Proforma Invoice'!$M$7="Ürün 1",Sayfa1!C20,IF('Proforma Invoice'!$M$7="Ürün 2",Sayfa1!E20,IF('Proforma Invoice'!$M$7="Ürün 3",Sayfa1!G20,IF('Proforma Invoice'!$M$7="Ürün 4",Sayfa1!I20,IF('Proforma Invoice'!$M$7="Ürün 5",Sayfa1!K20,IF('Proforma Invoice'!$M$7="Ürün 6",Sayfa1!M20))))))</f>
        <v>0</v>
      </c>
    </row>
    <row r="6" spans="1:8">
      <c r="A6" t="s">
        <v>1</v>
      </c>
      <c r="B6" t="s">
        <v>557</v>
      </c>
      <c r="C6" t="s">
        <v>299</v>
      </c>
      <c r="G6" t="s">
        <v>11</v>
      </c>
      <c r="H6" t="b">
        <f>IF('Proforma Invoice'!$M$7="Ürün 1",Sayfa1!C22,IF('Proforma Invoice'!$M$7="Ürün 2",Sayfa1!E22,IF('Proforma Invoice'!$M$7="Ürün 3",Sayfa1!G22,IF('Proforma Invoice'!$M$7="Ürün 4",Sayfa1!I22,IF('Proforma Invoice'!$M$7="Ürün 5",Sayfa1!K22,IF('Proforma Invoice'!$M$7="Ürün 6",Sayfa1!M22))))))</f>
        <v>0</v>
      </c>
    </row>
    <row r="7" spans="1:8">
      <c r="A7" t="s">
        <v>555</v>
      </c>
      <c r="B7" t="s">
        <v>123</v>
      </c>
      <c r="C7" t="s">
        <v>299</v>
      </c>
      <c r="G7" t="s">
        <v>82</v>
      </c>
      <c r="H7" t="b">
        <f>IF('Proforma Invoice'!$M$7="Ürün 1",Sayfa1!C23,IF('Proforma Invoice'!$M$7="Ürün 2",Sayfa1!E23,IF('Proforma Invoice'!$M$7="Ürün 3",Sayfa1!G23,IF('Proforma Invoice'!$M$7="Ürün 4",Sayfa1!I23,IF('Proforma Invoice'!$M$7="Ürün 5",Sayfa1!K23,IF('Proforma Invoice'!$M$7="Ürün 6",Sayfa1!M23))))))</f>
        <v>0</v>
      </c>
    </row>
    <row r="8" spans="1:8">
      <c r="A8" t="s">
        <v>52</v>
      </c>
      <c r="B8" t="s">
        <v>342</v>
      </c>
      <c r="D8" t="s">
        <v>60</v>
      </c>
      <c r="E8" t="s">
        <v>300</v>
      </c>
    </row>
    <row r="9" spans="1:8">
      <c r="D9" t="s">
        <v>14</v>
      </c>
      <c r="E9" t="s">
        <v>301</v>
      </c>
    </row>
    <row r="10" spans="1:8">
      <c r="D10" t="s">
        <v>13</v>
      </c>
      <c r="E10" t="s">
        <v>302</v>
      </c>
    </row>
    <row r="12" spans="1:8">
      <c r="A12" s="41" t="s">
        <v>281</v>
      </c>
      <c r="B12" s="41" t="s">
        <v>281</v>
      </c>
    </row>
    <row r="13" spans="1:8">
      <c r="A13" s="40" t="s">
        <v>366</v>
      </c>
      <c r="B13" s="40" t="s">
        <v>411</v>
      </c>
    </row>
    <row r="14" spans="1:8">
      <c r="A14" s="40" t="s">
        <v>367</v>
      </c>
      <c r="B14" s="40" t="s">
        <v>367</v>
      </c>
    </row>
    <row r="15" spans="1:8">
      <c r="A15" s="40" t="s">
        <v>368</v>
      </c>
      <c r="B15" s="40" t="s">
        <v>412</v>
      </c>
    </row>
    <row r="16" spans="1:8">
      <c r="A16" s="40" t="s">
        <v>369</v>
      </c>
      <c r="B16" s="40" t="s">
        <v>413</v>
      </c>
    </row>
    <row r="17" spans="1:2">
      <c r="A17" s="40" t="s">
        <v>370</v>
      </c>
      <c r="B17" s="40" t="s">
        <v>414</v>
      </c>
    </row>
    <row r="18" spans="1:2">
      <c r="A18" s="40" t="s">
        <v>371</v>
      </c>
      <c r="B18" s="40" t="s">
        <v>415</v>
      </c>
    </row>
    <row r="19" spans="1:2">
      <c r="A19" s="40" t="s">
        <v>372</v>
      </c>
      <c r="B19" s="40" t="s">
        <v>416</v>
      </c>
    </row>
    <row r="20" spans="1:2">
      <c r="A20" s="40" t="s">
        <v>373</v>
      </c>
      <c r="B20" s="40" t="s">
        <v>417</v>
      </c>
    </row>
    <row r="21" spans="1:2">
      <c r="A21" s="40" t="s">
        <v>374</v>
      </c>
      <c r="B21" s="40" t="s">
        <v>418</v>
      </c>
    </row>
    <row r="22" spans="1:2">
      <c r="A22" s="40" t="s">
        <v>375</v>
      </c>
      <c r="B22" s="40" t="s">
        <v>419</v>
      </c>
    </row>
    <row r="23" spans="1:2">
      <c r="A23" s="40" t="s">
        <v>376</v>
      </c>
      <c r="B23" s="40" t="s">
        <v>420</v>
      </c>
    </row>
    <row r="24" spans="1:2">
      <c r="A24" s="40" t="s">
        <v>377</v>
      </c>
      <c r="B24" s="40" t="s">
        <v>421</v>
      </c>
    </row>
    <row r="25" spans="1:2">
      <c r="A25" s="40" t="s">
        <v>378</v>
      </c>
      <c r="B25" s="40" t="s">
        <v>422</v>
      </c>
    </row>
    <row r="26" spans="1:2">
      <c r="A26" s="40" t="s">
        <v>379</v>
      </c>
      <c r="B26" s="40" t="s">
        <v>423</v>
      </c>
    </row>
    <row r="27" spans="1:2">
      <c r="A27" s="40" t="s">
        <v>380</v>
      </c>
      <c r="B27" s="40" t="s">
        <v>424</v>
      </c>
    </row>
    <row r="28" spans="1:2">
      <c r="A28" s="40" t="s">
        <v>381</v>
      </c>
      <c r="B28" s="40" t="s">
        <v>425</v>
      </c>
    </row>
    <row r="29" spans="1:2">
      <c r="A29" s="40" t="s">
        <v>382</v>
      </c>
      <c r="B29" s="40" t="s">
        <v>426</v>
      </c>
    </row>
    <row r="30" spans="1:2">
      <c r="A30" s="40" t="s">
        <v>383</v>
      </c>
      <c r="B30" s="40" t="s">
        <v>427</v>
      </c>
    </row>
    <row r="31" spans="1:2">
      <c r="A31" s="40" t="s">
        <v>384</v>
      </c>
      <c r="B31" s="40" t="s">
        <v>428</v>
      </c>
    </row>
    <row r="32" spans="1:2">
      <c r="A32" s="40" t="s">
        <v>385</v>
      </c>
      <c r="B32" s="40" t="s">
        <v>429</v>
      </c>
    </row>
    <row r="33" spans="1:2">
      <c r="A33" s="40" t="s">
        <v>386</v>
      </c>
      <c r="B33" s="40" t="s">
        <v>430</v>
      </c>
    </row>
    <row r="34" spans="1:2">
      <c r="A34" s="40" t="s">
        <v>387</v>
      </c>
      <c r="B34" s="40" t="s">
        <v>431</v>
      </c>
    </row>
    <row r="35" spans="1:2">
      <c r="A35" s="40" t="s">
        <v>388</v>
      </c>
      <c r="B35" s="40" t="s">
        <v>432</v>
      </c>
    </row>
    <row r="36" spans="1:2">
      <c r="A36" s="40" t="s">
        <v>389</v>
      </c>
      <c r="B36" s="40" t="s">
        <v>433</v>
      </c>
    </row>
    <row r="37" spans="1:2">
      <c r="A37" s="40" t="s">
        <v>390</v>
      </c>
      <c r="B37" s="40" t="s">
        <v>434</v>
      </c>
    </row>
    <row r="38" spans="1:2">
      <c r="A38" s="40" t="s">
        <v>391</v>
      </c>
      <c r="B38" s="40" t="s">
        <v>391</v>
      </c>
    </row>
    <row r="39" spans="1:2">
      <c r="A39" s="40" t="s">
        <v>392</v>
      </c>
      <c r="B39" s="40" t="s">
        <v>392</v>
      </c>
    </row>
    <row r="40" spans="1:2">
      <c r="A40" s="40" t="s">
        <v>393</v>
      </c>
      <c r="B40" s="40" t="s">
        <v>435</v>
      </c>
    </row>
    <row r="41" spans="1:2">
      <c r="A41" s="40" t="s">
        <v>394</v>
      </c>
      <c r="B41" s="40" t="s">
        <v>436</v>
      </c>
    </row>
    <row r="42" spans="1:2">
      <c r="A42" s="40" t="s">
        <v>395</v>
      </c>
      <c r="B42" s="40" t="s">
        <v>437</v>
      </c>
    </row>
    <row r="43" spans="1:2">
      <c r="A43" s="40" t="s">
        <v>396</v>
      </c>
      <c r="B43" s="40" t="s">
        <v>438</v>
      </c>
    </row>
    <row r="44" spans="1:2">
      <c r="A44" s="40" t="s">
        <v>397</v>
      </c>
      <c r="B44" s="40" t="s">
        <v>439</v>
      </c>
    </row>
    <row r="45" spans="1:2">
      <c r="A45" s="40" t="s">
        <v>398</v>
      </c>
      <c r="B45" s="40" t="s">
        <v>440</v>
      </c>
    </row>
    <row r="46" spans="1:2">
      <c r="A46" s="40" t="s">
        <v>399</v>
      </c>
      <c r="B46" s="40" t="s">
        <v>441</v>
      </c>
    </row>
    <row r="47" spans="1:2">
      <c r="A47" s="40" t="s">
        <v>400</v>
      </c>
      <c r="B47" s="40" t="s">
        <v>442</v>
      </c>
    </row>
    <row r="48" spans="1:2">
      <c r="A48" s="40" t="s">
        <v>401</v>
      </c>
      <c r="B48" s="40" t="s">
        <v>443</v>
      </c>
    </row>
    <row r="49" spans="1:2">
      <c r="A49" s="40" t="s">
        <v>402</v>
      </c>
      <c r="B49" s="40" t="s">
        <v>402</v>
      </c>
    </row>
    <row r="50" spans="1:2">
      <c r="A50" s="40" t="s">
        <v>403</v>
      </c>
      <c r="B50" s="40" t="s">
        <v>444</v>
      </c>
    </row>
    <row r="51" spans="1:2">
      <c r="A51" s="40" t="s">
        <v>404</v>
      </c>
      <c r="B51" s="40" t="s">
        <v>445</v>
      </c>
    </row>
    <row r="52" spans="1:2">
      <c r="A52" s="40" t="s">
        <v>405</v>
      </c>
      <c r="B52" s="40" t="s">
        <v>446</v>
      </c>
    </row>
    <row r="53" spans="1:2">
      <c r="A53" s="40" t="s">
        <v>406</v>
      </c>
      <c r="B53" s="40" t="s">
        <v>447</v>
      </c>
    </row>
    <row r="54" spans="1:2">
      <c r="A54" s="40" t="s">
        <v>407</v>
      </c>
      <c r="B54" s="40" t="s">
        <v>448</v>
      </c>
    </row>
    <row r="55" spans="1:2">
      <c r="A55" s="40" t="s">
        <v>408</v>
      </c>
      <c r="B55" s="40" t="s">
        <v>449</v>
      </c>
    </row>
    <row r="56" spans="1:2">
      <c r="A56" s="40" t="s">
        <v>409</v>
      </c>
      <c r="B56" s="40" t="s">
        <v>450</v>
      </c>
    </row>
    <row r="57" spans="1:2">
      <c r="A57" s="40" t="s">
        <v>410</v>
      </c>
      <c r="B57" s="40" t="s">
        <v>451</v>
      </c>
    </row>
    <row r="58" spans="1:2">
      <c r="A58" s="40" t="s">
        <v>453</v>
      </c>
      <c r="B58" s="40" t="s">
        <v>452</v>
      </c>
    </row>
    <row r="59" spans="1:2">
      <c r="A59" s="40" t="s">
        <v>599</v>
      </c>
      <c r="B59" s="40" t="s">
        <v>683</v>
      </c>
    </row>
  </sheetData>
  <mergeCells count="1">
    <mergeCell ref="G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19C4-D9D9-4582-87A5-59B9949ED906}">
  <sheetPr codeName="Sayfa3"/>
  <dimension ref="A1:S206"/>
  <sheetViews>
    <sheetView zoomScale="85" zoomScaleNormal="85" workbookViewId="0">
      <selection activeCell="E12" sqref="E12"/>
    </sheetView>
  </sheetViews>
  <sheetFormatPr defaultRowHeight="14.4"/>
  <cols>
    <col min="2" max="2" width="12.77734375" bestFit="1" customWidth="1"/>
    <col min="3" max="3" width="18.88671875" bestFit="1" customWidth="1"/>
    <col min="4" max="4" width="17.33203125" customWidth="1"/>
    <col min="5" max="5" width="93" bestFit="1" customWidth="1"/>
    <col min="6" max="6" width="26.5546875" customWidth="1"/>
    <col min="7" max="7" width="32.6640625" bestFit="1" customWidth="1"/>
    <col min="8" max="8" width="26.33203125" bestFit="1" customWidth="1"/>
    <col min="9" max="9" width="33.77734375" bestFit="1" customWidth="1"/>
    <col min="10" max="10" width="24.6640625" bestFit="1" customWidth="1"/>
    <col min="12" max="12" width="14.109375" bestFit="1" customWidth="1"/>
    <col min="13" max="13" width="43.77734375" bestFit="1" customWidth="1"/>
    <col min="14" max="14" width="21.33203125" bestFit="1" customWidth="1"/>
    <col min="15" max="15" width="48.21875" bestFit="1" customWidth="1"/>
    <col min="16" max="16" width="12.109375" bestFit="1" customWidth="1"/>
    <col min="17" max="17" width="33.77734375" bestFit="1" customWidth="1"/>
    <col min="18" max="18" width="24.6640625" bestFit="1" customWidth="1"/>
  </cols>
  <sheetData>
    <row r="1" spans="1:9" ht="15" thickBot="1">
      <c r="B1" s="298" t="s">
        <v>855</v>
      </c>
      <c r="C1" s="298" t="s">
        <v>732</v>
      </c>
      <c r="D1" s="298" t="s">
        <v>733</v>
      </c>
      <c r="E1" s="298" t="s">
        <v>734</v>
      </c>
      <c r="F1" s="298" t="s">
        <v>250</v>
      </c>
      <c r="G1" s="298" t="s">
        <v>106</v>
      </c>
      <c r="H1" s="298" t="s">
        <v>108</v>
      </c>
      <c r="I1" s="298" t="s">
        <v>1099</v>
      </c>
    </row>
    <row r="2" spans="1:9">
      <c r="A2" s="3"/>
      <c r="B2" s="304" t="s">
        <v>8</v>
      </c>
      <c r="C2" s="299" t="s">
        <v>735</v>
      </c>
      <c r="D2" s="299" t="s">
        <v>1074</v>
      </c>
      <c r="E2" s="299" t="s">
        <v>736</v>
      </c>
      <c r="F2" s="299">
        <v>8902</v>
      </c>
      <c r="G2" s="308" t="s">
        <v>737</v>
      </c>
      <c r="H2" s="299" t="s">
        <v>738</v>
      </c>
      <c r="I2" s="299" t="s">
        <v>406</v>
      </c>
    </row>
    <row r="3" spans="1:9">
      <c r="A3" s="3"/>
      <c r="B3" s="303" t="s">
        <v>8</v>
      </c>
      <c r="C3" s="300" t="s">
        <v>739</v>
      </c>
      <c r="D3" s="300" t="s">
        <v>1075</v>
      </c>
      <c r="E3" s="300" t="s">
        <v>740</v>
      </c>
      <c r="F3" s="300">
        <v>30006</v>
      </c>
      <c r="G3" s="308" t="s">
        <v>741</v>
      </c>
      <c r="H3" s="300" t="s">
        <v>742</v>
      </c>
      <c r="I3" s="299" t="s">
        <v>406</v>
      </c>
    </row>
    <row r="4" spans="1:9">
      <c r="A4" s="3"/>
      <c r="B4" s="303" t="s">
        <v>8</v>
      </c>
      <c r="C4" s="300" t="s">
        <v>743</v>
      </c>
      <c r="D4" s="300" t="s">
        <v>1076</v>
      </c>
      <c r="E4" s="300" t="s">
        <v>744</v>
      </c>
      <c r="F4" s="300" t="s">
        <v>745</v>
      </c>
      <c r="G4" s="300" t="s">
        <v>746</v>
      </c>
      <c r="H4" s="300" t="s">
        <v>747</v>
      </c>
      <c r="I4" s="299" t="s">
        <v>854</v>
      </c>
    </row>
    <row r="5" spans="1:9">
      <c r="A5" s="3"/>
      <c r="B5" s="303" t="s">
        <v>8</v>
      </c>
      <c r="C5" s="300" t="s">
        <v>748</v>
      </c>
      <c r="D5" s="300" t="s">
        <v>1077</v>
      </c>
      <c r="E5" s="300" t="s">
        <v>749</v>
      </c>
      <c r="F5" s="300" t="s">
        <v>750</v>
      </c>
      <c r="G5" s="300" t="s">
        <v>751</v>
      </c>
      <c r="H5" t="s">
        <v>752</v>
      </c>
      <c r="I5" s="299" t="s">
        <v>854</v>
      </c>
    </row>
    <row r="6" spans="1:9">
      <c r="A6" s="3"/>
      <c r="B6" s="303" t="s">
        <v>8</v>
      </c>
      <c r="C6" s="300" t="s">
        <v>753</v>
      </c>
      <c r="D6" s="300" t="s">
        <v>1078</v>
      </c>
      <c r="E6" s="300" t="s">
        <v>754</v>
      </c>
      <c r="F6" s="300" t="s">
        <v>755</v>
      </c>
      <c r="G6" s="300" t="s">
        <v>756</v>
      </c>
      <c r="H6" s="300" t="s">
        <v>757</v>
      </c>
      <c r="I6" s="299" t="s">
        <v>854</v>
      </c>
    </row>
    <row r="7" spans="1:9">
      <c r="A7" s="3"/>
      <c r="B7" s="303" t="s">
        <v>8</v>
      </c>
      <c r="C7" s="300" t="s">
        <v>758</v>
      </c>
      <c r="D7" s="300" t="s">
        <v>1079</v>
      </c>
      <c r="E7" s="300" t="s">
        <v>759</v>
      </c>
      <c r="F7" s="300" t="s">
        <v>760</v>
      </c>
      <c r="G7" s="300" t="s">
        <v>761</v>
      </c>
      <c r="H7" s="300" t="s">
        <v>762</v>
      </c>
      <c r="I7" s="299" t="s">
        <v>395</v>
      </c>
    </row>
    <row r="8" spans="1:9">
      <c r="A8" s="3"/>
      <c r="B8" s="303" t="s">
        <v>8</v>
      </c>
      <c r="C8" s="300" t="s">
        <v>763</v>
      </c>
      <c r="D8" s="300" t="s">
        <v>1080</v>
      </c>
      <c r="E8" s="300" t="s">
        <v>764</v>
      </c>
      <c r="F8" s="300" t="s">
        <v>765</v>
      </c>
      <c r="G8" s="300" t="s">
        <v>766</v>
      </c>
      <c r="H8" s="300" t="s">
        <v>767</v>
      </c>
      <c r="I8" s="299" t="s">
        <v>406</v>
      </c>
    </row>
    <row r="9" spans="1:9">
      <c r="A9" s="3"/>
      <c r="B9" s="303" t="s">
        <v>8</v>
      </c>
      <c r="C9" s="300" t="s">
        <v>768</v>
      </c>
      <c r="D9" s="300" t="s">
        <v>1081</v>
      </c>
      <c r="E9" s="300" t="s">
        <v>769</v>
      </c>
      <c r="F9" s="300" t="s">
        <v>770</v>
      </c>
      <c r="G9" s="300" t="s">
        <v>771</v>
      </c>
      <c r="H9" t="s">
        <v>772</v>
      </c>
      <c r="I9" s="299" t="s">
        <v>406</v>
      </c>
    </row>
    <row r="10" spans="1:9">
      <c r="B10" s="303" t="s">
        <v>8</v>
      </c>
      <c r="C10" s="300" t="s">
        <v>773</v>
      </c>
      <c r="D10" s="300" t="s">
        <v>1082</v>
      </c>
      <c r="E10" s="300" t="s">
        <v>774</v>
      </c>
      <c r="F10" s="300" t="s">
        <v>775</v>
      </c>
      <c r="G10" s="300" t="s">
        <v>776</v>
      </c>
      <c r="H10" t="s">
        <v>777</v>
      </c>
      <c r="I10" s="299" t="s">
        <v>854</v>
      </c>
    </row>
    <row r="11" spans="1:9">
      <c r="B11" s="303" t="s">
        <v>8</v>
      </c>
      <c r="C11" s="300" t="s">
        <v>778</v>
      </c>
      <c r="D11" s="300" t="s">
        <v>1083</v>
      </c>
      <c r="E11" s="300" t="s">
        <v>779</v>
      </c>
      <c r="F11" s="300" t="s">
        <v>780</v>
      </c>
      <c r="G11" s="300" t="s">
        <v>781</v>
      </c>
      <c r="H11" t="s">
        <v>782</v>
      </c>
      <c r="I11" s="299" t="s">
        <v>406</v>
      </c>
    </row>
    <row r="12" spans="1:9">
      <c r="B12" s="303" t="s">
        <v>8</v>
      </c>
      <c r="C12" s="300" t="s">
        <v>783</v>
      </c>
      <c r="D12" s="300" t="s">
        <v>1084</v>
      </c>
      <c r="E12" s="300" t="s">
        <v>784</v>
      </c>
      <c r="F12" s="300" t="s">
        <v>785</v>
      </c>
      <c r="G12" s="300" t="s">
        <v>786</v>
      </c>
      <c r="H12" s="300" t="s">
        <v>787</v>
      </c>
      <c r="I12" s="299" t="s">
        <v>406</v>
      </c>
    </row>
    <row r="13" spans="1:9">
      <c r="B13" s="303" t="s">
        <v>8</v>
      </c>
      <c r="C13" s="300" t="s">
        <v>788</v>
      </c>
      <c r="D13" s="300" t="s">
        <v>1085</v>
      </c>
      <c r="E13" s="300" t="s">
        <v>789</v>
      </c>
      <c r="F13" s="300" t="s">
        <v>790</v>
      </c>
      <c r="G13" s="300" t="s">
        <v>791</v>
      </c>
      <c r="H13" s="300" t="s">
        <v>792</v>
      </c>
      <c r="I13" s="299" t="s">
        <v>406</v>
      </c>
    </row>
    <row r="14" spans="1:9">
      <c r="B14" s="303" t="s">
        <v>8</v>
      </c>
      <c r="C14" s="300" t="s">
        <v>793</v>
      </c>
      <c r="D14" s="300" t="s">
        <v>1086</v>
      </c>
      <c r="E14" s="300" t="s">
        <v>794</v>
      </c>
      <c r="F14" s="300" t="s">
        <v>795</v>
      </c>
      <c r="G14" s="300" t="s">
        <v>796</v>
      </c>
      <c r="H14" s="300" t="s">
        <v>797</v>
      </c>
      <c r="I14" s="299" t="s">
        <v>406</v>
      </c>
    </row>
    <row r="15" spans="1:9">
      <c r="B15" s="303" t="s">
        <v>8</v>
      </c>
      <c r="C15" s="300" t="s">
        <v>798</v>
      </c>
      <c r="D15" s="300" t="s">
        <v>1087</v>
      </c>
      <c r="E15" s="300" t="s">
        <v>799</v>
      </c>
      <c r="F15" s="300" t="s">
        <v>800</v>
      </c>
      <c r="G15" s="300" t="s">
        <v>801</v>
      </c>
      <c r="H15" s="300" t="s">
        <v>802</v>
      </c>
      <c r="I15" s="299" t="s">
        <v>406</v>
      </c>
    </row>
    <row r="16" spans="1:9">
      <c r="B16" s="303" t="s">
        <v>8</v>
      </c>
      <c r="C16" s="300" t="s">
        <v>803</v>
      </c>
      <c r="D16" s="300" t="s">
        <v>1088</v>
      </c>
      <c r="E16" s="300" t="s">
        <v>804</v>
      </c>
      <c r="F16" s="300" t="s">
        <v>805</v>
      </c>
      <c r="G16" s="300" t="s">
        <v>806</v>
      </c>
      <c r="H16" s="300" t="s">
        <v>807</v>
      </c>
      <c r="I16" s="299" t="s">
        <v>406</v>
      </c>
    </row>
    <row r="17" spans="2:19">
      <c r="B17" s="303" t="s">
        <v>8</v>
      </c>
      <c r="C17" s="300" t="s">
        <v>808</v>
      </c>
      <c r="D17" s="300" t="s">
        <v>1089</v>
      </c>
      <c r="E17" s="300" t="s">
        <v>809</v>
      </c>
      <c r="F17" s="300" t="s">
        <v>810</v>
      </c>
      <c r="G17" s="300" t="s">
        <v>811</v>
      </c>
      <c r="H17" s="300" t="s">
        <v>812</v>
      </c>
      <c r="I17" s="299" t="s">
        <v>379</v>
      </c>
    </row>
    <row r="18" spans="2:19">
      <c r="B18" s="303" t="s">
        <v>8</v>
      </c>
      <c r="C18" s="300" t="s">
        <v>813</v>
      </c>
      <c r="D18" s="300" t="s">
        <v>1090</v>
      </c>
      <c r="E18" s="300" t="s">
        <v>814</v>
      </c>
      <c r="F18" s="300" t="s">
        <v>815</v>
      </c>
      <c r="G18" s="300" t="s">
        <v>816</v>
      </c>
      <c r="H18" s="300" t="s">
        <v>817</v>
      </c>
      <c r="I18" s="299" t="s">
        <v>406</v>
      </c>
    </row>
    <row r="19" spans="2:19">
      <c r="B19" s="303" t="s">
        <v>8</v>
      </c>
      <c r="C19" s="300" t="s">
        <v>818</v>
      </c>
      <c r="D19" s="300" t="s">
        <v>1091</v>
      </c>
      <c r="E19" s="300" t="s">
        <v>819</v>
      </c>
      <c r="F19" s="300" t="s">
        <v>820</v>
      </c>
      <c r="G19" s="300" t="s">
        <v>821</v>
      </c>
      <c r="H19" s="300" t="s">
        <v>822</v>
      </c>
      <c r="I19" s="299" t="s">
        <v>399</v>
      </c>
    </row>
    <row r="20" spans="2:19">
      <c r="B20" s="303" t="s">
        <v>8</v>
      </c>
      <c r="C20" s="300" t="s">
        <v>823</v>
      </c>
      <c r="D20" s="300" t="s">
        <v>1092</v>
      </c>
      <c r="E20" s="300" t="s">
        <v>824</v>
      </c>
      <c r="F20" s="300" t="s">
        <v>825</v>
      </c>
      <c r="G20" s="300" t="s">
        <v>826</v>
      </c>
      <c r="H20" s="300" t="s">
        <v>827</v>
      </c>
      <c r="I20" s="299" t="s">
        <v>406</v>
      </c>
    </row>
    <row r="21" spans="2:19">
      <c r="B21" s="303" t="s">
        <v>8</v>
      </c>
      <c r="C21" s="300" t="s">
        <v>828</v>
      </c>
      <c r="D21" s="300" t="s">
        <v>1093</v>
      </c>
      <c r="E21" s="300" t="s">
        <v>829</v>
      </c>
      <c r="F21" s="300" t="s">
        <v>830</v>
      </c>
      <c r="G21" s="300" t="s">
        <v>831</v>
      </c>
      <c r="H21" s="300" t="s">
        <v>832</v>
      </c>
      <c r="I21" s="299" t="s">
        <v>406</v>
      </c>
    </row>
    <row r="22" spans="2:19">
      <c r="B22" s="303" t="s">
        <v>8</v>
      </c>
      <c r="C22" s="300" t="s">
        <v>833</v>
      </c>
      <c r="D22" s="300" t="s">
        <v>1094</v>
      </c>
      <c r="E22" s="301" t="s">
        <v>834</v>
      </c>
      <c r="F22" s="300" t="s">
        <v>835</v>
      </c>
      <c r="G22" s="300" t="s">
        <v>836</v>
      </c>
      <c r="H22" s="300" t="s">
        <v>837</v>
      </c>
      <c r="I22" s="299" t="s">
        <v>854</v>
      </c>
    </row>
    <row r="23" spans="2:19">
      <c r="B23" s="303" t="s">
        <v>8</v>
      </c>
      <c r="C23" s="300" t="s">
        <v>838</v>
      </c>
      <c r="D23" s="300" t="s">
        <v>1095</v>
      </c>
      <c r="E23" s="300" t="s">
        <v>839</v>
      </c>
      <c r="F23" s="300" t="s">
        <v>840</v>
      </c>
      <c r="G23" s="300" t="s">
        <v>841</v>
      </c>
      <c r="H23" s="300" t="s">
        <v>842</v>
      </c>
      <c r="I23" s="299" t="s">
        <v>384</v>
      </c>
    </row>
    <row r="24" spans="2:19">
      <c r="B24" s="303" t="s">
        <v>8</v>
      </c>
      <c r="C24" s="300" t="s">
        <v>843</v>
      </c>
      <c r="D24" s="300" t="s">
        <v>1096</v>
      </c>
      <c r="E24" s="300" t="s">
        <v>844</v>
      </c>
      <c r="F24" s="300" t="s">
        <v>845</v>
      </c>
      <c r="G24" s="300" t="s">
        <v>846</v>
      </c>
      <c r="H24" s="300" t="s">
        <v>847</v>
      </c>
      <c r="I24" s="299" t="s">
        <v>395</v>
      </c>
    </row>
    <row r="25" spans="2:19">
      <c r="B25" s="303" t="s">
        <v>8</v>
      </c>
      <c r="C25" s="305" t="s">
        <v>848</v>
      </c>
      <c r="D25" s="305" t="s">
        <v>1097</v>
      </c>
      <c r="E25" s="305" t="s">
        <v>849</v>
      </c>
      <c r="F25" s="305" t="s">
        <v>850</v>
      </c>
      <c r="G25" s="300" t="s">
        <v>851</v>
      </c>
      <c r="H25" s="300" t="s">
        <v>852</v>
      </c>
      <c r="I25" s="300" t="s">
        <v>395</v>
      </c>
    </row>
    <row r="26" spans="2:19">
      <c r="B26" s="303" t="s">
        <v>8</v>
      </c>
      <c r="C26" s="306" t="s">
        <v>856</v>
      </c>
      <c r="D26" s="307" t="s">
        <v>1098</v>
      </c>
      <c r="E26" s="306" t="s">
        <v>857</v>
      </c>
      <c r="F26" s="306">
        <v>19003</v>
      </c>
      <c r="G26" s="308" t="s">
        <v>858</v>
      </c>
      <c r="H26" s="308" t="s">
        <v>859</v>
      </c>
      <c r="I26" s="300" t="s">
        <v>381</v>
      </c>
    </row>
    <row r="28" spans="2:19" ht="15" thickBot="1"/>
    <row r="29" spans="2:19">
      <c r="L29" s="302" t="s">
        <v>855</v>
      </c>
      <c r="M29" s="302" t="s">
        <v>732</v>
      </c>
      <c r="N29" s="302" t="s">
        <v>733</v>
      </c>
      <c r="O29" s="302" t="s">
        <v>734</v>
      </c>
      <c r="P29" s="302" t="s">
        <v>250</v>
      </c>
      <c r="Q29" s="302" t="s">
        <v>106</v>
      </c>
      <c r="R29" s="302" t="s">
        <v>108</v>
      </c>
      <c r="S29" s="302" t="s">
        <v>853</v>
      </c>
    </row>
    <row r="30" spans="2:19" ht="18" customHeight="1">
      <c r="L30" s="308" t="s">
        <v>717</v>
      </c>
      <c r="M30" s="303" t="s">
        <v>860</v>
      </c>
      <c r="N30" s="310">
        <v>436642405090</v>
      </c>
      <c r="O30" s="309" t="s">
        <v>861</v>
      </c>
      <c r="P30" s="303" t="s">
        <v>862</v>
      </c>
      <c r="Q30" s="311" t="s">
        <v>863</v>
      </c>
      <c r="R30" s="311" t="s">
        <v>864</v>
      </c>
      <c r="S30" s="303" t="s">
        <v>412</v>
      </c>
    </row>
    <row r="31" spans="2:19">
      <c r="L31" s="308" t="s">
        <v>717</v>
      </c>
      <c r="M31" s="303" t="s">
        <v>866</v>
      </c>
      <c r="N31" s="310" t="s">
        <v>1042</v>
      </c>
      <c r="O31" s="309" t="s">
        <v>867</v>
      </c>
      <c r="P31" s="303" t="s">
        <v>868</v>
      </c>
      <c r="Q31" s="311" t="s">
        <v>869</v>
      </c>
      <c r="R31" s="311" t="s">
        <v>870</v>
      </c>
      <c r="S31" s="303" t="s">
        <v>424</v>
      </c>
    </row>
    <row r="32" spans="2:19">
      <c r="L32" s="308" t="s">
        <v>717</v>
      </c>
      <c r="M32" s="303" t="s">
        <v>872</v>
      </c>
      <c r="N32" s="310" t="s">
        <v>1043</v>
      </c>
      <c r="O32" s="309" t="s">
        <v>873</v>
      </c>
      <c r="P32" s="303">
        <v>8953</v>
      </c>
      <c r="Q32" s="311" t="s">
        <v>874</v>
      </c>
      <c r="R32" s="311" t="s">
        <v>875</v>
      </c>
      <c r="S32" s="303" t="s">
        <v>449</v>
      </c>
    </row>
    <row r="33" spans="12:19">
      <c r="L33" s="308" t="s">
        <v>717</v>
      </c>
      <c r="M33" s="303" t="s">
        <v>877</v>
      </c>
      <c r="N33" s="310" t="s">
        <v>1044</v>
      </c>
      <c r="O33" s="309" t="s">
        <v>878</v>
      </c>
      <c r="P33" s="303">
        <v>55129</v>
      </c>
      <c r="Q33" s="311" t="s">
        <v>879</v>
      </c>
      <c r="R33" s="311" t="s">
        <v>880</v>
      </c>
      <c r="S33" s="303" t="s">
        <v>424</v>
      </c>
    </row>
    <row r="34" spans="12:19">
      <c r="L34" s="308" t="s">
        <v>717</v>
      </c>
      <c r="M34" s="303" t="s">
        <v>882</v>
      </c>
      <c r="N34" s="310" t="s">
        <v>1045</v>
      </c>
      <c r="O34" s="309" t="s">
        <v>883</v>
      </c>
      <c r="P34" s="303">
        <v>1160</v>
      </c>
      <c r="Q34" s="311" t="s">
        <v>884</v>
      </c>
      <c r="R34" s="311" t="s">
        <v>885</v>
      </c>
      <c r="S34" s="303" t="s">
        <v>412</v>
      </c>
    </row>
    <row r="35" spans="12:19">
      <c r="L35" s="308" t="s">
        <v>717</v>
      </c>
      <c r="M35" s="303" t="s">
        <v>887</v>
      </c>
      <c r="N35" s="310" t="s">
        <v>1046</v>
      </c>
      <c r="O35" s="309" t="s">
        <v>888</v>
      </c>
      <c r="P35" s="303" t="s">
        <v>889</v>
      </c>
      <c r="Q35" s="311" t="s">
        <v>890</v>
      </c>
      <c r="R35" s="311" t="s">
        <v>891</v>
      </c>
      <c r="S35" s="303" t="s">
        <v>424</v>
      </c>
    </row>
    <row r="36" spans="12:19">
      <c r="L36" s="308" t="s">
        <v>717</v>
      </c>
      <c r="M36" s="303" t="s">
        <v>893</v>
      </c>
      <c r="N36" s="310" t="s">
        <v>1047</v>
      </c>
      <c r="O36" s="309" t="s">
        <v>894</v>
      </c>
      <c r="P36" s="303">
        <v>67098</v>
      </c>
      <c r="Q36" s="311" t="s">
        <v>895</v>
      </c>
      <c r="R36" s="311" t="s">
        <v>896</v>
      </c>
      <c r="S36" s="303" t="s">
        <v>424</v>
      </c>
    </row>
    <row r="37" spans="12:19">
      <c r="L37" s="308" t="s">
        <v>717</v>
      </c>
      <c r="M37" s="303" t="s">
        <v>898</v>
      </c>
      <c r="N37" s="310" t="s">
        <v>1048</v>
      </c>
      <c r="O37" s="309" t="s">
        <v>899</v>
      </c>
      <c r="P37" s="303" t="s">
        <v>900</v>
      </c>
      <c r="Q37" s="311" t="s">
        <v>901</v>
      </c>
      <c r="R37" s="311" t="s">
        <v>902</v>
      </c>
      <c r="S37" s="303" t="s">
        <v>424</v>
      </c>
    </row>
    <row r="38" spans="12:19">
      <c r="L38" s="308" t="s">
        <v>717</v>
      </c>
      <c r="M38" s="303" t="s">
        <v>904</v>
      </c>
      <c r="N38" s="310" t="s">
        <v>1049</v>
      </c>
      <c r="O38" s="309" t="s">
        <v>905</v>
      </c>
      <c r="P38" s="303">
        <v>4720</v>
      </c>
      <c r="Q38" s="311" t="s">
        <v>906</v>
      </c>
      <c r="R38" s="311" t="s">
        <v>907</v>
      </c>
      <c r="S38" s="303" t="s">
        <v>412</v>
      </c>
    </row>
    <row r="39" spans="12:19">
      <c r="L39" s="308" t="s">
        <v>717</v>
      </c>
      <c r="M39" s="303" t="s">
        <v>909</v>
      </c>
      <c r="N39" s="310" t="s">
        <v>1050</v>
      </c>
      <c r="O39" s="309" t="s">
        <v>910</v>
      </c>
      <c r="P39" s="303">
        <v>1190</v>
      </c>
      <c r="Q39" s="311" t="s">
        <v>911</v>
      </c>
      <c r="R39" s="311" t="s">
        <v>912</v>
      </c>
      <c r="S39" s="303" t="s">
        <v>412</v>
      </c>
    </row>
    <row r="40" spans="12:19">
      <c r="L40" s="308" t="s">
        <v>717</v>
      </c>
      <c r="M40" s="303" t="s">
        <v>914</v>
      </c>
      <c r="N40" s="310" t="s">
        <v>1051</v>
      </c>
      <c r="O40" s="309" t="s">
        <v>915</v>
      </c>
      <c r="P40" s="303">
        <v>9586</v>
      </c>
      <c r="Q40" s="311" t="s">
        <v>916</v>
      </c>
      <c r="R40" s="311" t="s">
        <v>917</v>
      </c>
      <c r="S40" s="303" t="s">
        <v>412</v>
      </c>
    </row>
    <row r="41" spans="12:19">
      <c r="L41" s="308" t="s">
        <v>717</v>
      </c>
      <c r="M41" s="303" t="s">
        <v>919</v>
      </c>
      <c r="N41" s="310" t="s">
        <v>1052</v>
      </c>
      <c r="O41" s="309" t="s">
        <v>921</v>
      </c>
      <c r="P41" s="303" t="s">
        <v>922</v>
      </c>
      <c r="Q41" s="311" t="s">
        <v>923</v>
      </c>
      <c r="R41" s="311" t="s">
        <v>924</v>
      </c>
      <c r="S41" s="303" t="s">
        <v>920</v>
      </c>
    </row>
    <row r="42" spans="12:19">
      <c r="L42" s="308" t="s">
        <v>717</v>
      </c>
      <c r="M42" s="303" t="s">
        <v>926</v>
      </c>
      <c r="N42" s="310" t="s">
        <v>1053</v>
      </c>
      <c r="O42" s="309" t="s">
        <v>927</v>
      </c>
      <c r="P42" s="303" t="s">
        <v>862</v>
      </c>
      <c r="Q42" s="311" t="s">
        <v>928</v>
      </c>
      <c r="R42" s="311" t="s">
        <v>929</v>
      </c>
      <c r="S42" s="303" t="s">
        <v>412</v>
      </c>
    </row>
    <row r="43" spans="12:19">
      <c r="L43" s="308" t="s">
        <v>717</v>
      </c>
      <c r="M43" s="303" t="s">
        <v>931</v>
      </c>
      <c r="N43" s="310" t="s">
        <v>1054</v>
      </c>
      <c r="O43" s="309" t="s">
        <v>932</v>
      </c>
      <c r="P43" s="303" t="s">
        <v>933</v>
      </c>
      <c r="Q43" s="311" t="s">
        <v>934</v>
      </c>
      <c r="R43" s="311" t="s">
        <v>935</v>
      </c>
      <c r="S43" s="303" t="s">
        <v>424</v>
      </c>
    </row>
    <row r="44" spans="12:19">
      <c r="L44" s="308" t="s">
        <v>717</v>
      </c>
      <c r="M44" s="303" t="s">
        <v>937</v>
      </c>
      <c r="N44" s="310" t="s">
        <v>1055</v>
      </c>
      <c r="O44" s="309" t="s">
        <v>938</v>
      </c>
      <c r="P44" s="303">
        <v>4062</v>
      </c>
      <c r="Q44" s="311" t="s">
        <v>939</v>
      </c>
      <c r="R44" s="311" t="s">
        <v>940</v>
      </c>
      <c r="S44" s="303" t="s">
        <v>412</v>
      </c>
    </row>
    <row r="45" spans="12:19">
      <c r="L45" s="308" t="s">
        <v>717</v>
      </c>
      <c r="M45" s="303" t="s">
        <v>942</v>
      </c>
      <c r="N45" s="310" t="s">
        <v>1056</v>
      </c>
      <c r="O45" s="309" t="s">
        <v>943</v>
      </c>
      <c r="P45" s="303" t="s">
        <v>944</v>
      </c>
      <c r="Q45" s="311" t="s">
        <v>945</v>
      </c>
      <c r="R45" s="311" t="s">
        <v>946</v>
      </c>
      <c r="S45" s="303" t="s">
        <v>424</v>
      </c>
    </row>
    <row r="46" spans="12:19">
      <c r="L46" s="308" t="s">
        <v>717</v>
      </c>
      <c r="M46" s="303" t="s">
        <v>948</v>
      </c>
      <c r="N46" s="310" t="s">
        <v>1057</v>
      </c>
      <c r="O46" s="309" t="s">
        <v>949</v>
      </c>
      <c r="P46" s="303">
        <v>74078</v>
      </c>
      <c r="Q46" s="311" t="s">
        <v>950</v>
      </c>
      <c r="R46" s="311" t="s">
        <v>951</v>
      </c>
      <c r="S46" s="303" t="s">
        <v>424</v>
      </c>
    </row>
    <row r="47" spans="12:19">
      <c r="L47" s="308" t="s">
        <v>717</v>
      </c>
      <c r="M47" s="303" t="s">
        <v>953</v>
      </c>
      <c r="N47" s="310" t="s">
        <v>1058</v>
      </c>
      <c r="O47" s="309" t="s">
        <v>954</v>
      </c>
      <c r="P47" s="303">
        <v>1190</v>
      </c>
      <c r="Q47" s="311" t="s">
        <v>955</v>
      </c>
      <c r="R47" s="311" t="s">
        <v>956</v>
      </c>
      <c r="S47" s="303" t="s">
        <v>412</v>
      </c>
    </row>
    <row r="48" spans="12:19">
      <c r="L48" s="308" t="s">
        <v>717</v>
      </c>
      <c r="M48" s="303" t="s">
        <v>958</v>
      </c>
      <c r="N48" s="310" t="s">
        <v>1059</v>
      </c>
      <c r="O48" s="309" t="s">
        <v>959</v>
      </c>
      <c r="P48" s="303">
        <v>76187</v>
      </c>
      <c r="Q48" s="311" t="s">
        <v>960</v>
      </c>
      <c r="R48" s="311" t="s">
        <v>961</v>
      </c>
      <c r="S48" s="303" t="s">
        <v>424</v>
      </c>
    </row>
    <row r="49" spans="12:19">
      <c r="L49" s="308" t="s">
        <v>717</v>
      </c>
      <c r="M49" s="303" t="s">
        <v>963</v>
      </c>
      <c r="N49" s="310" t="s">
        <v>1060</v>
      </c>
      <c r="O49" s="309" t="s">
        <v>964</v>
      </c>
      <c r="P49" s="303">
        <v>1170</v>
      </c>
      <c r="Q49" s="311" t="s">
        <v>965</v>
      </c>
      <c r="R49" s="311" t="s">
        <v>966</v>
      </c>
      <c r="S49" s="303" t="s">
        <v>412</v>
      </c>
    </row>
    <row r="50" spans="12:19">
      <c r="L50" s="308" t="s">
        <v>717</v>
      </c>
      <c r="M50" s="303" t="s">
        <v>968</v>
      </c>
      <c r="N50" s="310" t="s">
        <v>1061</v>
      </c>
      <c r="O50" s="309" t="s">
        <v>969</v>
      </c>
      <c r="P50" s="303">
        <v>64823</v>
      </c>
      <c r="Q50" s="311" t="s">
        <v>970</v>
      </c>
      <c r="R50" s="311" t="s">
        <v>971</v>
      </c>
      <c r="S50" s="303" t="s">
        <v>424</v>
      </c>
    </row>
    <row r="51" spans="12:19">
      <c r="L51" s="308" t="s">
        <v>717</v>
      </c>
      <c r="M51" s="303" t="s">
        <v>973</v>
      </c>
      <c r="N51" s="310" t="s">
        <v>1062</v>
      </c>
      <c r="O51" s="309" t="s">
        <v>974</v>
      </c>
      <c r="P51" s="303">
        <v>51105</v>
      </c>
      <c r="Q51" s="311" t="s">
        <v>975</v>
      </c>
      <c r="R51" s="311" t="s">
        <v>976</v>
      </c>
      <c r="S51" s="303" t="s">
        <v>424</v>
      </c>
    </row>
    <row r="52" spans="12:19">
      <c r="L52" s="308" t="s">
        <v>717</v>
      </c>
      <c r="M52" s="303" t="s">
        <v>978</v>
      </c>
      <c r="N52" s="310" t="s">
        <v>1063</v>
      </c>
      <c r="O52" s="309" t="s">
        <v>979</v>
      </c>
      <c r="P52" s="303" t="s">
        <v>980</v>
      </c>
      <c r="Q52" s="311" t="s">
        <v>981</v>
      </c>
      <c r="R52" s="311" t="s">
        <v>982</v>
      </c>
      <c r="S52" s="303" t="s">
        <v>424</v>
      </c>
    </row>
    <row r="53" spans="12:19">
      <c r="L53" s="308" t="s">
        <v>717</v>
      </c>
      <c r="M53" s="303" t="s">
        <v>984</v>
      </c>
      <c r="N53" s="310" t="s">
        <v>1064</v>
      </c>
      <c r="O53" s="309" t="s">
        <v>985</v>
      </c>
      <c r="P53" s="303" t="s">
        <v>986</v>
      </c>
      <c r="Q53" s="311" t="s">
        <v>987</v>
      </c>
      <c r="R53" s="311" t="s">
        <v>988</v>
      </c>
      <c r="S53" s="303" t="s">
        <v>424</v>
      </c>
    </row>
    <row r="54" spans="12:19">
      <c r="L54" s="308" t="s">
        <v>717</v>
      </c>
      <c r="M54" s="303" t="s">
        <v>990</v>
      </c>
      <c r="N54" s="310" t="s">
        <v>1065</v>
      </c>
      <c r="O54" s="309" t="s">
        <v>991</v>
      </c>
      <c r="P54" s="303">
        <v>1070</v>
      </c>
      <c r="Q54" s="311" t="s">
        <v>992</v>
      </c>
      <c r="R54" s="311" t="s">
        <v>993</v>
      </c>
      <c r="S54" s="303" t="s">
        <v>412</v>
      </c>
    </row>
    <row r="55" spans="12:19">
      <c r="L55" s="308" t="s">
        <v>717</v>
      </c>
      <c r="M55" s="303" t="s">
        <v>995</v>
      </c>
      <c r="N55" s="310" t="s">
        <v>1066</v>
      </c>
      <c r="O55" s="309" t="s">
        <v>996</v>
      </c>
      <c r="P55" s="303">
        <v>88069</v>
      </c>
      <c r="Q55" s="311" t="s">
        <v>997</v>
      </c>
      <c r="R55" s="311" t="s">
        <v>998</v>
      </c>
      <c r="S55" s="303" t="s">
        <v>424</v>
      </c>
    </row>
    <row r="56" spans="12:19">
      <c r="L56" s="308" t="s">
        <v>717</v>
      </c>
      <c r="M56" s="303" t="s">
        <v>1000</v>
      </c>
      <c r="N56" s="310" t="s">
        <v>1002</v>
      </c>
      <c r="O56" s="309" t="s">
        <v>1001</v>
      </c>
      <c r="P56" s="303">
        <v>4460</v>
      </c>
      <c r="Q56" s="311" t="s">
        <v>1003</v>
      </c>
      <c r="R56" s="311" t="s">
        <v>1004</v>
      </c>
      <c r="S56" s="303" t="s">
        <v>449</v>
      </c>
    </row>
    <row r="57" spans="12:19">
      <c r="L57" s="308" t="s">
        <v>717</v>
      </c>
      <c r="M57" s="303" t="s">
        <v>1006</v>
      </c>
      <c r="N57" s="310" t="s">
        <v>1067</v>
      </c>
      <c r="O57" s="309" t="s">
        <v>1007</v>
      </c>
      <c r="P57" s="303">
        <v>5707</v>
      </c>
      <c r="Q57" s="311" t="s">
        <v>1008</v>
      </c>
      <c r="R57" s="311" t="s">
        <v>1009</v>
      </c>
      <c r="S57" s="303" t="s">
        <v>449</v>
      </c>
    </row>
    <row r="58" spans="12:19">
      <c r="L58" s="308" t="s">
        <v>717</v>
      </c>
      <c r="M58" s="303" t="s">
        <v>1011</v>
      </c>
      <c r="N58" s="310" t="s">
        <v>1068</v>
      </c>
      <c r="O58" s="309" t="s">
        <v>1012</v>
      </c>
      <c r="P58" s="303">
        <v>35075</v>
      </c>
      <c r="Q58" s="311" t="s">
        <v>1013</v>
      </c>
      <c r="R58" s="311" t="s">
        <v>1014</v>
      </c>
      <c r="S58" s="303" t="s">
        <v>424</v>
      </c>
    </row>
    <row r="59" spans="12:19">
      <c r="L59" s="308" t="s">
        <v>717</v>
      </c>
      <c r="M59" s="303" t="s">
        <v>1016</v>
      </c>
      <c r="N59" s="310" t="s">
        <v>1069</v>
      </c>
      <c r="O59" s="309" t="s">
        <v>1017</v>
      </c>
      <c r="P59" s="303">
        <v>41542</v>
      </c>
      <c r="Q59" s="311" t="s">
        <v>1018</v>
      </c>
      <c r="R59" s="311" t="s">
        <v>1019</v>
      </c>
      <c r="S59" s="303" t="s">
        <v>424</v>
      </c>
    </row>
    <row r="60" spans="12:19">
      <c r="L60" s="308" t="s">
        <v>717</v>
      </c>
      <c r="M60" s="303" t="s">
        <v>1021</v>
      </c>
      <c r="N60" s="310" t="s">
        <v>1070</v>
      </c>
      <c r="O60" s="309" t="s">
        <v>1022</v>
      </c>
      <c r="P60" s="303">
        <v>4600</v>
      </c>
      <c r="Q60" s="311" t="s">
        <v>1023</v>
      </c>
      <c r="R60" s="311" t="s">
        <v>1024</v>
      </c>
      <c r="S60" s="303" t="s">
        <v>412</v>
      </c>
    </row>
    <row r="61" spans="12:19">
      <c r="L61" s="308" t="s">
        <v>717</v>
      </c>
      <c r="M61" s="303" t="s">
        <v>1026</v>
      </c>
      <c r="N61" s="310" t="s">
        <v>1071</v>
      </c>
      <c r="O61" s="309" t="s">
        <v>1027</v>
      </c>
      <c r="P61" s="303">
        <v>2801</v>
      </c>
      <c r="Q61" s="311" t="s">
        <v>1028</v>
      </c>
      <c r="R61" s="311" t="s">
        <v>1029</v>
      </c>
      <c r="S61" s="303" t="s">
        <v>412</v>
      </c>
    </row>
    <row r="62" spans="12:19">
      <c r="L62" s="308" t="s">
        <v>717</v>
      </c>
      <c r="M62" s="303" t="s">
        <v>1031</v>
      </c>
      <c r="N62" s="310" t="s">
        <v>1072</v>
      </c>
      <c r="O62" s="309" t="s">
        <v>1032</v>
      </c>
      <c r="P62" s="303">
        <v>80335</v>
      </c>
      <c r="Q62" s="311" t="s">
        <v>1033</v>
      </c>
      <c r="R62" s="311" t="s">
        <v>1034</v>
      </c>
      <c r="S62" s="303" t="s">
        <v>424</v>
      </c>
    </row>
    <row r="63" spans="12:19">
      <c r="L63" s="308" t="s">
        <v>717</v>
      </c>
      <c r="M63" s="303" t="s">
        <v>1036</v>
      </c>
      <c r="N63" s="310" t="s">
        <v>1073</v>
      </c>
      <c r="O63" s="309" t="s">
        <v>1037</v>
      </c>
      <c r="P63" s="303" t="s">
        <v>1038</v>
      </c>
      <c r="Q63" s="311" t="s">
        <v>1039</v>
      </c>
      <c r="R63" s="311" t="s">
        <v>1040</v>
      </c>
      <c r="S63" s="303" t="s">
        <v>449</v>
      </c>
    </row>
    <row r="173" spans="11:11">
      <c r="K173" s="309" t="s">
        <v>865</v>
      </c>
    </row>
    <row r="174" spans="11:11" ht="43.2">
      <c r="K174" s="309" t="s">
        <v>871</v>
      </c>
    </row>
    <row r="175" spans="11:11" ht="28.8">
      <c r="K175" s="309" t="s">
        <v>876</v>
      </c>
    </row>
    <row r="176" spans="11:11" ht="28.8">
      <c r="K176" s="309" t="s">
        <v>881</v>
      </c>
    </row>
    <row r="177" spans="11:11" ht="28.8">
      <c r="K177" s="309" t="s">
        <v>886</v>
      </c>
    </row>
    <row r="178" spans="11:11" ht="28.8">
      <c r="K178" s="309" t="s">
        <v>892</v>
      </c>
    </row>
    <row r="179" spans="11:11" ht="28.8">
      <c r="K179" s="309" t="s">
        <v>897</v>
      </c>
    </row>
    <row r="180" spans="11:11" ht="28.8">
      <c r="K180" s="309" t="s">
        <v>903</v>
      </c>
    </row>
    <row r="181" spans="11:11" ht="43.2">
      <c r="K181" s="309" t="s">
        <v>908</v>
      </c>
    </row>
    <row r="182" spans="11:11" ht="28.8">
      <c r="K182" s="309" t="s">
        <v>913</v>
      </c>
    </row>
    <row r="183" spans="11:11" ht="28.8">
      <c r="K183" s="309" t="s">
        <v>918</v>
      </c>
    </row>
    <row r="184" spans="11:11" ht="28.8">
      <c r="K184" s="309" t="s">
        <v>925</v>
      </c>
    </row>
    <row r="185" spans="11:11" ht="28.8">
      <c r="K185" s="309" t="s">
        <v>930</v>
      </c>
    </row>
    <row r="186" spans="11:11" ht="28.8">
      <c r="K186" s="309" t="s">
        <v>936</v>
      </c>
    </row>
    <row r="187" spans="11:11" ht="28.8">
      <c r="K187" s="309" t="s">
        <v>941</v>
      </c>
    </row>
    <row r="188" spans="11:11" ht="28.8">
      <c r="K188" s="309" t="s">
        <v>947</v>
      </c>
    </row>
    <row r="189" spans="11:11" ht="43.2">
      <c r="K189" s="309" t="s">
        <v>952</v>
      </c>
    </row>
    <row r="190" spans="11:11" ht="28.8">
      <c r="K190" s="309" t="s">
        <v>957</v>
      </c>
    </row>
    <row r="191" spans="11:11" ht="28.8">
      <c r="K191" s="309" t="s">
        <v>962</v>
      </c>
    </row>
    <row r="192" spans="11:11" ht="28.8">
      <c r="K192" s="309" t="s">
        <v>967</v>
      </c>
    </row>
    <row r="193" spans="11:11" ht="28.8">
      <c r="K193" s="309" t="s">
        <v>972</v>
      </c>
    </row>
    <row r="194" spans="11:11">
      <c r="K194" s="309" t="s">
        <v>977</v>
      </c>
    </row>
    <row r="195" spans="11:11" ht="28.8">
      <c r="K195" s="309" t="s">
        <v>983</v>
      </c>
    </row>
    <row r="196" spans="11:11" ht="28.8">
      <c r="K196" s="309" t="s">
        <v>989</v>
      </c>
    </row>
    <row r="197" spans="11:11" ht="43.2">
      <c r="K197" s="309" t="s">
        <v>994</v>
      </c>
    </row>
    <row r="198" spans="11:11" ht="28.8">
      <c r="K198" s="309" t="s">
        <v>999</v>
      </c>
    </row>
    <row r="199" spans="11:11" ht="28.8">
      <c r="K199" s="309" t="s">
        <v>1005</v>
      </c>
    </row>
    <row r="200" spans="11:11" ht="28.8">
      <c r="K200" s="309" t="s">
        <v>1010</v>
      </c>
    </row>
    <row r="201" spans="11:11" ht="28.8">
      <c r="K201" s="309" t="s">
        <v>1015</v>
      </c>
    </row>
    <row r="202" spans="11:11" ht="43.2">
      <c r="K202" s="309" t="s">
        <v>1020</v>
      </c>
    </row>
    <row r="203" spans="11:11" ht="28.8">
      <c r="K203" s="309" t="s">
        <v>1025</v>
      </c>
    </row>
    <row r="204" spans="11:11" ht="28.8">
      <c r="K204" s="309" t="s">
        <v>1030</v>
      </c>
    </row>
    <row r="205" spans="11:11" ht="28.8">
      <c r="K205" s="309" t="s">
        <v>1035</v>
      </c>
    </row>
    <row r="206" spans="11:11" ht="28.8">
      <c r="K206" s="309" t="s">
        <v>1041</v>
      </c>
    </row>
  </sheetData>
  <hyperlinks>
    <hyperlink ref="R30" r:id="rId1" xr:uid="{8C826CD5-AB73-43BA-924B-93C3D36F1A57}"/>
    <hyperlink ref="Q30" r:id="rId2" xr:uid="{8A385477-23FA-4B5D-BDED-997A8DB1E216}"/>
    <hyperlink ref="Q31" r:id="rId3" xr:uid="{F86C2019-805C-4C4D-BEC6-39D051F1EF9C}"/>
    <hyperlink ref="R31" r:id="rId4" xr:uid="{3B063A5A-ABC3-45AD-B547-1F37C6BE7104}"/>
    <hyperlink ref="R32" r:id="rId5" xr:uid="{A0FE907B-6E16-43A4-B79F-5576B99F5F1C}"/>
    <hyperlink ref="Q32" r:id="rId6" xr:uid="{848A69FC-003D-4523-A944-9C5F546AC83B}"/>
    <hyperlink ref="R33" r:id="rId7" xr:uid="{7EA7DFA1-20BC-44AB-B80B-51FFCC5D4222}"/>
    <hyperlink ref="Q33" r:id="rId8" xr:uid="{71903647-9058-405B-9A49-182B5FE9F82E}"/>
    <hyperlink ref="Q34" r:id="rId9" xr:uid="{7B96520B-E2E2-4B46-9BD8-2E0CCAF980F1}"/>
    <hyperlink ref="R34" r:id="rId10" xr:uid="{6C54A08C-52F6-42EC-9FAA-3B8C27279DF6}"/>
    <hyperlink ref="Q35" r:id="rId11" xr:uid="{AA1F313C-5743-4D7D-AF2B-756E2A41D2E7}"/>
    <hyperlink ref="R35" r:id="rId12" xr:uid="{D891D141-260A-407E-B8D5-5786959DADBF}"/>
    <hyperlink ref="Q36" r:id="rId13" xr:uid="{4B1B194F-CA90-4EC7-A953-ED8A18ACE0BC}"/>
    <hyperlink ref="R36" r:id="rId14" xr:uid="{3B48E889-933C-4773-B6F3-35A41F40CA21}"/>
    <hyperlink ref="Q37" r:id="rId15" xr:uid="{26538BB4-4B3D-40B0-AA83-0380A3242C87}"/>
    <hyperlink ref="R37" r:id="rId16" xr:uid="{7B63170B-F9F0-4753-96AE-02EF4EA484B8}"/>
    <hyperlink ref="Q38" r:id="rId17" xr:uid="{EFB098E6-13A4-4D21-92E2-61802430060D}"/>
    <hyperlink ref="R38" r:id="rId18" xr:uid="{E8C0A5D4-0480-4196-8679-51D4073BCD5C}"/>
    <hyperlink ref="Q39" r:id="rId19" xr:uid="{B18F6846-BECD-4718-9761-278755029CB6}"/>
    <hyperlink ref="R39" r:id="rId20" xr:uid="{7525E91D-E70B-4476-BDC0-6CBBCD129F56}"/>
    <hyperlink ref="Q40" r:id="rId21" xr:uid="{757FC820-A17D-47FD-A690-27016B00C102}"/>
    <hyperlink ref="R40" r:id="rId22" xr:uid="{C05EDDC7-E345-4167-9E50-5CA33174965A}"/>
    <hyperlink ref="Q41" r:id="rId23" xr:uid="{B2BF610C-8A84-43B9-80A2-F58AECE13BE0}"/>
    <hyperlink ref="R41" r:id="rId24" xr:uid="{BA57D50F-E686-4F61-B91F-82386E43EA24}"/>
    <hyperlink ref="Q42" r:id="rId25" xr:uid="{B1C0226E-23FA-4D11-990E-3A884FE2E5F5}"/>
    <hyperlink ref="R42" r:id="rId26" xr:uid="{46029E55-74EF-47C8-927C-2502648AB76C}"/>
    <hyperlink ref="Q43" r:id="rId27" xr:uid="{BD8C2D34-B5D0-4B16-AAC3-D0F8F13D619A}"/>
    <hyperlink ref="R43" r:id="rId28" xr:uid="{F21B3061-FEF6-4015-99C2-6BFFE9C0F313}"/>
    <hyperlink ref="Q44" r:id="rId29" xr:uid="{28701C5E-DC8B-41B7-AAE7-FAACD2195208}"/>
    <hyperlink ref="R44" r:id="rId30" xr:uid="{EC42225A-AF36-4EC0-B0BD-81DAA3614137}"/>
    <hyperlink ref="Q45" r:id="rId31" xr:uid="{4A69BECA-6110-4428-987B-6C2FB1ED14B4}"/>
    <hyperlink ref="R45" r:id="rId32" xr:uid="{66BB4423-B4D7-4718-BB10-D5E7A2D7D52B}"/>
    <hyperlink ref="Q46" r:id="rId33" xr:uid="{21B4256A-2007-4153-827E-B06903D555A8}"/>
    <hyperlink ref="R46" r:id="rId34" xr:uid="{B6D32618-DA53-477C-9B3E-A663D9966A4C}"/>
    <hyperlink ref="Q47" r:id="rId35" xr:uid="{59B955EC-23AE-4A18-9D40-39AC82AA0DE1}"/>
    <hyperlink ref="R47" r:id="rId36" xr:uid="{437E6FBA-EA35-407D-8F62-10C7CAD2A59C}"/>
    <hyperlink ref="Q48" r:id="rId37" xr:uid="{4C131760-DC3E-4E5A-B87F-97F9CEA59AE5}"/>
    <hyperlink ref="R48" r:id="rId38" xr:uid="{F2EDA69A-A6B8-47BA-88A4-62A897D9F6B9}"/>
    <hyperlink ref="Q49" r:id="rId39" xr:uid="{50F52830-1726-4C30-96DF-ED87CE4BEED8}"/>
    <hyperlink ref="R49" r:id="rId40" xr:uid="{88FD704F-73AE-49A2-ABF8-0AA5A9A8BBE6}"/>
    <hyperlink ref="Q50" r:id="rId41" xr:uid="{3C2294CA-DF22-4E62-9232-FE264218FC19}"/>
    <hyperlink ref="R50" r:id="rId42" xr:uid="{8B9419C8-FD66-4AF6-943F-6C3334FE5E8E}"/>
    <hyperlink ref="Q51" r:id="rId43" xr:uid="{F2D5F091-FA27-486E-A436-6FFA3D51A373}"/>
    <hyperlink ref="R51" r:id="rId44" xr:uid="{FC4845C9-FE45-4E88-ADAB-7441CD5E6765}"/>
    <hyperlink ref="Q52" r:id="rId45" xr:uid="{47D3FB63-B9D5-4741-89C8-9C9C77619A0E}"/>
    <hyperlink ref="R52" r:id="rId46" xr:uid="{A732BF48-DF9A-4D24-9896-BD83422545F9}"/>
    <hyperlink ref="Q53" r:id="rId47" xr:uid="{C843AAE2-C6F3-4A3D-8212-BC4AEED828A5}"/>
    <hyperlink ref="R53" r:id="rId48" xr:uid="{257C4CF3-05C8-4808-BF49-D4211D586E80}"/>
    <hyperlink ref="Q54" r:id="rId49" xr:uid="{5666A15D-069E-4BE9-B0BE-30E313FE4094}"/>
    <hyperlink ref="R54" r:id="rId50" xr:uid="{757F1F92-BD53-45FE-8C72-A69694CFD293}"/>
    <hyperlink ref="Q55" r:id="rId51" xr:uid="{4DB0B084-3C47-4520-BDF2-88102E00B3D4}"/>
    <hyperlink ref="R55" r:id="rId52" xr:uid="{5A7C1AC7-7D9C-4367-A06D-1168676F9BC3}"/>
    <hyperlink ref="Q56" r:id="rId53" xr:uid="{D246FDAC-0AAF-4EE7-B6DA-ECE09A77D1B9}"/>
    <hyperlink ref="R56" r:id="rId54" xr:uid="{77C7EACB-8731-4FEB-9867-90D98092CB37}"/>
    <hyperlink ref="Q57" r:id="rId55" xr:uid="{27BEA65C-5EAA-4558-A8C6-3E42EEBF806F}"/>
    <hyperlink ref="R57" r:id="rId56" xr:uid="{2558BBBA-1FFD-45EF-9F2E-756C8AF6FB99}"/>
    <hyperlink ref="Q58" r:id="rId57" xr:uid="{0E59EC8A-DC95-4817-8F03-DDB7E7E9FE39}"/>
    <hyperlink ref="R58" r:id="rId58" xr:uid="{D09D0C3E-404D-4E5E-9332-F6137A0FFBFA}"/>
    <hyperlink ref="Q59" r:id="rId59" xr:uid="{6C197C23-3062-4ACD-B6F3-0C55D4331AB9}"/>
    <hyperlink ref="R59" r:id="rId60" xr:uid="{CB11D0BB-4CBD-43D7-B429-0B02EA40FB28}"/>
    <hyperlink ref="Q60" r:id="rId61" xr:uid="{237C2A11-CA57-437A-89DF-90D1FA32969B}"/>
    <hyperlink ref="R60" r:id="rId62" xr:uid="{AE3AE668-D8D1-4649-A2CB-7F463B885127}"/>
    <hyperlink ref="Q61" r:id="rId63" xr:uid="{3133D524-5CF8-4004-9C07-13ED09ED2426}"/>
    <hyperlink ref="R61" r:id="rId64" xr:uid="{3B807A51-883F-419E-8E30-DDE3A53A41AF}"/>
    <hyperlink ref="Q62" r:id="rId65" xr:uid="{1AE52F45-ED79-4748-9F79-5E728AB38359}"/>
    <hyperlink ref="R62" r:id="rId66" xr:uid="{9CB3695F-B152-44B9-B76B-CA6E9603E8A4}"/>
    <hyperlink ref="Q63" r:id="rId67" xr:uid="{408D5F40-F83A-47EC-AC77-4AA907926117}"/>
    <hyperlink ref="R63" r:id="rId68" xr:uid="{6116B54B-A4D0-4DCB-A5EE-C0AB16A2E07C}"/>
  </hyperlinks>
  <pageMargins left="0.7" right="0.7" top="0.75" bottom="0.75" header="0.3" footer="0.3"/>
  <pageSetup paperSize="9" orientation="portrait" r:id="rId69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B754C-774B-4241-99A5-1CC3B96F0E43}">
  <sheetPr codeName="Sayfa9">
    <pageSetUpPr fitToPage="1"/>
  </sheetPr>
  <dimension ref="A6:AC116"/>
  <sheetViews>
    <sheetView topLeftCell="A10" zoomScale="70" zoomScaleNormal="70" workbookViewId="0">
      <selection activeCell="E18" sqref="E18:K18"/>
    </sheetView>
  </sheetViews>
  <sheetFormatPr defaultColWidth="8.6640625" defaultRowHeight="14.4"/>
  <cols>
    <col min="1" max="1" width="3.6640625" style="1" customWidth="1"/>
    <col min="2" max="2" width="13.33203125" style="1" customWidth="1"/>
    <col min="3" max="3" width="17.109375" style="1" customWidth="1"/>
    <col min="4" max="4" width="1.6640625" style="1" customWidth="1"/>
    <col min="5" max="9" width="31.44140625" style="1" customWidth="1"/>
    <col min="10" max="10" width="31.44140625" style="1" hidden="1" customWidth="1"/>
    <col min="11" max="11" width="31.44140625" style="1" customWidth="1"/>
    <col min="12" max="12" width="3.88671875" style="1" customWidth="1"/>
    <col min="13" max="13" width="11.44140625" style="1" customWidth="1"/>
    <col min="14" max="14" width="13" style="1" customWidth="1"/>
    <col min="15" max="15" width="8.6640625" style="1"/>
    <col min="16" max="16" width="13" style="1" customWidth="1"/>
    <col min="17" max="17" width="10.6640625" style="1" customWidth="1"/>
    <col min="18" max="18" width="10.5546875" style="1" customWidth="1"/>
    <col min="19" max="19" width="11" style="1" customWidth="1"/>
    <col min="20" max="20" width="10.33203125" style="1" customWidth="1"/>
    <col min="21" max="23" width="10.6640625" style="1" customWidth="1"/>
    <col min="24" max="24" width="10.33203125" style="1" customWidth="1"/>
    <col min="25" max="16384" width="8.6640625" style="1"/>
  </cols>
  <sheetData>
    <row r="6" spans="2:24" ht="18">
      <c r="M6" s="726" t="s">
        <v>461</v>
      </c>
      <c r="N6" s="726"/>
      <c r="O6" s="726" t="s">
        <v>462</v>
      </c>
      <c r="P6" s="726"/>
      <c r="Q6" s="726" t="s">
        <v>463</v>
      </c>
      <c r="R6" s="726"/>
      <c r="S6" s="726" t="s">
        <v>464</v>
      </c>
      <c r="T6" s="726"/>
      <c r="U6" s="726" t="s">
        <v>465</v>
      </c>
      <c r="V6" s="726"/>
      <c r="W6" s="726" t="s">
        <v>466</v>
      </c>
      <c r="X6" s="726"/>
    </row>
    <row r="7" spans="2:24" ht="15.6">
      <c r="M7" s="727" t="s">
        <v>281</v>
      </c>
      <c r="N7" s="727"/>
      <c r="O7" s="727" t="s">
        <v>281</v>
      </c>
      <c r="P7" s="727"/>
      <c r="Q7" s="727" t="s">
        <v>281</v>
      </c>
      <c r="R7" s="727"/>
      <c r="S7" s="727" t="s">
        <v>281</v>
      </c>
      <c r="T7" s="727"/>
      <c r="U7" s="727" t="s">
        <v>281</v>
      </c>
      <c r="V7" s="727"/>
      <c r="W7" s="727" t="s">
        <v>281</v>
      </c>
      <c r="X7" s="727"/>
    </row>
    <row r="8" spans="2:24" ht="18.600000000000001" customHeight="1">
      <c r="M8" s="726" t="s">
        <v>467</v>
      </c>
      <c r="N8" s="726"/>
      <c r="O8" s="726" t="s">
        <v>468</v>
      </c>
      <c r="P8" s="726"/>
      <c r="Q8" s="726" t="s">
        <v>469</v>
      </c>
      <c r="R8" s="726"/>
      <c r="S8" s="726" t="s">
        <v>470</v>
      </c>
      <c r="T8" s="726"/>
      <c r="U8" s="726" t="s">
        <v>471</v>
      </c>
      <c r="V8" s="726"/>
      <c r="W8" s="726" t="s">
        <v>472</v>
      </c>
      <c r="X8" s="726"/>
    </row>
    <row r="9" spans="2:24" ht="14.4" customHeight="1">
      <c r="M9" s="732" t="s">
        <v>281</v>
      </c>
      <c r="N9" s="732"/>
      <c r="O9" s="732" t="s">
        <v>281</v>
      </c>
      <c r="P9" s="732"/>
      <c r="Q9" s="732" t="s">
        <v>281</v>
      </c>
      <c r="R9" s="732"/>
      <c r="S9" s="732" t="s">
        <v>281</v>
      </c>
      <c r="T9" s="732"/>
      <c r="U9" s="732" t="s">
        <v>281</v>
      </c>
      <c r="V9" s="732"/>
      <c r="W9" s="732" t="s">
        <v>281</v>
      </c>
      <c r="X9" s="732"/>
    </row>
    <row r="10" spans="2:24" ht="25.5" customHeight="1">
      <c r="B10" s="655" t="s">
        <v>303</v>
      </c>
      <c r="C10" s="655"/>
      <c r="D10" s="655"/>
      <c r="E10" s="655"/>
      <c r="F10" s="655"/>
      <c r="G10" s="655"/>
      <c r="H10" s="655"/>
      <c r="I10" s="655"/>
      <c r="J10" s="655"/>
      <c r="K10" s="655"/>
      <c r="M10" s="141" t="e">
        <f>+"'OPSİYON SORGU'!"&amp;RANGE</f>
        <v>#N/A</v>
      </c>
      <c r="N10" s="141"/>
      <c r="O10" s="141" t="e">
        <f>+"'OPSİYON SORGU'!"&amp;RANGE2</f>
        <v>#N/A</v>
      </c>
      <c r="P10" s="141"/>
      <c r="Q10" s="141" t="e">
        <f>+"'OPSİYON SORGU'!"&amp;RANGE3</f>
        <v>#N/A</v>
      </c>
      <c r="R10" s="141"/>
      <c r="S10" s="141" t="e">
        <f>+"'OPSİYON SORGU'!"&amp;RANGE4</f>
        <v>#N/A</v>
      </c>
      <c r="T10" s="141"/>
      <c r="U10" s="141" t="e">
        <f>+"'OPSİYON SORGU'!"&amp;RANGE5</f>
        <v>#N/A</v>
      </c>
      <c r="V10" s="141"/>
      <c r="W10" s="141" t="e">
        <f>+"'OPSİYON SORGU'!"&amp;RANGE6</f>
        <v>#N/A</v>
      </c>
    </row>
    <row r="11" spans="2:24" ht="17.399999999999999">
      <c r="B11" s="656"/>
      <c r="C11" s="656"/>
      <c r="D11" s="656"/>
      <c r="E11" s="656"/>
      <c r="F11" s="656"/>
      <c r="G11" s="656"/>
      <c r="H11" s="656"/>
      <c r="I11" s="656"/>
      <c r="J11" s="656"/>
      <c r="K11" s="656"/>
      <c r="M11" s="722" t="s">
        <v>530</v>
      </c>
      <c r="N11" s="723"/>
      <c r="O11" s="722" t="s">
        <v>531</v>
      </c>
      <c r="P11" s="723"/>
      <c r="Q11" s="722" t="s">
        <v>532</v>
      </c>
      <c r="R11" s="723"/>
      <c r="S11" s="722" t="s">
        <v>533</v>
      </c>
      <c r="T11" s="723"/>
      <c r="U11" s="722" t="s">
        <v>534</v>
      </c>
      <c r="V11" s="723"/>
      <c r="W11" s="722" t="s">
        <v>535</v>
      </c>
      <c r="X11" s="723"/>
    </row>
    <row r="12" spans="2:24" ht="13.95" customHeight="1">
      <c r="B12" s="2"/>
      <c r="C12" s="267" t="s">
        <v>100</v>
      </c>
      <c r="D12" s="268"/>
      <c r="E12" s="657">
        <f>Sayfa1!C5</f>
        <v>0</v>
      </c>
      <c r="F12" s="651"/>
      <c r="G12" s="651"/>
      <c r="H12" s="651"/>
      <c r="I12" s="269" t="s">
        <v>101</v>
      </c>
      <c r="J12" s="269"/>
      <c r="K12" s="270">
        <f ca="1">TODAY()</f>
        <v>45302</v>
      </c>
      <c r="M12" s="724">
        <v>0</v>
      </c>
      <c r="N12" s="725"/>
      <c r="O12" s="724">
        <v>0</v>
      </c>
      <c r="P12" s="725"/>
      <c r="Q12" s="724">
        <v>0</v>
      </c>
      <c r="R12" s="725"/>
      <c r="S12" s="724">
        <v>0</v>
      </c>
      <c r="T12" s="725"/>
      <c r="U12" s="724">
        <v>0</v>
      </c>
      <c r="V12" s="725"/>
      <c r="W12" s="724">
        <v>0</v>
      </c>
      <c r="X12" s="725"/>
    </row>
    <row r="13" spans="2:24" ht="13.95" customHeight="1">
      <c r="B13" s="2"/>
      <c r="C13" s="267" t="s">
        <v>102</v>
      </c>
      <c r="D13" s="268"/>
      <c r="E13" s="649">
        <f>Sayfa1!C6</f>
        <v>0</v>
      </c>
      <c r="F13" s="651"/>
      <c r="G13" s="651"/>
      <c r="H13" s="651"/>
      <c r="I13" s="269" t="s">
        <v>103</v>
      </c>
      <c r="J13" s="269"/>
      <c r="K13" s="271">
        <f>Sayfa1!C9</f>
        <v>0</v>
      </c>
    </row>
    <row r="14" spans="2:24" ht="13.95" customHeight="1">
      <c r="B14" s="2"/>
      <c r="C14" s="267" t="s">
        <v>104</v>
      </c>
      <c r="D14" s="268"/>
      <c r="E14" s="658" t="str">
        <f>CONCATENATE("+",Sayfa1!C50)</f>
        <v>+</v>
      </c>
      <c r="F14" s="658"/>
      <c r="G14" s="658"/>
      <c r="H14" s="658"/>
      <c r="I14" s="269" t="s">
        <v>105</v>
      </c>
      <c r="J14" s="269"/>
      <c r="K14" s="270" t="b">
        <f>'Quotation Sheet'!K14</f>
        <v>0</v>
      </c>
    </row>
    <row r="15" spans="2:24" ht="13.95" customHeight="1">
      <c r="B15" s="2"/>
      <c r="C15" s="267" t="s">
        <v>106</v>
      </c>
      <c r="D15" s="268"/>
      <c r="E15" s="648">
        <f>Sayfa1!C52</f>
        <v>0</v>
      </c>
      <c r="F15" s="659"/>
      <c r="G15" s="659"/>
      <c r="H15" s="659"/>
      <c r="I15" s="269" t="s">
        <v>107</v>
      </c>
      <c r="J15" s="269"/>
      <c r="K15" s="271">
        <f>IF(Sayfa1!C2="Seçiniz."," ",IF(Sayfa1!C2="Ürün 1",Sayfa1!C7,IF(Sayfa1!C2="Ürün 2",Sayfa1!E7,IF(Sayfa1!C2="Ürün 3",Sayfa1!I7,IF(Sayfa1!C2="Ürün 4",Sayfa1!I7,IF(Sayfa1!C2="Ürün 5",Sayfa1!K7,IF(Sayfa1!C2="Ürün 6",Sayfa1!M7,)))))))</f>
        <v>0</v>
      </c>
    </row>
    <row r="16" spans="2:24" ht="13.95" customHeight="1">
      <c r="B16" s="2"/>
      <c r="C16" s="267" t="s">
        <v>108</v>
      </c>
      <c r="D16" s="268"/>
      <c r="E16" s="648">
        <f>Sayfa1!C53</f>
        <v>0</v>
      </c>
      <c r="F16" s="649"/>
      <c r="G16" s="649"/>
      <c r="H16" s="649"/>
      <c r="I16" s="269" t="s">
        <v>109</v>
      </c>
      <c r="J16" s="269"/>
      <c r="K16" s="274"/>
    </row>
    <row r="17" spans="2:14" ht="13.95" customHeight="1">
      <c r="B17" s="2"/>
      <c r="C17" s="267"/>
      <c r="D17" s="268"/>
      <c r="E17" s="649"/>
      <c r="F17" s="649"/>
      <c r="G17" s="649"/>
      <c r="H17" s="649"/>
      <c r="I17" s="269"/>
      <c r="J17" s="269"/>
      <c r="K17" s="271"/>
    </row>
    <row r="18" spans="2:14" ht="24.6" customHeight="1">
      <c r="B18" s="2"/>
      <c r="C18" s="267" t="s">
        <v>1131</v>
      </c>
      <c r="D18" s="268"/>
      <c r="E18" s="650">
        <f>Sayfa1!C49</f>
        <v>0</v>
      </c>
      <c r="F18" s="651"/>
      <c r="G18" s="651"/>
      <c r="H18" s="651"/>
      <c r="I18" s="651"/>
      <c r="J18" s="651"/>
      <c r="K18" s="652"/>
      <c r="N18" s="142"/>
    </row>
    <row r="19" spans="2:14" ht="13.5" customHeight="1">
      <c r="B19" s="2"/>
      <c r="C19" s="660" t="s">
        <v>111</v>
      </c>
      <c r="D19" s="273"/>
      <c r="E19" s="650" t="str">
        <f>'Quotation Sheet'!E19</f>
        <v/>
      </c>
      <c r="F19" s="651"/>
      <c r="G19" s="651"/>
      <c r="H19" s="651"/>
      <c r="I19" s="651"/>
      <c r="J19" s="651"/>
      <c r="K19" s="652"/>
    </row>
    <row r="20" spans="2:14" ht="15.6">
      <c r="B20" s="4"/>
      <c r="C20" s="661"/>
      <c r="D20" s="5"/>
      <c r="E20" s="653">
        <f>Sayfa1!D48</f>
        <v>0</v>
      </c>
      <c r="F20" s="653"/>
      <c r="G20" s="653"/>
      <c r="H20" s="653"/>
      <c r="I20" s="653"/>
      <c r="J20" s="653"/>
      <c r="K20" s="653"/>
    </row>
    <row r="21" spans="2:14" ht="15" thickBot="1">
      <c r="B21" s="654"/>
      <c r="C21" s="654"/>
      <c r="D21" s="654"/>
      <c r="E21" s="654"/>
      <c r="F21" s="654"/>
      <c r="G21" s="654"/>
      <c r="H21" s="654"/>
      <c r="I21" s="654"/>
      <c r="J21" s="654"/>
      <c r="K21" s="654"/>
    </row>
    <row r="22" spans="2:14" ht="30.75" customHeight="1" thickBot="1">
      <c r="B22" s="749" t="s">
        <v>265</v>
      </c>
      <c r="C22" s="750"/>
      <c r="D22" s="750"/>
      <c r="E22" s="751" t="s">
        <v>112</v>
      </c>
      <c r="F22" s="752"/>
      <c r="G22" s="281" t="s">
        <v>602</v>
      </c>
      <c r="H22" s="280" t="s">
        <v>113</v>
      </c>
      <c r="I22" s="280" t="s">
        <v>519</v>
      </c>
      <c r="J22" s="281" t="s">
        <v>704</v>
      </c>
      <c r="K22" s="282" t="s">
        <v>114</v>
      </c>
      <c r="M22" s="117"/>
    </row>
    <row r="23" spans="2:14" ht="17.399999999999999" customHeight="1">
      <c r="B23" s="676" t="str">
        <f>IF(M7 = "Seçiniz.", "", RIGHT(M7, 1))</f>
        <v/>
      </c>
      <c r="C23" s="668" t="str">
        <f>IF($M$7="Seçiniz."," ",IF($M$7="Ürün 1",Sayfa1!C7,IF($M$7="Ürün 2",Sayfa1!E7,IF($M$7="Ürün 3",Sayfa1!G7,IF($M$7="Ürün 4",Sayfa1!I7,IF($M$7="Ürün 5",Sayfa1!K7,IF($M$7="Ürün 6",Sayfa1!M7,)))))))</f>
        <v xml:space="preserve"> </v>
      </c>
      <c r="D23" s="669"/>
      <c r="E23" s="662" t="str">
        <f>IF($M$7="Seçiniz."," ",IF($M$7="Ürün 1",Sayfa1!C11,IF($M$7="Ürün 2",Sayfa1!E11,IF($M$7="Ürün 3",Sayfa1!G11,IF($M$7="Ürün 4",Sayfa1!I11,IF($M$7="Ürün 5",Sayfa1!K11,IF($M$7="Ürün 6",Sayfa1!M11,)))))))</f>
        <v xml:space="preserve"> </v>
      </c>
      <c r="F23" s="663"/>
      <c r="G23" s="753"/>
      <c r="H23" s="729">
        <f>IF(AND(M7="Ürün 1",M9="Miktar 1"),'Quotation Sheet'!H23,IF(AND(M7="Ürün 1",M9="Miktar 2"),'Quotation Sheet'!H24,IF(AND(M7="Ürün 1",M9="Miktar 3"),'Quotation Sheet'!H25,IF(AND(M7="Ürün 1",M9="Miktar 4"),'Quotation Sheet'!H26,IF(AND(M7="Ürün 1",M9="Miktar 5"),'Quotation Sheet'!H27,IF(AND(M7="Ürün 2",M9="Miktar 1"),'Quotation Sheet'!H28,IF(AND(M7="Ürün 2",M9="Miktar 2"),'Quotation Sheet'!H29,IF(AND(M7="Ürün 2",M9="Miktar 3"),'Quotation Sheet'!H30,IF(AND(M7="Ürün 2",M9="Miktar 4"),'Quotation Sheet'!H31,IF(AND(M7="Ürün 2",M9="Miktar 5"),'Quotation Sheet'!H32,IF(AND(M7="Ürün 3",M9="Miktar 1"),'Quotation Sheet'!H33,IF(AND(M7="Ürün 3",M9="Miktar 2"),'Quotation Sheet'!H34,IF(AND(M7="Ürün 3",M9="Miktar 3"),'Quotation Sheet'!H35,IF(AND(M7="Ürün 3",M9="Miktar 4"),'Quotation Sheet'!H36,IF(AND(M7="Ürün 3",M9="Miktar 5"),'Quotation Sheet'!H37,IF(AND(M7="Ürün 4",M9="Miktar 1"),'Quotation Sheet'!H38,IF(AND(M7="Ürün 4",M9="Miktar 2"),'Quotation Sheet'!H39,IF(AND(M7="Ürün 4",M9="Miktar 3"),'Quotation Sheet'!H40,IF(AND(M7="Ürün 4",M9="Miktar 4"),'Quotation Sheet'!H41,IF(AND(M7="Ürün 4",M9="Miktar 5"),'Quotation Sheet'!H42,IF(AND(M7="Ürün 5",M9="Miktar 1"),'Quotation Sheet'!H43,IF(AND(M7="Ürün 5",M9="Miktar 2"),'Quotation Sheet'!H44,IF(AND(M7="Ürün 5",M9="Miktar 3"),'Quotation Sheet'!H45,IF(AND(M7="Ürün 5",M9="Miktar 4"),'Quotation Sheet'!H46,IF(AND(M7="Ürün 5",M9="Miktar 5"),'Quotation Sheet'!H47,IF(AND(M7="Ürün 6",M9="Miktar 1"),'Quotation Sheet'!H48,IF(AND(M7="Ürün 6",M9="Miktar 2"),'Quotation Sheet'!H49,IF(AND(M7="Ürün 6",M9="Miktar 3"),'Quotation Sheet'!H50,IF(AND(M7="Ürün 6",M9="Miktar 4"),'Quotation Sheet'!H51,IF(AND(M7="Ürün 6",M9="Miktar 5"),'Quotation Sheet'!H52,))))))))))))))))))))))))))))))</f>
        <v>0</v>
      </c>
      <c r="I23" s="733">
        <f>IF(AND(M7="Ürün 1",M9="Miktar 1"),'Quotation Sheet'!I23,IF(AND(M7="Ürün 1",M9="Miktar 2"),'Quotation Sheet'!I24,IF(AND(M7="Ürün 1",M9="Miktar 3"),'Quotation Sheet'!I25,IF(AND(M7="Ürün 1",M9="Miktar 4"),'Quotation Sheet'!I26,IF(AND(M7="Ürün 1",M9="Miktar 5"),'Quotation Sheet'!I27,IF(AND(M7="Ürün 2",M9="Miktar 1"),'Quotation Sheet'!I28,IF(AND(M7="Ürün 2",M9="Miktar 2"),'Quotation Sheet'!I29,IF(AND(M7="Ürün 2",M9="Miktar 3"),'Quotation Sheet'!I30,IF(AND(M7="Ürün 2",M9="Miktar 4"),'Quotation Sheet'!I31,IF(AND(M7="Ürün 2",M9="Miktar 5"),'Quotation Sheet'!I32,IF(AND(M7="Ürün 3",M9="Miktar 1"),'Quotation Sheet'!I33,IF(AND(M7="Ürün 3",M9="Miktar 2"),'Quotation Sheet'!I34,IF(AND(M7="Ürün 3",M9="Miktar 3"),'Quotation Sheet'!I35,IF(AND(M7="Ürün 3",M9="Miktar 4"),'Quotation Sheet'!I36,IF(AND(M7="Ürün 3",M9="Miktar 5"),'Quotation Sheet'!I37,IF(AND(M7="Ürün 4",M9="Miktar 1"),'Quotation Sheet'!I38,IF(AND(M7="Ürün 4",M9="Miktar 2"),'Quotation Sheet'!I39,IF(AND(M7="Ürün 4",M9="Miktar 3"),'Quotation Sheet'!I40,IF(AND(M7="Ürün 4",M9="Miktar 4"),'Quotation Sheet'!I41,IF(AND(M7="Ürün 4",M9="Miktar 5"),'Quotation Sheet'!I42,IF(AND(M7="Ürün 5",M9="Miktar 1"),'Quotation Sheet'!I43,IF(AND(M7="Ürün 5",M9="Miktar 2"),'Quotation Sheet'!I44,IF(AND(M7="Ürün 5",M9="Miktar 3"),'Quotation Sheet'!I45,IF(AND(M7="Ürün 5",M9="Miktar 4"),'Quotation Sheet'!I46,IF(AND(M7="Ürün 5",M9="Miktar 5"),'Quotation Sheet'!I47,IF(AND(M7="Ürün 6",M9="Miktar 1"),'Quotation Sheet'!I48,IF(AND(M7="Ürün 6",M9="Miktar 2"),'Quotation Sheet'!I49,IF(AND(M7="Ürün 6",M9="Miktar 3"),'Quotation Sheet'!I50,IF(AND(M7="Ürün 6",M9="Miktar 4"),'Quotation Sheet'!I51,IF(AND(M7="Ürün 6",M9="Miktar 5"),'Quotation Sheet'!I52,))))))))))))))))))))))))))))))+M12</f>
        <v>0</v>
      </c>
      <c r="J23" s="733">
        <f>IF(AND(M7="Ürün 1",M9="Miktar 1"),'Quotation Sheet'!J23,IF(AND(M7="Ürün 1",M9="Miktar 2"),'Quotation Sheet'!J24,IF(AND(M7="Ürün 1",M9="Miktar 3"),'Quotation Sheet'!J25,IF(AND(M7="Ürün 1",M9="Miktar 4"),'Quotation Sheet'!J26,IF(AND(M7="Ürün 1",M9="Miktar 5"),'Quotation Sheet'!J27,IF(AND(M7="Ürün 2",M9="Miktar 1"),'Quotation Sheet'!J28,IF(AND(M7="Ürün 2",M9="Miktar 2"),'Quotation Sheet'!J29,IF(AND(M7="Ürün 2",M9="Miktar 3"),'Quotation Sheet'!J30,IF(AND(M7="Ürün 2",M9="Miktar 4"),'Quotation Sheet'!J31,IF(AND(M7="Ürün 2",M9="Miktar 5"),'Quotation Sheet'!J32,IF(AND(M7="Ürün 3",M9="Miktar 1"),'Quotation Sheet'!J33,IF(AND(M7="Ürün 3",M9="Miktar 2"),'Quotation Sheet'!J34,IF(AND(M7="Ürün 3",M9="Miktar 3"),'Quotation Sheet'!J35,IF(AND(M7="Ürün 3",M9="Miktar 4"),'Quotation Sheet'!J36,IF(AND(M7="Ürün 3",M9="Miktar 5"),'Quotation Sheet'!J37,IF(AND(M7="Ürün 4",M9="Miktar 1"),'Quotation Sheet'!J38,IF(AND(M7="Ürün 4",M9="Miktar 2"),'Quotation Sheet'!J39,IF(AND(M7="Ürün 4",M9="Miktar 3"),'Quotation Sheet'!J40,IF(AND(M7="Ürün 4",M9="Miktar 4"),'Quotation Sheet'!J41,IF(AND(M7="Ürün 4",M9="Miktar 5"),'Quotation Sheet'!J42,IF(AND(M7="Ürün 5",M9="Miktar 1"),'Quotation Sheet'!J43,IF(AND(M7="Ürün 5",M9="Miktar 2"),'Quotation Sheet'!J44,IF(AND(M7="Ürün 5",M9="Miktar 3"),'Quotation Sheet'!J45,IF(AND(M7="Ürün 5",M9="Miktar 4"),'Quotation Sheet'!J46,IF(AND(M7="Ürün 5",M9="Miktar 5"),'Quotation Sheet'!J47,IF(AND(M7="Ürün 6",M9="Miktar 1"),'Quotation Sheet'!J48,IF(AND(M7="Ürün 6",M9="Miktar 2"),'Quotation Sheet'!J49,IF(AND(M7="Ürün 6",M9="Miktar 3"),'Quotation Sheet'!J50,IF(AND(M7="Ürün 6",M9="Miktar 4"),'Quotation Sheet'!J51,IF(AND(M7="Ürün 6",M9="Miktar 5"),'Quotation Sheet'!J52,))))))))))))))))))))))))))))))</f>
        <v>0</v>
      </c>
      <c r="K23" s="736">
        <f>(I23+J23)*H23</f>
        <v>0</v>
      </c>
    </row>
    <row r="24" spans="2:14" ht="17.399999999999999" customHeight="1">
      <c r="B24" s="677"/>
      <c r="C24" s="670"/>
      <c r="D24" s="671"/>
      <c r="E24" s="664"/>
      <c r="F24" s="665"/>
      <c r="G24" s="754"/>
      <c r="H24" s="730"/>
      <c r="I24" s="734"/>
      <c r="J24" s="734"/>
      <c r="K24" s="737"/>
    </row>
    <row r="25" spans="2:14" ht="17.399999999999999" customHeight="1">
      <c r="B25" s="677"/>
      <c r="C25" s="670"/>
      <c r="D25" s="671"/>
      <c r="E25" s="664"/>
      <c r="F25" s="665"/>
      <c r="G25" s="754"/>
      <c r="H25" s="730"/>
      <c r="I25" s="734"/>
      <c r="J25" s="734"/>
      <c r="K25" s="737"/>
      <c r="N25" s="116"/>
    </row>
    <row r="26" spans="2:14" ht="17.399999999999999" customHeight="1">
      <c r="B26" s="677"/>
      <c r="C26" s="670"/>
      <c r="D26" s="671"/>
      <c r="E26" s="664"/>
      <c r="F26" s="665"/>
      <c r="G26" s="754"/>
      <c r="H26" s="730"/>
      <c r="I26" s="734"/>
      <c r="J26" s="734"/>
      <c r="K26" s="737"/>
    </row>
    <row r="27" spans="2:14" ht="17.399999999999999" customHeight="1" thickBot="1">
      <c r="B27" s="678"/>
      <c r="C27" s="672"/>
      <c r="D27" s="673"/>
      <c r="E27" s="666"/>
      <c r="F27" s="667"/>
      <c r="G27" s="755"/>
      <c r="H27" s="731"/>
      <c r="I27" s="735"/>
      <c r="J27" s="735"/>
      <c r="K27" s="738"/>
    </row>
    <row r="28" spans="2:14" ht="17.399999999999999" customHeight="1">
      <c r="B28" s="676" t="str">
        <f>IF(O7 = "Seçiniz.", "", RIGHT(O7, 1))</f>
        <v/>
      </c>
      <c r="C28" s="681" t="str">
        <f>IF($O$7="Seçiniz."," ",IF($O$7="Ürün 1",Sayfa1!C7,IF($O$7="Ürün 2",Sayfa1!E7,IF($O$7="Ürün 3",Sayfa1!G7,IF($O$7="Ürün 4",Sayfa1!I7,IF($O$7="Ürün 5",Sayfa1!K7,IF($O$7="Ürün 6",Sayfa1!M7,)))))))</f>
        <v xml:space="preserve"> </v>
      </c>
      <c r="D28" s="669"/>
      <c r="E28" s="662" t="str">
        <f>IF($O$7="Seçiniz."," ",IF($O$7="Ürün 1",Sayfa1!C11,IF($O$7="Ürün 2",Sayfa1!E11,IF($O$7="Ürün 3",Sayfa1!G11,IF($O$7="Ürün 4",Sayfa1!I11,IF($O$7="Ürün 5",Sayfa1!K11,IF($O$7="Ürün 6",Sayfa1!M11,)))))))</f>
        <v xml:space="preserve"> </v>
      </c>
      <c r="F28" s="663"/>
      <c r="G28" s="756"/>
      <c r="H28" s="729">
        <f>IF(AND($O$7="Ürün 1",$O$9="Miktar 1"),'Quotation Sheet'!H23,IF(AND($O$7="Ürün 1",$O$9="Miktar 2"),'Quotation Sheet'!H24,IF(AND($O$7="Ürün 1",$O$9="Miktar 3"),'Quotation Sheet'!H25,IF(AND($O$7="Ürün 1",$O$9="Miktar 4"),'Quotation Sheet'!H26,IF(AND($O$7="Ürün 1",$O$9="Miktar 5"),'Quotation Sheet'!H27,IF(AND($O$7="Ürün 2",$O$9="Miktar 1"),'Quotation Sheet'!H28,IF(AND($O$7="Ürün 2",$O$9="Miktar 2"),'Quotation Sheet'!H29,IF(AND($O$7="Ürün 2",$O$9="Miktar 3"),'Quotation Sheet'!H30,IF(AND($O$7="Ürün 2",$O$9="Miktar 4"),'Quotation Sheet'!H31,IF(AND($O$7="Ürün 2",$O$9="Miktar 5"),'Quotation Sheet'!H32,IF(AND($O$7="Ürün 3",$O$9="Miktar 1"),'Quotation Sheet'!H33,IF(AND($O$7="Ürün 3",$O$9="Miktar 2"),'Quotation Sheet'!H34,IF(AND($O$7="Ürün 3",$O$9="Miktar 3"),'Quotation Sheet'!H35,IF(AND($O$7="Ürün 3",$O$9="Miktar 4"),'Quotation Sheet'!H36,IF(AND($O$7="Ürün 3",$O$9="Miktar 5"),'Quotation Sheet'!H37,IF(AND($O$7="Ürün 4",$O$9="Miktar 1"),'Quotation Sheet'!H38,IF(AND($O$7="Ürün 4",$O$9="Miktar 2"),'Quotation Sheet'!H39,IF(AND($O$7="Ürün 4",$O$9="Miktar 3"),'Quotation Sheet'!H40,IF(AND($O$7="Ürün 4",$O$9="Miktar 4"),'Quotation Sheet'!H41,IF(AND($O$7="Ürün 4",$O$9="Miktar 5"),'Quotation Sheet'!H42,IF(AND($O$7="Ürün 5",$O$9="Miktar 1"),'Quotation Sheet'!H43,IF(AND($O$7="Ürün 5",$O$9="Miktar 2"),'Quotation Sheet'!H44,IF(AND($O$7="Ürün 5",$O$9="Miktar 3"),'Quotation Sheet'!H45,IF(AND($O$7="Ürün 5",$O$9="Miktar 4"),'Quotation Sheet'!H46,IF(AND($O$7="Ürün 5",$O$9="Miktar 5"),'Quotation Sheet'!H47,IF(AND($O$7="Ürün 6",$O$9="Miktar 1"),'Quotation Sheet'!H48,IF(AND($O$7="Ürün 6",$O$9="Miktar 2"),'Quotation Sheet'!H49,IF(AND($O$7="Ürün 6",$O$9="Miktar 3"),'Quotation Sheet'!H50,IF(AND($O$7="Ürün 6",$O$9="Miktar 4"),'Quotation Sheet'!H51,IF(AND($O$7="Ürün 6",$O$9="Miktar 5"),'Quotation Sheet'!H52,))))))))))))))))))))))))))))))</f>
        <v>0</v>
      </c>
      <c r="I28" s="733">
        <f>IFERROR(IF(AND(O7="Ürün 1",O9="Miktar 1"),'Quotation Sheet'!I23,IF(AND(O7="Ürün 1",O9="Miktar 2"),'Quotation Sheet'!I24,IF(AND(O7="Ürün 1",O9="Miktar 3"),'Quotation Sheet'!I25,IF(AND(O7="Ürün 1",O9="Miktar 4"),'Quotation Sheet'!I26,IF(AND(O7="Ürün 1",O9="Miktar 5"),'Quotation Sheet'!I27,IF(AND(O7="Ürün 2",O9="Miktar 1"),'Quotation Sheet'!I28,IF(AND(O7="Ürün 2",O9="Miktar 2"),'Quotation Sheet'!I29,IF(AND(O7="Ürün 2",O9="Miktar 3"),'Quotation Sheet'!I30,IF(AND(O7="Ürün 2",O9="Miktar 4"),'Quotation Sheet'!I31,IF(AND(O7="Ürün 2",O9="Miktar 5"),'Quotation Sheet'!I32,IF(AND(O7="Ürün 3",O9="Miktar 1"),'Quotation Sheet'!I33,IF(AND(O7="Ürün 3",O9="Miktar 2"),'Quotation Sheet'!I34,IF(AND(O7="Ürün 3",O9="Miktar 3"),'Quotation Sheet'!I35,IF(AND(O7="Ürün 3",O9="Miktar 4"),'Quotation Sheet'!I36,IF(AND(O7="Ürün 3",O9="Miktar 5"),'Quotation Sheet'!I37,IF(AND(O7="Ürün 4",O9="Miktar 1"),'Quotation Sheet'!I38,IF(AND(O7="Ürün 4",O9="Miktar 2"),'Quotation Sheet'!I39,IF(AND(O7="Ürün 4",O9="Miktar 3"),'Quotation Sheet'!I40,IF(AND(O7="Ürün 4",O9="Miktar 4"),'Quotation Sheet'!I41,IF(AND(O7="Ürün 4",O9="Miktar 5"),'Quotation Sheet'!I42,IF(AND(O7="Ürün 5",O9="Miktar 1"),'Quotation Sheet'!I43,IF(AND(O7="Ürün 5",O9="Miktar 2"),'Quotation Sheet'!I44,IF(AND(O7="Ürün 5",O9="Miktar 3"),'Quotation Sheet'!I45,IF(AND(O7="Ürün 5",O9="Miktar 4"),'Quotation Sheet'!I46,IF(AND(O7="Ürün 5",O9="Miktar 5"),'Quotation Sheet'!I47,IF(AND(O7="Ürün 6",O9="Miktar 1"),'Quotation Sheet'!I48,IF(AND(O7="Ürün 6",O9="Miktar 2"),'Quotation Sheet'!I49,IF(AND(O7="Ürün 6",O9="Miktar 3"),'Quotation Sheet'!I50,IF(AND(O7="Ürün 6",O9="Miktar 4"),'Quotation Sheet'!I51,IF(AND(O7="Ürün 6",O9="Miktar 5"),'Quotation Sheet'!I52,))))))))))))))))))))))))))))))+O12,0)</f>
        <v>0</v>
      </c>
      <c r="J28" s="733">
        <f>IFERROR(IF(AND(O7="Ürün 1",O9="Miktar 1"),'Quotation Sheet'!J23,IF(AND(O7="Ürün 1",O9="Miktar 2"),'Quotation Sheet'!J24,IF(AND(O7="Ürün 1",O9="Miktar 3"),'Quotation Sheet'!J25,IF(AND(O7="Ürün 1",O9="Miktar 4"),'Quotation Sheet'!J26,IF(AND(O7="Ürün 1",O9="Miktar 5"),'Quotation Sheet'!J27,IF(AND(O7="Ürün 2",O9="Miktar 1"),'Quotation Sheet'!J28,IF(AND(O7="Ürün 2",O9="Miktar 2"),'Quotation Sheet'!J29,IF(AND(O7="Ürün 2",O9="Miktar 3"),'Quotation Sheet'!J30,IF(AND(O7="Ürün 2",O9="Miktar 4"),'Quotation Sheet'!J31,IF(AND(O7="Ürün 2",O9="Miktar 5"),'Quotation Sheet'!J32,IF(AND(O7="Ürün 3",O9="Miktar 1"),'Quotation Sheet'!J33,IF(AND(O7="Ürün 3",O9="Miktar 2"),'Quotation Sheet'!J34,IF(AND(O7="Ürün 3",O9="Miktar 3"),'Quotation Sheet'!J35,IF(AND(O7="Ürün 3",O9="Miktar 4"),'Quotation Sheet'!J36,IF(AND(O7="Ürün 3",O9="Miktar 5"),'Quotation Sheet'!J37,IF(AND(O7="Ürün 4",O9="Miktar 1"),'Quotation Sheet'!J38,IF(AND(O7="Ürün 4",O9="Miktar 2"),'Quotation Sheet'!J39,IF(AND(O7="Ürün 4",O9="Miktar 3"),'Quotation Sheet'!J40,IF(AND(O7="Ürün 4",O9="Miktar 4"),'Quotation Sheet'!J41,IF(AND(O7="Ürün 4",O9="Miktar 5"),'Quotation Sheet'!J42,IF(AND(O7="Ürün 5",O9="Miktar 1"),'Quotation Sheet'!J43,IF(AND(O7="Ürün 5",O9="Miktar 2"),'Quotation Sheet'!J44,IF(AND(O7="Ürün 5",O9="Miktar 3"),'Quotation Sheet'!J45,IF(AND(O7="Ürün 5",O9="Miktar 4"),'Quotation Sheet'!J46,IF(AND(O7="Ürün 5",O9="Miktar 5"),'Quotation Sheet'!J47,IF(AND(O7="Ürün 6",O9="Miktar 1"),'Quotation Sheet'!J48,IF(AND(O7="Ürün 6",O9="Miktar 2"),'Quotation Sheet'!J49,IF(AND(O7="Ürün 6",O9="Miktar 3"),'Quotation Sheet'!J50,IF(AND(O7="Ürün 6",O9="Miktar 4"),'Quotation Sheet'!J51,IF(AND(O7="Ürün 6",O9="Miktar 5"),'Quotation Sheet'!J52,)))))))))))))))))))))))))))))),0)</f>
        <v>0</v>
      </c>
      <c r="K28" s="736">
        <f>(I28+J28)*H28</f>
        <v>0</v>
      </c>
    </row>
    <row r="29" spans="2:14" ht="17.399999999999999" customHeight="1">
      <c r="B29" s="677"/>
      <c r="C29" s="674"/>
      <c r="D29" s="671"/>
      <c r="E29" s="664"/>
      <c r="F29" s="665"/>
      <c r="G29" s="757"/>
      <c r="H29" s="730"/>
      <c r="I29" s="734"/>
      <c r="J29" s="734"/>
      <c r="K29" s="737"/>
    </row>
    <row r="30" spans="2:14" ht="17.399999999999999" customHeight="1">
      <c r="B30" s="677"/>
      <c r="C30" s="674"/>
      <c r="D30" s="671"/>
      <c r="E30" s="664"/>
      <c r="F30" s="665"/>
      <c r="G30" s="757"/>
      <c r="H30" s="730"/>
      <c r="I30" s="734"/>
      <c r="J30" s="734"/>
      <c r="K30" s="737"/>
    </row>
    <row r="31" spans="2:14" ht="17.399999999999999" customHeight="1">
      <c r="B31" s="677"/>
      <c r="C31" s="674"/>
      <c r="D31" s="671"/>
      <c r="E31" s="664"/>
      <c r="F31" s="665"/>
      <c r="G31" s="757"/>
      <c r="H31" s="730"/>
      <c r="I31" s="734"/>
      <c r="J31" s="734"/>
      <c r="K31" s="737"/>
    </row>
    <row r="32" spans="2:14" ht="17.399999999999999" customHeight="1" thickBot="1">
      <c r="B32" s="678"/>
      <c r="C32" s="675"/>
      <c r="D32" s="673"/>
      <c r="E32" s="666"/>
      <c r="F32" s="667"/>
      <c r="G32" s="758"/>
      <c r="H32" s="731"/>
      <c r="I32" s="735"/>
      <c r="J32" s="735"/>
      <c r="K32" s="738"/>
    </row>
    <row r="33" spans="2:29" ht="17.399999999999999" customHeight="1">
      <c r="B33" s="676" t="str">
        <f>IF(Q7 = "Seçiniz.", "", RIGHT(Q7, 1))</f>
        <v/>
      </c>
      <c r="C33" s="681" t="str">
        <f>IF($Q$7="Seçiniz."," ",IF($Q$7="Ürün 1",Sayfa1!C7,IF($Q$7="Ürün 2",Sayfa1!E7,IF($Q$7="Ürün 3",Sayfa1!G7,IF($Q$7="Ürün 4",Sayfa1!I7,IF($Q$7="Ürün 5",Sayfa1!K7,IF($Q$7="Ürün 6",Sayfa1!M7,)))))))</f>
        <v xml:space="preserve"> </v>
      </c>
      <c r="D33" s="669"/>
      <c r="E33" s="662" t="str">
        <f>IF($Q$7="Seçiniz."," ",IF($Q$7="Ürün 1",Sayfa1!C11,IF($Q$7="Ürün 2",Sayfa1!E11,IF($Q$7="Ürün 3",Sayfa1!G11,IF($Q$7="Ürün 4",Sayfa1!I11,IF($Q$7="Ürün 5",Sayfa1!K11,IF($Q$7="Ürün 6",Sayfa1!M11,)))))))</f>
        <v xml:space="preserve"> </v>
      </c>
      <c r="F33" s="663"/>
      <c r="G33" s="756"/>
      <c r="H33" s="729">
        <f>IF(AND($Q$7="Ürün 1",$Q$9="Miktar 1"),'Quotation Sheet'!H23,IF(AND($Q$7="Ürün 1",$Q$9="Miktar 2"),'Quotation Sheet'!H24,IF(AND($Q$7="Ürün 1",$Q$9="Miktar 3"),'Quotation Sheet'!H25,IF(AND($Q$7="Ürün 1",$Q$9="Miktar 4"),'Quotation Sheet'!H26,IF(AND($Q$7="Ürün 1",$Q$9="Miktar 5"),'Quotation Sheet'!H27,IF(AND($Q$7="Ürün 2",$Q$9="Miktar 1"),'Quotation Sheet'!H28,IF(AND($Q$7="Ürün 2",$Q$9="Miktar 2"),'Quotation Sheet'!H29,IF(AND($Q$7="Ürün 2",$Q$9="Miktar 3"),'Quotation Sheet'!H30,IF(AND($Q$7="Ürün 2",$Q$9="Miktar 4"),'Quotation Sheet'!H31,IF(AND($Q$7="Ürün 2",$Q$9="Miktar 5"),'Quotation Sheet'!H32,IF(AND($Q$7="Ürün 3",$Q$9="Miktar 1"),'Quotation Sheet'!H33,IF(AND($Q$7="Ürün 3",$Q$9="Miktar 2"),'Quotation Sheet'!H34,IF(AND($Q$7="Ürün 3",$Q$9="Miktar 3"),'Quotation Sheet'!H35,IF(AND($Q$7="Ürün 3",$Q$9="Miktar 4"),'Quotation Sheet'!H36,IF(AND($Q$7="Ürün 3",$Q$9="Miktar 5"),'Quotation Sheet'!H37,IF(AND($Q$7="Ürün 4",$Q$9="Miktar 1"),'Quotation Sheet'!H38,IF(AND($Q$7="Ürün 4",$Q$9="Miktar 2"),'Quotation Sheet'!H39,IF(AND($Q$7="Ürün 4",$Q$9="Miktar 3"),'Quotation Sheet'!H40,IF(AND($Q$7="Ürün 4",$Q$9="Miktar 4"),'Quotation Sheet'!H41,IF(AND($Q$7="Ürün 4",$Q$9="Miktar 5"),'Quotation Sheet'!H42,IF(AND($Q$7="Ürün 5",$Q$9="Miktar 1"),'Quotation Sheet'!H43,IF(AND($Q$7="Ürün 5",$Q$9="Miktar 2"),'Quotation Sheet'!H44,IF(AND($Q$7="Ürün 5",$Q$9="Miktar 3"),'Quotation Sheet'!H45,IF(AND($Q$7="Ürün 5",$Q$9="Miktar 4"),'Quotation Sheet'!H46,IF(AND($Q$7="Ürün 5",$Q$9="Miktar 5"),'Quotation Sheet'!H47,IF(AND($Q$7="Ürün 6",$Q$9="Miktar 1"),'Quotation Sheet'!H48,IF(AND($Q$7="Ürün 6",$Q$9="Miktar 2"),'Quotation Sheet'!H49,IF(AND($Q$7="Ürün 6",$Q$9="Miktar 3"),'Quotation Sheet'!H50,IF(AND($Q$7="Ürün 6",$Q$9="Miktar 4"),'Quotation Sheet'!H51,IF(AND($Q$7="Ürün 6",$Q$9="Miktar 5"),'Quotation Sheet'!H52,))))))))))))))))))))))))))))))</f>
        <v>0</v>
      </c>
      <c r="I33" s="733">
        <f>IFERROR(IF(AND(Q7="Ürün 1",Q9="Miktar 1"),'Quotation Sheet'!I23,IF(AND(Q7="Ürün 1",Q9="Miktar 2"),'Quotation Sheet'!I24,IF(AND(Q7="Ürün 1",Q9="Miktar 3"),'Quotation Sheet'!I25,IF(AND(Q7="Ürün 1",Q9="Miktar 4"),'Quotation Sheet'!I26,IF(AND(Q7="Ürün 1",Q9="Miktar 5"),'Quotation Sheet'!I27,IF(AND(Q7="Ürün 2",Q9="Miktar 1"),'Quotation Sheet'!I28,IF(AND(Q7="Ürün 2",Q9="Miktar 2"),'Quotation Sheet'!I29,IF(AND(Q7="Ürün 2",Q9="Miktar 3"),'Quotation Sheet'!I30,IF(AND(Q7="Ürün 2",Q9="Miktar 4"),'Quotation Sheet'!I31,IF(AND(Q7="Ürün 2",Q9="Miktar 5"),'Quotation Sheet'!I32,IF(AND(Q7="Ürün 3",Q9="Miktar 1"),'Quotation Sheet'!I33,IF(AND(Q7="Ürün 3",Q9="Miktar 2"),'Quotation Sheet'!I34,IF(AND(Q7="Ürün 3",Q9="Miktar 3"),'Quotation Sheet'!I35,IF(AND(Q7="Ürün 3",Q9="Miktar 4"),'Quotation Sheet'!I36,IF(AND(Q7="Ürün 3",Q9="Miktar 5"),'Quotation Sheet'!I37,IF(AND(Q7="Ürün 4",Q9="Miktar 1"),'Quotation Sheet'!I38,IF(AND(Q7="Ürün 4",Q9="Miktar 2"),'Quotation Sheet'!I39,IF(AND(Q7="Ürün 4",Q9="Miktar 3"),'Quotation Sheet'!I40,IF(AND(Q7="Ürün 4",Q9="Miktar 4"),'Quotation Sheet'!I41,IF(AND(Q7="Ürün 4",Q9="Miktar 5"),'Quotation Sheet'!I42,IF(AND(Q7="Ürün 5",Q9="Miktar 1"),'Quotation Sheet'!I43,IF(AND(Q7="Ürün 5",Q9="Miktar 2"),'Quotation Sheet'!I44,IF(AND(Q7="Ürün 5",Q9="Miktar 3"),'Quotation Sheet'!I45,IF(AND(Q7="Ürün 5",Q9="Miktar 4"),'Quotation Sheet'!I46,IF(AND(Q7="Ürün 5",Q9="Miktar 5"),'Quotation Sheet'!I47,IF(AND(Q7="Ürün 6",Q9="Miktar 1"),'Quotation Sheet'!I48,IF(AND(Q7="Ürün 6",Q9="Miktar 2"),'Quotation Sheet'!I49,IF(AND(Q7="Ürün 6",Q9="Miktar 3"),'Quotation Sheet'!I50,IF(AND(Q7="Ürün 6",Q9="Miktar 4"),'Quotation Sheet'!I51,IF(AND(Q7="Ürün 6",Q9="Miktar 5"),'Quotation Sheet'!I52,))))))))))))))))))))))))))))))+Q12,0)</f>
        <v>0</v>
      </c>
      <c r="J33" s="733">
        <f>IFERROR(IF(AND(Q7="Ürün 1",Q9="Miktar 1"),'Quotation Sheet'!J23,IF(AND(Q7="Ürün 1",Q9="Miktar 2"),'Quotation Sheet'!J24,IF(AND(Q7="Ürün 1",Q9="Miktar 3"),'Quotation Sheet'!J25,IF(AND(Q7="Ürün 1",Q9="Miktar 4"),'Quotation Sheet'!J26,IF(AND(Q7="Ürün 1",Q9="Miktar 5"),'Quotation Sheet'!J27,IF(AND(Q7="Ürün 2",Q9="Miktar 1"),'Quotation Sheet'!J28,IF(AND(Q7="Ürün 2",Q9="Miktar 2"),'Quotation Sheet'!J29,IF(AND(Q7="Ürün 2",Q9="Miktar 3"),'Quotation Sheet'!J30,IF(AND(Q7="Ürün 2",Q9="Miktar 4"),'Quotation Sheet'!J31,IF(AND(Q7="Ürün 2",Q9="Miktar 5"),'Quotation Sheet'!J32,IF(AND(Q7="Ürün 3",Q9="Miktar 1"),'Quotation Sheet'!J33,IF(AND(Q7="Ürün 3",Q9="Miktar 2"),'Quotation Sheet'!J34,IF(AND(Q7="Ürün 3",Q9="Miktar 3"),'Quotation Sheet'!J35,IF(AND(Q7="Ürün 3",Q9="Miktar 4"),'Quotation Sheet'!J36,IF(AND(Q7="Ürün 3",Q9="Miktar 5"),'Quotation Sheet'!J37,IF(AND(Q7="Ürün 4",Q9="Miktar 1"),'Quotation Sheet'!J38,IF(AND(Q7="Ürün 4",Q9="Miktar 2"),'Quotation Sheet'!J39,IF(AND(Q7="Ürün 4",Q9="Miktar 3"),'Quotation Sheet'!J40,IF(AND(Q7="Ürün 4",Q9="Miktar 4"),'Quotation Sheet'!J41,IF(AND(Q7="Ürün 4",Q9="Miktar 5"),'Quotation Sheet'!J42,IF(AND(Q7="Ürün 5",Q9="Miktar 1"),'Quotation Sheet'!J43,IF(AND(Q7="Ürün 5",Q9="Miktar 2"),'Quotation Sheet'!J44,IF(AND(Q7="Ürün 5",Q9="Miktar 3"),'Quotation Sheet'!J45,IF(AND(Q7="Ürün 5",Q9="Miktar 4"),'Quotation Sheet'!J46,IF(AND(Q7="Ürün 5",Q9="Miktar 5"),'Quotation Sheet'!J47,IF(AND(Q7="Ürün 6",Q9="Miktar 1"),'Quotation Sheet'!J48,IF(AND(Q7="Ürün 6",Q9="Miktar 2"),'Quotation Sheet'!J49,IF(AND(Q7="Ürün 6",Q9="Miktar 3"),'Quotation Sheet'!J50,IF(AND(Q7="Ürün 6",Q9="Miktar 4"),'Quotation Sheet'!J51,IF(AND(Q7="Ürün 6",Q9="Miktar 5"),'Quotation Sheet'!J52,)))))))))))))))))))))))))))))),0)</f>
        <v>0</v>
      </c>
      <c r="K33" s="736">
        <f>(I33+J33)*H33</f>
        <v>0</v>
      </c>
    </row>
    <row r="34" spans="2:29" ht="17.399999999999999" customHeight="1">
      <c r="B34" s="677"/>
      <c r="C34" s="674"/>
      <c r="D34" s="671"/>
      <c r="E34" s="664"/>
      <c r="F34" s="665"/>
      <c r="G34" s="757"/>
      <c r="H34" s="730"/>
      <c r="I34" s="734"/>
      <c r="J34" s="734"/>
      <c r="K34" s="737"/>
    </row>
    <row r="35" spans="2:29" ht="17.399999999999999" customHeight="1">
      <c r="B35" s="677"/>
      <c r="C35" s="674"/>
      <c r="D35" s="671"/>
      <c r="E35" s="664"/>
      <c r="F35" s="665"/>
      <c r="G35" s="757"/>
      <c r="H35" s="730"/>
      <c r="I35" s="734"/>
      <c r="J35" s="734"/>
      <c r="K35" s="737"/>
    </row>
    <row r="36" spans="2:29" ht="17.399999999999999" customHeight="1">
      <c r="B36" s="677"/>
      <c r="C36" s="674"/>
      <c r="D36" s="671"/>
      <c r="E36" s="664"/>
      <c r="F36" s="665"/>
      <c r="G36" s="757"/>
      <c r="H36" s="730"/>
      <c r="I36" s="734"/>
      <c r="J36" s="734"/>
      <c r="K36" s="737"/>
    </row>
    <row r="37" spans="2:29" ht="17.399999999999999" customHeight="1" thickBot="1">
      <c r="B37" s="678"/>
      <c r="C37" s="675"/>
      <c r="D37" s="673"/>
      <c r="E37" s="666"/>
      <c r="F37" s="667"/>
      <c r="G37" s="758"/>
      <c r="H37" s="731"/>
      <c r="I37" s="735"/>
      <c r="J37" s="735"/>
      <c r="K37" s="738"/>
    </row>
    <row r="38" spans="2:29" ht="17.399999999999999" customHeight="1">
      <c r="B38" s="676" t="str">
        <f>IF(S7 = "Seçiniz.", "", RIGHT(S7, 1))</f>
        <v/>
      </c>
      <c r="C38" s="681" t="str">
        <f>IF($S$7="Seçiniz."," ",IF($S$7="Ürün 1",Sayfa1!C7,IF($S$7="Ürün 2",Sayfa1!E7,IF($S$7="Ürün 3",Sayfa1!G7,IF($S$7="Ürün 4",Sayfa1!I7,IF($S$7="Ürün 5",Sayfa1!K7,IF($S$7="Ürün 6",Sayfa1!M7,)))))))</f>
        <v xml:space="preserve"> </v>
      </c>
      <c r="D38" s="669"/>
      <c r="E38" s="662" t="str">
        <f>IF($S$7="Seçiniz."," ",IF($S$7="Ürün 1",Sayfa1!C11,IF($S$7="Ürün 2",Sayfa1!E11,IF($S$7="Ürün 3",Sayfa1!G11,IF($S$7="Ürün 4",Sayfa1!I11,IF($S$7="Ürün 5",Sayfa1!K11,IF($S$7="Ürün 6",Sayfa1!M11,)))))))</f>
        <v xml:space="preserve"> </v>
      </c>
      <c r="F38" s="663"/>
      <c r="G38" s="756"/>
      <c r="H38" s="729">
        <f>IF(AND($S$7="Ürün 1",$S$9="Miktar 1"),'Quotation Sheet'!H23,IF(AND($S$7="Ürün 1",$S$9="Miktar 2"),'Quotation Sheet'!H24,IF(AND($S$7="Ürün 1",$S$9="Miktar 3"),'Quotation Sheet'!H25,IF(AND($S$7="Ürün 1",$S$9="Miktar 4"),'Quotation Sheet'!H26,IF(AND($S$7="Ürün 1",$S$9="Miktar 5"),'Quotation Sheet'!H27,IF(AND($S$7="Ürün 2",$S$9="Miktar 1"),'Quotation Sheet'!H28,IF(AND($S$7="Ürün 2",$S$9="Miktar 2"),'Quotation Sheet'!H29,IF(AND($S$7="Ürün 2",$S$9="Miktar 3"),'Quotation Sheet'!H30,IF(AND($S$7="Ürün 2",$S$9="Miktar 4"),'Quotation Sheet'!H31,IF(AND($S$7="Ürün 2",$S$9="Miktar 5"),'Quotation Sheet'!H32,IF(AND($S$7="Ürün 3",$S$9="Miktar 1"),'Quotation Sheet'!H33,IF(AND($S$7="Ürün 3",$S$9="Miktar 2"),'Quotation Sheet'!H34,IF(AND($S$7="Ürün 3",$S$9="Miktar 3"),'Quotation Sheet'!H35,IF(AND($S$7="Ürün 3",$S$9="Miktar 4"),'Quotation Sheet'!H36,IF(AND($S$7="Ürün 3",$S$9="Miktar 5"),'Quotation Sheet'!H37,IF(AND($S$7="Ürün 4",$S$9="Miktar 1"),'Quotation Sheet'!H38,IF(AND($S$7="Ürün 4",$S$9="Miktar 2"),'Quotation Sheet'!H39,IF(AND($S$7="Ürün 4",$S$9="Miktar 3"),'Quotation Sheet'!H40,IF(AND($S$7="Ürün 4",$S$9="Miktar 4"),'Quotation Sheet'!H41,IF(AND($S$7="Ürün 4",$S$9="Miktar 5"),'Quotation Sheet'!H42,IF(AND($S$7="Ürün 5",$S$9="Miktar 1"),'Quotation Sheet'!H43,IF(AND($S$7="Ürün 5",$S$9="Miktar 2"),'Quotation Sheet'!H44,IF(AND($S$7="Ürün 5",$S$9="Miktar 3"),'Quotation Sheet'!H45,IF(AND($S$7="Ürün 5",$S$9="Miktar 4"),'Quotation Sheet'!H46,IF(AND($S$7="Ürün 5",$S$9="Miktar 5"),'Quotation Sheet'!H47,IF(AND($S$7="Ürün 6",$S$9="Miktar 1"),'Quotation Sheet'!H48,IF(AND($S$7="Ürün 6",$S$9="Miktar 2"),'Quotation Sheet'!H49,IF(AND($S$7="Ürün 6",$S$9="Miktar 3"),'Quotation Sheet'!H50,IF(AND($S$7="Ürün 6",$S$9="Miktar 4"),'Quotation Sheet'!H51,IF(AND($S$7="Ürün 6",$S$9="Miktar 5"),'Quotation Sheet'!H52,))))))))))))))))))))))))))))))</f>
        <v>0</v>
      </c>
      <c r="I38" s="733">
        <f>IFERROR(IF(AND(S7="Ürün 1",S9="Miktar 1"),'Quotation Sheet'!I23,IF(AND(S7="Ürün 1",S9="Miktar 2"),'Quotation Sheet'!I24,IF(AND(S7="Ürün 1",S9="Miktar 3"),'Quotation Sheet'!I25,IF(AND(S7="Ürün 1",S9="Miktar 4"),'Quotation Sheet'!I26,IF(AND(S7="Ürün 1",S9="Miktar 5"),'Quotation Sheet'!I27,IF(AND(S7="Ürün 2",S9="Miktar 1"),'Quotation Sheet'!I28,IF(AND(S7="Ürün 2",S9="Miktar 2"),'Quotation Sheet'!I29,IF(AND(S7="Ürün 2",S9="Miktar 3"),'Quotation Sheet'!I30,IF(AND(S7="Ürün 2",S9="Miktar 4"),'Quotation Sheet'!I31,IF(AND(S7="Ürün 2",S9="Miktar 5"),'Quotation Sheet'!I32,IF(AND(S7="Ürün 3",S9="Miktar 1"),'Quotation Sheet'!I33,IF(AND(S7="Ürün 3",S9="Miktar 2"),'Quotation Sheet'!I34,IF(AND(S7="Ürün 3",S9="Miktar 3"),'Quotation Sheet'!I35,IF(AND(S7="Ürün 3",S9="Miktar 4"),'Quotation Sheet'!I36,IF(AND(S7="Ürün 3",S9="Miktar 5"),'Quotation Sheet'!I37,IF(AND(S7="Ürün 4",S9="Miktar 1"),'Quotation Sheet'!I38,IF(AND(S7="Ürün 4",S9="Miktar 2"),'Quotation Sheet'!I39,IF(AND(S7="Ürün 4",S9="Miktar 3"),'Quotation Sheet'!I40,IF(AND(S7="Ürün 4",S9="Miktar 4"),'Quotation Sheet'!I41,IF(AND(S7="Ürün 4",S9="Miktar 5"),'Quotation Sheet'!I42,IF(AND(S7="Ürün 5",S9="Miktar 1"),'Quotation Sheet'!I43,IF(AND(S7="Ürün 5",S9="Miktar 2"),'Quotation Sheet'!I44,IF(AND(S7="Ürün 5",S9="Miktar 3"),'Quotation Sheet'!I45,IF(AND(S7="Ürün 5",S9="Miktar 4"),'Quotation Sheet'!I46,IF(AND(S7="Ürün 5",S9="Miktar 5"),'Quotation Sheet'!I47,IF(AND(S7="Ürün 6",S9="Miktar 1"),'Quotation Sheet'!I48,IF(AND(S7="Ürün 6",S9="Miktar 2"),'Quotation Sheet'!I49,IF(AND(S7="Ürün 6",S9="Miktar 3"),'Quotation Sheet'!I50,IF(AND(S7="Ürün 6",S9="Miktar 4"),'Quotation Sheet'!I51,IF(AND(S7="Ürün 6",S9="Miktar 5"),'Quotation Sheet'!I52,))))))))))))))))))))))))))))))+S12,0)</f>
        <v>0</v>
      </c>
      <c r="J38" s="733">
        <f>IFERROR(IF(AND(S7="Ürün 1",S9="Miktar 1"),'Quotation Sheet'!J23,IF(AND(S7="Ürün 1",S9="Miktar 2"),'Quotation Sheet'!J24,IF(AND(S7="Ürün 1",S9="Miktar 3"),'Quotation Sheet'!J25,IF(AND(S7="Ürün 1",S9="Miktar 4"),'Quotation Sheet'!J26,IF(AND(S7="Ürün 1",S9="Miktar 5"),'Quotation Sheet'!J27,IF(AND(S7="Ürün 2",S9="Miktar 1"),'Quotation Sheet'!J28,IF(AND(S7="Ürün 2",S9="Miktar 2"),'Quotation Sheet'!J29,IF(AND(S7="Ürün 2",S9="Miktar 3"),'Quotation Sheet'!J30,IF(AND(S7="Ürün 2",S9="Miktar 4"),'Quotation Sheet'!J31,IF(AND(S7="Ürün 2",S9="Miktar 5"),'Quotation Sheet'!J32,IF(AND(S7="Ürün 3",S9="Miktar 1"),'Quotation Sheet'!J33,IF(AND(S7="Ürün 3",S9="Miktar 2"),'Quotation Sheet'!J34,IF(AND(S7="Ürün 3",S9="Miktar 3"),'Quotation Sheet'!J35,IF(AND(S7="Ürün 3",S9="Miktar 4"),'Quotation Sheet'!J36,IF(AND(S7="Ürün 3",S9="Miktar 5"),'Quotation Sheet'!J37,IF(AND(S7="Ürün 4",S9="Miktar 1"),'Quotation Sheet'!J38,IF(AND(S7="Ürün 4",S9="Miktar 2"),'Quotation Sheet'!J39,IF(AND(S7="Ürün 4",S9="Miktar 3"),'Quotation Sheet'!J40,IF(AND(S7="Ürün 4",S9="Miktar 4"),'Quotation Sheet'!J41,IF(AND(S7="Ürün 4",S9="Miktar 5"),'Quotation Sheet'!J42,IF(AND(S7="Ürün 5",S9="Miktar 1"),'Quotation Sheet'!J43,IF(AND(S7="Ürün 5",S9="Miktar 2"),'Quotation Sheet'!J44,IF(AND(S7="Ürün 5",S9="Miktar 3"),'Quotation Sheet'!J45,IF(AND(S7="Ürün 5",S9="Miktar 4"),'Quotation Sheet'!J46,IF(AND(S7="Ürün 5",S9="Miktar 5"),'Quotation Sheet'!J47,IF(AND(S7="Ürün 6",S9="Miktar 1"),'Quotation Sheet'!J48,IF(AND(S7="Ürün 6",S9="Miktar 2"),'Quotation Sheet'!J49,IF(AND(S7="Ürün 6",S9="Miktar 3"),'Quotation Sheet'!J50,IF(AND(S7="Ürün 6",S9="Miktar 4"),'Quotation Sheet'!J51,IF(AND(S7="Ürün 6",S9="Miktar 5"),'Quotation Sheet'!J52,)))))))))))))))))))))))))))))),0)</f>
        <v>0</v>
      </c>
      <c r="K38" s="736">
        <f>(I38+J38)*H38</f>
        <v>0</v>
      </c>
    </row>
    <row r="39" spans="2:29" ht="17.399999999999999" customHeight="1">
      <c r="B39" s="677"/>
      <c r="C39" s="674"/>
      <c r="D39" s="671"/>
      <c r="E39" s="664"/>
      <c r="F39" s="665"/>
      <c r="G39" s="757"/>
      <c r="H39" s="730"/>
      <c r="I39" s="734"/>
      <c r="J39" s="734"/>
      <c r="K39" s="737"/>
    </row>
    <row r="40" spans="2:29" ht="17.399999999999999" customHeight="1">
      <c r="B40" s="677"/>
      <c r="C40" s="674"/>
      <c r="D40" s="671"/>
      <c r="E40" s="664"/>
      <c r="F40" s="665"/>
      <c r="G40" s="757"/>
      <c r="H40" s="730"/>
      <c r="I40" s="734"/>
      <c r="J40" s="734"/>
      <c r="K40" s="737"/>
    </row>
    <row r="41" spans="2:29" ht="17.399999999999999" customHeight="1">
      <c r="B41" s="677"/>
      <c r="C41" s="674"/>
      <c r="D41" s="671"/>
      <c r="E41" s="664"/>
      <c r="F41" s="665"/>
      <c r="G41" s="757"/>
      <c r="H41" s="730"/>
      <c r="I41" s="734"/>
      <c r="J41" s="734"/>
      <c r="K41" s="737"/>
    </row>
    <row r="42" spans="2:29" ht="17.399999999999999" customHeight="1" thickBot="1">
      <c r="B42" s="678"/>
      <c r="C42" s="675"/>
      <c r="D42" s="673"/>
      <c r="E42" s="666"/>
      <c r="F42" s="667"/>
      <c r="G42" s="758"/>
      <c r="H42" s="731"/>
      <c r="I42" s="735"/>
      <c r="J42" s="735"/>
      <c r="K42" s="738"/>
    </row>
    <row r="43" spans="2:29" ht="18" customHeight="1">
      <c r="B43" s="676" t="str">
        <f>IF(U7 = "Seçiniz.", "", RIGHT(U7, 1))</f>
        <v/>
      </c>
      <c r="C43" s="681" t="str">
        <f>IF($U$7="Seçiniz."," ",IF($U$7="Ürün 1",Sayfa1!C7,IF($U$7="Ürün 2",Sayfa1!E7,IF($U$7="Ürün 3",Sayfa1!G7,IF($U$7="Ürün 4",Sayfa1!I7,IF($U$7="Ürün 5",Sayfa1!K7,IF($U$7="Ürün 6",Sayfa1!M7,)))))))</f>
        <v xml:space="preserve"> </v>
      </c>
      <c r="D43" s="669"/>
      <c r="E43" s="662" t="str">
        <f>IF($U$7="Seçiniz."," ",IF($U$7="Ürün 1",Sayfa1!C11,IF($U$7="Ürün 2",Sayfa1!E11,IF($U$7="Ürün 3",Sayfa1!G11,IF($U$7="Ürün 4",Sayfa1!I11,IF($U$7="Ürün 5",Sayfa1!K11,IF($U$7="Ürün 6",Sayfa1!M11,)))))))</f>
        <v xml:space="preserve"> </v>
      </c>
      <c r="F43" s="663"/>
      <c r="G43" s="756"/>
      <c r="H43" s="729">
        <f>IF(AND($U$7="Ürün 1",$U$9="Miktar 1"),'Quotation Sheet'!H23,IF(AND($U$7="Ürün 1",$U$9="Miktar 2"),'Quotation Sheet'!H24,IF(AND($U$7="Ürün 1",$U$9="Miktar 3"),'Quotation Sheet'!H25,IF(AND($U$7="Ürün 1",$U$9="Miktar 4"),'Quotation Sheet'!H26,IF(AND($U$7="Ürün 1",$U$9="Miktar 5"),'Quotation Sheet'!H27,IF(AND($U$7="Ürün 2",$U$9="Miktar 1"),'Quotation Sheet'!H28,IF(AND($U$7="Ürün 2",$U$9="Miktar 2"),'Quotation Sheet'!H29,IF(AND($U$7="Ürün 2",$U$9="Miktar 3"),'Quotation Sheet'!H30,IF(AND($U$7="Ürün 2",$U$9="Miktar 4"),'Quotation Sheet'!H31,IF(AND($U$7="Ürün 2",$U$9="Miktar 5"),'Quotation Sheet'!H32,IF(AND($U$7="Ürün 3",$U$9="Miktar 1"),'Quotation Sheet'!H33,IF(AND($U$7="Ürün 3",$U$9="Miktar 2"),'Quotation Sheet'!H34,IF(AND($U$7="Ürün 3",$U$9="Miktar 3"),'Quotation Sheet'!H35,IF(AND($U$7="Ürün 3",$U$9="Miktar 4"),'Quotation Sheet'!H36,IF(AND($U$7="Ürün 3",$U$9="Miktar 5"),'Quotation Sheet'!H37,IF(AND($U$7="Ürün 4",$U$9="Miktar 1"),'Quotation Sheet'!H38,IF(AND($U$7="Ürün 4",$U$9="Miktar 2"),'Quotation Sheet'!H39,IF(AND($U$7="Ürün 4",$U$9="Miktar 3"),'Quotation Sheet'!H40,IF(AND($U$7="Ürün 4",$U$9="Miktar 4"),'Quotation Sheet'!H41,IF(AND($U$7="Ürün 4",$U$9="Miktar 5"),'Quotation Sheet'!H42,IF(AND($U$7="Ürün 5",$U$9="Miktar 1"),'Quotation Sheet'!H43,IF(AND($U$7="Ürün 5",$U$9="Miktar 2"),'Quotation Sheet'!H44,IF(AND($U$7="Ürün 5",$U$9="Miktar 3"),'Quotation Sheet'!H45,IF(AND($U$7="Ürün 5",$U$9="Miktar 4"),'Quotation Sheet'!H46,IF(AND($U$7="Ürün 5",$U$9="Miktar 5"),'Quotation Sheet'!H47,IF(AND($U$7="Ürün 6",$U$9="Miktar 1"),'Quotation Sheet'!H48,IF(AND($U$7="Ürün 6",$U$9="Miktar 2"),'Quotation Sheet'!H49,IF(AND($U$7="Ürün 6",$U$9="Miktar 3"),'Quotation Sheet'!H50,IF(AND($U$7="Ürün 6",$U$9="Miktar 4"),'Quotation Sheet'!H51,IF(AND($U$7="Ürün 6",$U$9="Miktar 5"),'Quotation Sheet'!H52,))))))))))))))))))))))))))))))</f>
        <v>0</v>
      </c>
      <c r="I43" s="733">
        <f>IFERROR(IF(AND(U7="Ürün 1",U9="Miktar 1"),'Quotation Sheet'!I23,IF(AND(U7="Ürün 1",U9="Miktar 2"),'Quotation Sheet'!I24,IF(AND(U7="Ürün 1",U9="Miktar 3"),'Quotation Sheet'!I25,IF(AND(U7="Ürün 1",U9="Miktar 4"),'Quotation Sheet'!I26,IF(AND(U7="Ürün 1",U9="Miktar 5"),'Quotation Sheet'!I27,IF(AND(U7="Ürün 2",U9="Miktar 1"),'Quotation Sheet'!I28,IF(AND(U7="Ürün 2",U9="Miktar 2"),'Quotation Sheet'!I29,IF(AND(U7="Ürün 2",U9="Miktar 3"),'Quotation Sheet'!I30,IF(AND(U7="Ürün 2",U9="Miktar 4"),'Quotation Sheet'!I31,IF(AND(U7="Ürün 2",U9="Miktar 5"),'Quotation Sheet'!I32,IF(AND(U7="Ürün 3",U9="Miktar 1"),'Quotation Sheet'!I33,IF(AND(U7="Ürün 3",U9="Miktar 2"),'Quotation Sheet'!I34,IF(AND(U7="Ürün 3",U9="Miktar 3"),'Quotation Sheet'!I35,IF(AND(U7="Ürün 3",U9="Miktar 4"),'Quotation Sheet'!I36,IF(AND(U7="Ürün 3",U9="Miktar 5"),'Quotation Sheet'!I37,IF(AND(U7="Ürün 4",U9="Miktar 1"),'Quotation Sheet'!I38,IF(AND(U7="Ürün 4",U9="Miktar 2"),'Quotation Sheet'!I39,IF(AND(U7="Ürün 4",U9="Miktar 3"),'Quotation Sheet'!I40,IF(AND(U7="Ürün 4",U9="Miktar 4"),'Quotation Sheet'!I41,IF(AND(U7="Ürün 4",U9="Miktar 5"),'Quotation Sheet'!I42,IF(AND(U7="Ürün 5",U9="Miktar 1"),'Quotation Sheet'!I43,IF(AND(U7="Ürün 5",U9="Miktar 2"),'Quotation Sheet'!I44,IF(AND(U7="Ürün 5",U9="Miktar 3"),'Quotation Sheet'!I45,IF(AND(U7="Ürün 5",U9="Miktar 4"),'Quotation Sheet'!I46,IF(AND(U7="Ürün 5",U9="Miktar 5"),'Quotation Sheet'!I47,IF(AND(U7="Ürün 6",U9="Miktar 1"),'Quotation Sheet'!I48,IF(AND(U7="Ürün 6",U9="Miktar 2"),'Quotation Sheet'!I49,IF(AND(U7="Ürün 6",U9="Miktar 3"),'Quotation Sheet'!I50,IF(AND(U7="Ürün 6",U9="Miktar 4"),'Quotation Sheet'!I51,IF(AND(U7="Ürün 6",U9="Miktar 5"),'Quotation Sheet'!I52,))))))))))))))))))))))))))))))+U13,0)</f>
        <v>0</v>
      </c>
      <c r="J43" s="733">
        <f>IFERROR(IF(AND(U7="Ürün 1",U9="Miktar 1"),'Quotation Sheet'!J23,IF(AND(U7="Ürün 1",U9="Miktar 2"),'Quotation Sheet'!J24,IF(AND(U7="Ürün 1",U9="Miktar 3"),'Quotation Sheet'!J25,IF(AND(U7="Ürün 1",U9="Miktar 4"),'Quotation Sheet'!J26,IF(AND(U7="Ürün 1",U9="Miktar 5"),'Quotation Sheet'!J27,IF(AND(U7="Ürün 2",U9="Miktar 1"),'Quotation Sheet'!J28,IF(AND(U7="Ürün 2",U9="Miktar 2"),'Quotation Sheet'!J29,IF(AND(U7="Ürün 2",U9="Miktar 3"),'Quotation Sheet'!J30,IF(AND(U7="Ürün 2",U9="Miktar 4"),'Quotation Sheet'!J31,IF(AND(U7="Ürün 2",U9="Miktar 5"),'Quotation Sheet'!J32,IF(AND(U7="Ürün 3",U9="Miktar 1"),'Quotation Sheet'!J33,IF(AND(U7="Ürün 3",U9="Miktar 2"),'Quotation Sheet'!J34,IF(AND(U7="Ürün 3",U9="Miktar 3"),'Quotation Sheet'!J35,IF(AND(U7="Ürün 3",U9="Miktar 4"),'Quotation Sheet'!J36,IF(AND(U7="Ürün 3",U9="Miktar 5"),'Quotation Sheet'!J37,IF(AND(U7="Ürün 4",U9="Miktar 1"),'Quotation Sheet'!J38,IF(AND(U7="Ürün 4",U9="Miktar 2"),'Quotation Sheet'!J39,IF(AND(U7="Ürün 4",U9="Miktar 3"),'Quotation Sheet'!J40,IF(AND(U7="Ürün 4",U9="Miktar 4"),'Quotation Sheet'!J41,IF(AND(U7="Ürün 4",U9="Miktar 5"),'Quotation Sheet'!J42,IF(AND(U7="Ürün 5",U9="Miktar 1"),'Quotation Sheet'!J43,IF(AND(U7="Ürün 5",U9="Miktar 2"),'Quotation Sheet'!J44,IF(AND(U7="Ürün 5",U9="Miktar 3"),'Quotation Sheet'!J45,IF(AND(U7="Ürün 5",U9="Miktar 4"),'Quotation Sheet'!J46,IF(AND(U7="Ürün 5",U9="Miktar 5"),'Quotation Sheet'!J47,IF(AND(U7="Ürün 6",U9="Miktar 1"),'Quotation Sheet'!J48,IF(AND(U7="Ürün 6",U9="Miktar 2"),'Quotation Sheet'!J49,IF(AND(U7="Ürün 6",U9="Miktar 3"),'Quotation Sheet'!J50,IF(AND(U7="Ürün 6",U9="Miktar 4"),'Quotation Sheet'!J51,IF(AND(U7="Ürün 6",U9="Miktar 5"),'Quotation Sheet'!J52,)))))))))))))))))))))))))))))),0)</f>
        <v>0</v>
      </c>
      <c r="K43" s="736">
        <f>(I43+J43)*H43</f>
        <v>0</v>
      </c>
    </row>
    <row r="44" spans="2:29" ht="18" customHeight="1">
      <c r="B44" s="677"/>
      <c r="C44" s="674"/>
      <c r="D44" s="671"/>
      <c r="E44" s="664"/>
      <c r="F44" s="665"/>
      <c r="G44" s="757"/>
      <c r="H44" s="730"/>
      <c r="I44" s="734"/>
      <c r="J44" s="734"/>
      <c r="K44" s="737"/>
    </row>
    <row r="45" spans="2:29" ht="18" customHeight="1">
      <c r="B45" s="677"/>
      <c r="C45" s="674"/>
      <c r="D45" s="671"/>
      <c r="E45" s="664"/>
      <c r="F45" s="665"/>
      <c r="G45" s="757"/>
      <c r="H45" s="730"/>
      <c r="I45" s="734"/>
      <c r="J45" s="734"/>
      <c r="K45" s="737"/>
    </row>
    <row r="46" spans="2:29" ht="18" customHeight="1">
      <c r="B46" s="677"/>
      <c r="C46" s="674"/>
      <c r="D46" s="671"/>
      <c r="E46" s="664"/>
      <c r="F46" s="665"/>
      <c r="G46" s="757"/>
      <c r="H46" s="730"/>
      <c r="I46" s="734"/>
      <c r="J46" s="734"/>
      <c r="K46" s="737"/>
    </row>
    <row r="47" spans="2:29" ht="18" customHeight="1" thickBot="1">
      <c r="B47" s="678"/>
      <c r="C47" s="675"/>
      <c r="D47" s="673"/>
      <c r="E47" s="666"/>
      <c r="F47" s="667"/>
      <c r="G47" s="758"/>
      <c r="H47" s="731"/>
      <c r="I47" s="735"/>
      <c r="J47" s="735"/>
      <c r="K47" s="738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</row>
    <row r="48" spans="2:29" ht="15.6" customHeight="1">
      <c r="B48" s="676" t="str">
        <f>IF(W7 = "Seçiniz.", "", RIGHT(W7, 1))</f>
        <v/>
      </c>
      <c r="C48" s="681" t="str">
        <f>IF($W$7="Seçiniz."," ",IF($W$7="Ürün 1",Sayfa1!C7,IF($W$7="Ürün 2",Sayfa1!E7,IF($W$7="Ürün 3",Sayfa1!G7,IF($W$7="Ürün 4",Sayfa1!I7,IF($W$7="Ürün 5",Sayfa1!K7,IF($W$7="Ürün 6",Sayfa1!M7,)))))))</f>
        <v xml:space="preserve"> </v>
      </c>
      <c r="D48" s="669"/>
      <c r="E48" s="662" t="str">
        <f>IF($W$7="Seçiniz."," ",IF($W$7="Ürün 1",Sayfa1!C11,IF($W$7="Ürün 2",Sayfa1!E11,IF($W$7="Ürün 3",Sayfa1!G11,IF($W$7="Ürün 4",Sayfa1!I11,IF($W$7="Ürün 5",Sayfa1!K11,IF($W$7="Ürün 6",Sayfa1!M11,)))))))</f>
        <v xml:space="preserve"> </v>
      </c>
      <c r="F48" s="663"/>
      <c r="G48" s="756"/>
      <c r="H48" s="729">
        <f>IF(AND($W$7="Ürün 1",$W$9="Miktar 1"),'Quotation Sheet'!H23,IF(AND($W$7="Ürün 1",$W$9="Miktar 2"),'Quotation Sheet'!H24,IF(AND($W$7="Ürün 1",$W$9="Miktar 3"),'Quotation Sheet'!H25,IF(AND($W$7="Ürün 1",$W$9="Miktar 4"),'Quotation Sheet'!H26,IF(AND($W$7="Ürün 1",$W$9="Miktar 5"),'Quotation Sheet'!H27,IF(AND($W$7="Ürün 2",$W$9="Miktar 1"),'Quotation Sheet'!H28,IF(AND($W$7="Ürün 2",$W$9="Miktar 2"),'Quotation Sheet'!H29,IF(AND($W$7="Ürün 2",$W$9="Miktar 3"),'Quotation Sheet'!H30,IF(AND($W$7="Ürün 2",$W$9="Miktar 4"),'Quotation Sheet'!H31,IF(AND($W$7="Ürün 2",$W$9="Miktar 5"),'Quotation Sheet'!H32,IF(AND($W$7="Ürün 3",$W$9="Miktar 1"),'Quotation Sheet'!H33,IF(AND($W$7="Ürün 3",$W$9="Miktar 2"),'Quotation Sheet'!H34,IF(AND($W$7="Ürün 3",$W$9="Miktar 3"),'Quotation Sheet'!H35,IF(AND($W$7="Ürün 3",$W$9="Miktar 4"),'Quotation Sheet'!H36,IF(AND($W$7="Ürün 3",$W$9="Miktar 5"),'Quotation Sheet'!H37,IF(AND($W$7="Ürün 4",$W$9="Miktar 1"),'Quotation Sheet'!H38,IF(AND($W$7="Ürün 4",$W$9="Miktar 2"),'Quotation Sheet'!H39,IF(AND($W$7="Ürün 4",$W$9="Miktar 3"),'Quotation Sheet'!H40,IF(AND($W$7="Ürün 4",$W$9="Miktar 4"),'Quotation Sheet'!H41,IF(AND($W$7="Ürün 4",$W$9="Miktar 5"),'Quotation Sheet'!H42,IF(AND($W$7="Ürün 5",$W$9="Miktar 1"),'Quotation Sheet'!H43,IF(AND($W$7="Ürün 5",$W$9="Miktar 2"),'Quotation Sheet'!H44,IF(AND($W$7="Ürün 5",$W$9="Miktar 3"),'Quotation Sheet'!H45,IF(AND($W$7="Ürün 5",$W$9="Miktar 4"),'Quotation Sheet'!H46,IF(AND($W$7="Ürün 5",$W$9="Miktar 5"),'Quotation Sheet'!H47,IF(AND($W$7="Ürün 6",$W$9="Miktar 1"),'Quotation Sheet'!H48,IF(AND($W$7="Ürün 6",$W$9="Miktar 2"),'Quotation Sheet'!H49,IF(AND($W$7="Ürün 6",$W$9="Miktar 3"),'Quotation Sheet'!H50,IF(AND($W$7="Ürün 6",$W$9="Miktar 4"),'Quotation Sheet'!H51,IF(AND($W$7="Ürün 6",$W$9="Miktar 5"),'Quotation Sheet'!H52,))))))))))))))))))))))))))))))</f>
        <v>0</v>
      </c>
      <c r="I48" s="733">
        <f>IFERROR(IF(AND(W7="Ürün 1",W9="Miktar 1"),'Quotation Sheet'!I23,IF(AND(W7="Ürün 1",W9="Miktar 2"),'Quotation Sheet'!I24,IF(AND(W7="Ürün 1",W9="Miktar 3"),'Quotation Sheet'!I25,IF(AND(W7="Ürün 1",W9="Miktar 4"),'Quotation Sheet'!I26,IF(AND(W7="Ürün 1",W9="Miktar 5"),'Quotation Sheet'!I27,IF(AND(W7="Ürün 2",W9="Miktar 1"),'Quotation Sheet'!I28,IF(AND(W7="Ürün 2",W9="Miktar 2"),'Quotation Sheet'!I29,IF(AND(W7="Ürün 2",W9="Miktar 3"),'Quotation Sheet'!I30,IF(AND(W7="Ürün 2",W9="Miktar 4"),'Quotation Sheet'!I31,IF(AND(W7="Ürün 2",W9="Miktar 5"),'Quotation Sheet'!I32,IF(AND(W7="Ürün 3",W9="Miktar 1"),'Quotation Sheet'!I33,IF(AND(W7="Ürün 3",W9="Miktar 2"),'Quotation Sheet'!I34,IF(AND(W7="Ürün 3",W9="Miktar 3"),'Quotation Sheet'!I35,IF(AND(W7="Ürün 3",W9="Miktar 4"),'Quotation Sheet'!I36,IF(AND(W7="Ürün 3",W9="Miktar 5"),'Quotation Sheet'!I37,IF(AND(W7="Ürün 4",W9="Miktar 1"),'Quotation Sheet'!I38,IF(AND(W7="Ürün 4",W9="Miktar 2"),'Quotation Sheet'!I39,IF(AND(W7="Ürün 4",W9="Miktar 3"),'Quotation Sheet'!I40,IF(AND(W7="Ürün 4",W9="Miktar 4"),'Quotation Sheet'!I41,IF(AND(W7="Ürün 4",W9="Miktar 5"),'Quotation Sheet'!I42,IF(AND(W7="Ürün 5",W9="Miktar 1"),'Quotation Sheet'!I43,IF(AND(W7="Ürün 5",W9="Miktar 2"),'Quotation Sheet'!I44,IF(AND(W7="Ürün 5",W9="Miktar 3"),'Quotation Sheet'!I45,IF(AND(W7="Ürün 5",W9="Miktar 4"),'Quotation Sheet'!I46,IF(AND(W7="Ürün 5",W9="Miktar 5"),'Quotation Sheet'!I47,IF(AND(W7="Ürün 6",W9="Miktar 1"),'Quotation Sheet'!I48,IF(AND(W7="Ürün 6",W9="Miktar 2"),'Quotation Sheet'!I49,IF(AND(W7="Ürün 6",W9="Miktar 3"),'Quotation Sheet'!I50,IF(AND(W7="Ürün 6",W9="Miktar 4"),'Quotation Sheet'!I51,IF(AND(W7="Ürün 6",W9="Miktar 5"),'Quotation Sheet'!I52,))))))))))))))))))))))))))))))+W12,0)</f>
        <v>0</v>
      </c>
      <c r="J48" s="733">
        <f>IFERROR(IF(AND(W7="Ürün 1",W9="Miktar 1"),'Quotation Sheet'!J23,IF(AND(W7="Ürün 1",W9="Miktar 2"),'Quotation Sheet'!J24,IF(AND(W7="Ürün 1",W9="Miktar 3"),'Quotation Sheet'!J25,IF(AND(W7="Ürün 1",W9="Miktar 4"),'Quotation Sheet'!J26,IF(AND(W7="Ürün 1",W9="Miktar 5"),'Quotation Sheet'!J27,IF(AND(W7="Ürün 2",W9="Miktar 1"),'Quotation Sheet'!J28,IF(AND(W7="Ürün 2",W9="Miktar 2"),'Quotation Sheet'!J29,IF(AND(W7="Ürün 2",W9="Miktar 3"),'Quotation Sheet'!J30,IF(AND(W7="Ürün 2",W9="Miktar 4"),'Quotation Sheet'!J31,IF(AND(W7="Ürün 2",W9="Miktar 5"),'Quotation Sheet'!J32,IF(AND(W7="Ürün 3",W9="Miktar 1"),'Quotation Sheet'!J33,IF(AND(W7="Ürün 3",W9="Miktar 2"),'Quotation Sheet'!J34,IF(AND(W7="Ürün 3",W9="Miktar 3"),'Quotation Sheet'!J35,IF(AND(W7="Ürün 3",W9="Miktar 4"),'Quotation Sheet'!J36,IF(AND(W7="Ürün 3",W9="Miktar 5"),'Quotation Sheet'!J37,IF(AND(W7="Ürün 4",W9="Miktar 1"),'Quotation Sheet'!J38,IF(AND(W7="Ürün 4",W9="Miktar 2"),'Quotation Sheet'!J39,IF(AND(W7="Ürün 4",W9="Miktar 3"),'Quotation Sheet'!J40,IF(AND(W7="Ürün 4",W9="Miktar 4"),'Quotation Sheet'!J41,IF(AND(W7="Ürün 4",W9="Miktar 5"),'Quotation Sheet'!J42,IF(AND(W7="Ürün 5",W9="Miktar 1"),'Quotation Sheet'!J43,IF(AND(W7="Ürün 5",W9="Miktar 2"),'Quotation Sheet'!J44,IF(AND(W7="Ürün 5",W9="Miktar 3"),'Quotation Sheet'!J45,IF(AND(W7="Ürün 5",W9="Miktar 4"),'Quotation Sheet'!J46,IF(AND(W7="Ürün 5",W9="Miktar 5"),'Quotation Sheet'!J47,IF(AND(W7="Ürün 6",W9="Miktar 1"),'Quotation Sheet'!J48,IF(AND(W7="Ürün 6",W9="Miktar 2"),'Quotation Sheet'!J49,IF(AND(W7="Ürün 6",W9="Miktar 3"),'Quotation Sheet'!J50,IF(AND(W7="Ürün 6",W9="Miktar 4"),'Quotation Sheet'!J51,IF(AND(W7="Ürün 6",W9="Miktar 5"),'Quotation Sheet'!J52,)))))))))))))))))))))))))))))),0)</f>
        <v>0</v>
      </c>
      <c r="K48" s="736">
        <f>(I48+J48)*H48</f>
        <v>0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</row>
    <row r="49" spans="2:29" ht="15.6" customHeight="1">
      <c r="B49" s="677"/>
      <c r="C49" s="674"/>
      <c r="D49" s="671"/>
      <c r="E49" s="664"/>
      <c r="F49" s="665"/>
      <c r="G49" s="757"/>
      <c r="H49" s="730"/>
      <c r="I49" s="734"/>
      <c r="J49" s="734"/>
      <c r="K49" s="73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</row>
    <row r="50" spans="2:29" ht="15.6" customHeight="1">
      <c r="B50" s="677"/>
      <c r="C50" s="674"/>
      <c r="D50" s="671"/>
      <c r="E50" s="664"/>
      <c r="F50" s="665"/>
      <c r="G50" s="757"/>
      <c r="H50" s="730"/>
      <c r="I50" s="734"/>
      <c r="J50" s="734"/>
      <c r="K50" s="737"/>
      <c r="M50" s="118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</row>
    <row r="51" spans="2:29" ht="15.6" customHeight="1">
      <c r="B51" s="677"/>
      <c r="C51" s="674"/>
      <c r="D51" s="671"/>
      <c r="E51" s="664"/>
      <c r="F51" s="665"/>
      <c r="G51" s="757"/>
      <c r="H51" s="730"/>
      <c r="I51" s="734"/>
      <c r="J51" s="734"/>
      <c r="K51" s="73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</row>
    <row r="52" spans="2:29" ht="15.6" customHeight="1" thickBot="1">
      <c r="B52" s="678"/>
      <c r="C52" s="675"/>
      <c r="D52" s="673"/>
      <c r="E52" s="666"/>
      <c r="F52" s="667"/>
      <c r="G52" s="758"/>
      <c r="H52" s="731"/>
      <c r="I52" s="735"/>
      <c r="J52" s="735"/>
      <c r="K52" s="738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</row>
    <row r="53" spans="2:29" ht="15" thickBot="1">
      <c r="B53" s="685"/>
      <c r="C53" s="686"/>
      <c r="D53" s="686"/>
      <c r="E53" s="687" t="s">
        <v>99</v>
      </c>
      <c r="F53" s="687"/>
      <c r="G53" s="687"/>
      <c r="H53" s="6"/>
      <c r="I53" s="145"/>
      <c r="J53" s="145"/>
      <c r="K53" s="319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</row>
    <row r="54" spans="2:29">
      <c r="B54" s="119"/>
      <c r="C54" s="120"/>
      <c r="D54" s="120"/>
      <c r="E54" s="121"/>
      <c r="F54" s="121"/>
      <c r="G54" s="121"/>
      <c r="H54" s="6"/>
      <c r="I54" s="145"/>
      <c r="J54" s="145"/>
      <c r="K54" s="694">
        <f>SUM(K23:K52)</f>
        <v>0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</row>
    <row r="55" spans="2:29" ht="15" thickBot="1">
      <c r="B55" s="119"/>
      <c r="C55" s="120"/>
      <c r="D55" s="120"/>
      <c r="E55" s="121"/>
      <c r="F55" s="121"/>
      <c r="G55" s="121"/>
      <c r="H55" s="6"/>
      <c r="I55" s="145"/>
      <c r="J55" s="145"/>
      <c r="K55" s="69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</row>
    <row r="56" spans="2:29" ht="21" customHeight="1">
      <c r="B56" s="739" t="s">
        <v>116</v>
      </c>
      <c r="C56" s="739"/>
      <c r="D56" s="739"/>
      <c r="E56" s="688"/>
      <c r="F56" s="688"/>
      <c r="G56" s="688"/>
      <c r="H56" s="688"/>
      <c r="I56" s="688"/>
      <c r="J56" s="688"/>
      <c r="K56" s="688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</row>
    <row r="57" spans="2:29" ht="15" customHeight="1">
      <c r="B57" s="691" t="s">
        <v>266</v>
      </c>
      <c r="C57" s="692"/>
      <c r="D57" s="693"/>
      <c r="E57" s="35" t="str">
        <f>IF(M7 = "Seçiniz.", "", RIGHT(M7, 1))</f>
        <v/>
      </c>
      <c r="F57" s="35" t="str">
        <f>IF(O7 = "Seçiniz.", "", RIGHT(O7, 1))</f>
        <v/>
      </c>
      <c r="G57" s="35" t="str">
        <f>IF(Q7 = "Seçiniz.", "", RIGHT(Q7, 1))</f>
        <v/>
      </c>
      <c r="H57" s="35" t="str">
        <f>IF(S7 = "Seçiniz.", "", RIGHT(S7, 1))</f>
        <v/>
      </c>
      <c r="I57" s="696" t="str">
        <f>IF(U7 = "Seçiniz.", "", RIGHT(U7, 1))</f>
        <v/>
      </c>
      <c r="J57" s="697"/>
      <c r="K57" s="35" t="str">
        <f>IF(W7 = "Seçiniz.", "", RIGHT(W7, 1))</f>
        <v/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</row>
    <row r="58" spans="2:29" s="7" customFormat="1" ht="17.399999999999999">
      <c r="B58" s="728" t="s">
        <v>117</v>
      </c>
      <c r="C58" s="728"/>
      <c r="D58" s="295"/>
      <c r="E58" s="286" t="str">
        <f>IF(M7="Seçiniz.","",IF(M7="Ürün 1",'Quotation Sheet'!E58,IF(M7="Ürün 2",'Quotation Sheet'!F58,IF(M7="Ürün 3",'Quotation Sheet'!G58,IF(M7="Ürün 4",'Quotation Sheet'!H58,IF(M7="Ürün 5",'Quotation Sheet'!I58,IF(M7="Ürün 6",'Quotation Sheet'!K58,)))))))</f>
        <v/>
      </c>
      <c r="F58" s="287" t="str">
        <f>IF(O7="Seçiniz.","",IF(O7="Ürün 1",'Quotation Sheet'!E58,IF(O7="Ürün 2",'Quotation Sheet'!F58,IF(O7="Ürün 3",'Quotation Sheet'!G58,IF(O7="Ürün 4",'Quotation Sheet'!H58,IF(O7="Ürün 5",'Quotation Sheet'!I58,IF(O7="Ürün 6",'Quotation Sheet'!K58,)))))))</f>
        <v/>
      </c>
      <c r="G58" s="287" t="str">
        <f>IF(Q7="Seçiniz.","",IF(Q7="Ürün 1",'Quotation Sheet'!E58,IF(Q7="Ürün 2",'Quotation Sheet'!F58,IF(Q7="Ürün 3",'Quotation Sheet'!G58,IF(Q7="Ürün 4",'Quotation Sheet'!H58,IF(Q7="Ürün 5",'Quotation Sheet'!I58,IF(Q7="Ürün 6",'Quotation Sheet'!K58,)))))))</f>
        <v/>
      </c>
      <c r="H58" s="287" t="str">
        <f>IF(S7="Seçiniz.","",IF(S7="Ürün 1",'Quotation Sheet'!E58,IF(S7="Ürün 2",'Quotation Sheet'!F58,IF(S7="Ürün 3",'Quotation Sheet'!G58,IF(S7="Ürün 4",'Quotation Sheet'!H58,IF(S7="Ürün 5",'Quotation Sheet'!I58,IF(S7="Ürün 6",'Quotation Sheet'!K58,)))))))</f>
        <v/>
      </c>
      <c r="I58" s="740" t="str">
        <f>IF(U7="Seçiniz.","",IF(U7="Ürün 1",'Quotation Sheet'!E58,IF(U7="Ürün 2",'Quotation Sheet'!F58,IF(U7="Ürün 3",'Quotation Sheet'!G58,IF(U7="Ürün 4",'Quotation Sheet'!H58,IF(U7="Ürün 5",'Quotation Sheet'!I58,IF(U7="Ürün 6",'Quotation Sheet'!K58,)))))))</f>
        <v/>
      </c>
      <c r="J58" s="740"/>
      <c r="K58" s="288" t="str">
        <f>IF(W7="Seçiniz.","",IF(W7="Ürün 1",'Quotation Sheet'!E58,IF(W7="Ürün 2",'Quotation Sheet'!F58,IF(W7="Ürün 3",'Quotation Sheet'!G58,IF(W7="Ürün 4",'Quotation Sheet'!H58,IF(W7="Ürün 5",'Quotation Sheet'!I58,IF(W7="Ürün 6",'Quotation Sheet'!K58,)))))))</f>
        <v/>
      </c>
    </row>
    <row r="59" spans="2:29" s="7" customFormat="1" ht="15" customHeight="1">
      <c r="B59" s="728" t="s">
        <v>118</v>
      </c>
      <c r="C59" s="728"/>
      <c r="D59" s="295"/>
      <c r="E59" s="289" t="str">
        <f>IF(M7="Seçiniz.","",IF(M7="Ürün 1",'Quotation Sheet'!E59,IF(M7="Ürün 2",'Quotation Sheet'!F59,IF(M7="Ürün 3",'Quotation Sheet'!G59,IF(M7="Ürün 4",'Quotation Sheet'!H59,IF(M7="Ürün 5",'Quotation Sheet'!I59,IF(M7="Ürün 6",'Quotation Sheet'!K59,)))))))</f>
        <v/>
      </c>
      <c r="F59" s="290" t="str">
        <f>IF(O7="Seçiniz.","",IF(O7="Ürün 1",'Quotation Sheet'!E59,IF(O7="Ürün 2",'Quotation Sheet'!F59,IF(O7="Ürün 3",'Quotation Sheet'!G59,IF(O7="Ürün 4",'Quotation Sheet'!H59,IF(O7="Ürün 5",'Quotation Sheet'!I59,IF(O7="Ürün 6",'Quotation Sheet'!K59,)))))))</f>
        <v/>
      </c>
      <c r="G59" s="290" t="str">
        <f>IF(Q7="Seçiniz.","",IF(Q7="Ürün 1",'Quotation Sheet'!E59,IF(Q7="Ürün 2",'Quotation Sheet'!F59,IF(Q7="Ürün 3",'Quotation Sheet'!G59,IF(Q7="Ürün 4",'Quotation Sheet'!H59,IF(Q7="Ürün 5",'Quotation Sheet'!I59,IF(Q7="Ürün 6",'Quotation Sheet'!K59,)))))))</f>
        <v/>
      </c>
      <c r="H59" s="290" t="str">
        <f>IF(S7="Seçiniz.","",IF(S7="Ürün 1",'Quotation Sheet'!E59,IF(S7="Ürün 2",'Quotation Sheet'!F59,IF(S7="Ürün 3",'Quotation Sheet'!G59,IF(S7="Ürün 4",'Quotation Sheet'!H59,IF(S7="Ürün 5",'Quotation Sheet'!I59,IF(S7="Ürün 6",'Quotation Sheet'!K59,)))))))</f>
        <v/>
      </c>
      <c r="I59" s="720" t="str">
        <f>IF(U7="Seçiniz.","",IF(U7="Ürün 1",'Quotation Sheet'!E59,IF(U7="Ürün 2",'Quotation Sheet'!F59,IF(U7="Ürün 3",'Quotation Sheet'!G59,IF(U7="Ürün 4",'Quotation Sheet'!H59,IF(U7="Ürün 5",'Quotation Sheet'!I59,IF(U7="Ürün 6",'Quotation Sheet'!K59,)))))))</f>
        <v/>
      </c>
      <c r="J59" s="720"/>
      <c r="K59" s="291" t="str">
        <f>IF(W7="Seçiniz.","",IF(W7="Ürün 1",'Quotation Sheet'!E59,IF(W7="Ürün 2",'Quotation Sheet'!F59,IF(W7="Ürün 3",'Quotation Sheet'!G59,IF(W7="Ürün 4",'Quotation Sheet'!H59,IF(W7="Ürün 5",'Quotation Sheet'!I59,IF(W7="Ürün 6",'Quotation Sheet'!K59,)))))))</f>
        <v/>
      </c>
    </row>
    <row r="60" spans="2:29" s="7" customFormat="1" ht="17.399999999999999">
      <c r="B60" s="728" t="s">
        <v>119</v>
      </c>
      <c r="C60" s="728"/>
      <c r="D60" s="295"/>
      <c r="E60" s="289" t="str">
        <f>IF(M7="Seçiniz.","",IF(M7="Ürün 1",'Quotation Sheet'!E60,IF(M7="Ürün 2",'Quotation Sheet'!F60,IF(M7="Ürün 3",'Quotation Sheet'!G60,IF(M7="Ürün 4",'Quotation Sheet'!H60,IF(M7="Ürün 5",'Quotation Sheet'!I60,IF(M7="Ürün 6",'Quotation Sheet'!K60,)))))))</f>
        <v/>
      </c>
      <c r="F60" s="290" t="str">
        <f>IF(O7="Seçiniz.","",IF(O7="Ürün 1",'Quotation Sheet'!E60,IF(O7="Ürün 2",'Quotation Sheet'!F60,IF(O7="Ürün 3",'Quotation Sheet'!G60,IF(O7="Ürün 4",'Quotation Sheet'!H60,IF(O7="Ürün 5",'Quotation Sheet'!I60,IF(O7="Ürün 6",'Quotation Sheet'!K60,)))))))</f>
        <v/>
      </c>
      <c r="G60" s="290" t="str">
        <f>IF(Q7="Seçiniz.","",IF(Q7="Ürün 1",'Quotation Sheet'!E60,IF(Q7="Ürün 2",'Quotation Sheet'!F60,IF(Q7="Ürün 3",'Quotation Sheet'!G60,IF(Q7="Ürün 4",'Quotation Sheet'!H60,IF(Q7="Ürün 5",'Quotation Sheet'!I60,IF(Q7="Ürün 6",'Quotation Sheet'!K60,)))))))</f>
        <v/>
      </c>
      <c r="H60" s="290" t="str">
        <f>IF(S7="Seçiniz.","",IF(S7="Ürün 1",'Quotation Sheet'!E60,IF(S7="Ürün 2",'Quotation Sheet'!F60,IF(S7="Ürün 3",'Quotation Sheet'!G60,IF(S7="Ürün 4",'Quotation Sheet'!H60,IF(S7="Ürün 5",'Quotation Sheet'!I60,IF(S7="Ürün 6",'Quotation Sheet'!K60,)))))))</f>
        <v/>
      </c>
      <c r="I60" s="720" t="str">
        <f>IF(U7="Seçiniz.","",IF(U7="Ürün 1",'Quotation Sheet'!E60,IF(U7="Ürün 2",'Quotation Sheet'!F60,IF(U7="Ürün 3",'Quotation Sheet'!G60,IF(U7="Ürün 4",'Quotation Sheet'!H60,IF(U7="Ürün 5",'Quotation Sheet'!I60,IF(U7="Ürün 6",'Quotation Sheet'!K60,)))))))</f>
        <v/>
      </c>
      <c r="J60" s="720"/>
      <c r="K60" s="291" t="str">
        <f>IF(W7="Seçiniz.","",IF(W7="Ürün 1",'Quotation Sheet'!E60,IF(W7="Ürün 2",'Quotation Sheet'!F60,IF(W7="Ürün 3",'Quotation Sheet'!G60,IF(W7="Ürün 4",'Quotation Sheet'!H60,IF(W7="Ürün 5",'Quotation Sheet'!I60,IF(W7="Ürün 6",'Quotation Sheet'!K60,)))))))</f>
        <v/>
      </c>
    </row>
    <row r="61" spans="2:29" s="7" customFormat="1" ht="17.399999999999999">
      <c r="B61" s="728" t="s">
        <v>120</v>
      </c>
      <c r="C61" s="728"/>
      <c r="D61" s="295"/>
      <c r="E61" s="292" t="str">
        <f>IF(M7="Seçiniz.","",IF(M7="Ürün 1",'Quotation Sheet'!E61,IF(M7="Ürün 2",'Quotation Sheet'!F61,IF(M7="Ürün 3",'Quotation Sheet'!G61,IF(M7="Ürün 4",'Quotation Sheet'!H61,IF(M7="Ürün 5",'Quotation Sheet'!I61,IF(M7="Ürün 6",'Quotation Sheet'!K61,)))))))</f>
        <v/>
      </c>
      <c r="F61" s="293" t="str">
        <f>IF(O7="Seçiniz.","",IF(O7="Ürün 1",'Quotation Sheet'!E61,IF(O7="Ürün 2",'Quotation Sheet'!F61,IF(O7="Ürün 3",'Quotation Sheet'!G61,IF(O7="Ürün 4",'Quotation Sheet'!H61,IF(O7="Ürün 5",'Quotation Sheet'!I61,IF(O7="Ürün 6",'Quotation Sheet'!K61,)))))))</f>
        <v/>
      </c>
      <c r="G61" s="293" t="str">
        <f>IF(Q7="Seçiniz.","",IF(Q7="Ürün 1",'Quotation Sheet'!E61,IF(Q7="Ürün 2",'Quotation Sheet'!F61,IF(Q7="Ürün 3",'Quotation Sheet'!G61,IF(Q7="Ürün 4",'Quotation Sheet'!H61,IF(Q7="Ürün 5",'Quotation Sheet'!I61,IF(Q7="Ürün 6",'Quotation Sheet'!K61,)))))))</f>
        <v/>
      </c>
      <c r="H61" s="293" t="str">
        <f>IF(S7="Seçiniz.","",IF(S7="Ürün 1",'Quotation Sheet'!E61,IF(S7="Ürün 2",'Quotation Sheet'!F61,IF(S7="Ürün 3",'Quotation Sheet'!G61,IF(S7="Ürün 4",'Quotation Sheet'!H61,IF(S7="Ürün 5",'Quotation Sheet'!I61,IF(S7="Ürün 6",'Quotation Sheet'!K61,)))))))</f>
        <v/>
      </c>
      <c r="I61" s="721" t="str">
        <f>IF(U7="Seçiniz.","",IF(U7="Ürün 1",'Quotation Sheet'!E61,IF(U7="Ürün 2",'Quotation Sheet'!F61,IF(U7="Ürün 3",'Quotation Sheet'!G61,IF(U7="Ürün 4",'Quotation Sheet'!H61,IF(U7="Ürün 5",'Quotation Sheet'!I61,IF(U7="Ürün 6",'Quotation Sheet'!K61,)))))))</f>
        <v/>
      </c>
      <c r="J61" s="721"/>
      <c r="K61" s="294" t="str">
        <f>IF(W7="Seçiniz.","",IF(W7="Ürün 1",'Quotation Sheet'!E61,IF(W7="Ürün 2",'Quotation Sheet'!F61,IF(W7="Ürün 3",'Quotation Sheet'!G61,IF(W7="Ürün 4",'Quotation Sheet'!H61,IF(W7="Ürün 5",'Quotation Sheet'!I61,IF(W7="Ürün 6",'Quotation Sheet'!K61,)))))))</f>
        <v/>
      </c>
    </row>
    <row r="62" spans="2:29" s="7" customFormat="1" ht="15" customHeight="1">
      <c r="B62" s="728" t="s">
        <v>474</v>
      </c>
      <c r="C62" s="728"/>
      <c r="D62" s="295"/>
      <c r="E62" s="292" t="str">
        <f>IF(M7="Seçiniz.","",IF(M7="Ürün 1",'Quotation Sheet'!E62,IF(M7="Ürün 2",'Quotation Sheet'!F62,IF(M7="Ürün 3",'Quotation Sheet'!G62,IF(M7="Ürün 4",'Quotation Sheet'!H62,IF(M7="Ürün 5",'Quotation Sheet'!I62,IF(M7="Ürün 6",'Quotation Sheet'!K62,)))))))</f>
        <v/>
      </c>
      <c r="F62" s="293" t="str">
        <f>IF(O7="Seçiniz.","",IF(O7="Ürün 1",'Quotation Sheet'!E62,IF(O7="Ürün 2",'Quotation Sheet'!F62,IF(O7="Ürün 3",'Quotation Sheet'!G62,IF(O7="Ürün 4",'Quotation Sheet'!H62,IF(O7="Ürün 5",'Quotation Sheet'!I62,IF(O7="Ürün 6",'Quotation Sheet'!K62,)))))))</f>
        <v/>
      </c>
      <c r="G62" s="293" t="str">
        <f>IF(Q7="Seçiniz.","",IF(Q7="Ürün 1",'Quotation Sheet'!E62,IF(Q7="Ürün 2",'Quotation Sheet'!F62,IF(Q7="Ürün 3",'Quotation Sheet'!G62,IF(Q7="Ürün 4",'Quotation Sheet'!H62,IF(Q7="Ürün 5",'Quotation Sheet'!I62,IF(Q7="Ürün 6",'Quotation Sheet'!K62,)))))))</f>
        <v/>
      </c>
      <c r="H62" s="293" t="str">
        <f>IF(S7="Seçiniz.","",IF(S7="Ürün 1",'Quotation Sheet'!E62,IF(S7="Ürün 2",'Quotation Sheet'!F62,IF(S7="Ürün 3",'Quotation Sheet'!G62,IF(S7="Ürün 4",'Quotation Sheet'!H62,IF(S7="Ürün 5",'Quotation Sheet'!I62,IF(S7="Ürün 6",'Quotation Sheet'!K62,)))))))</f>
        <v/>
      </c>
      <c r="I62" s="721" t="str">
        <f>IF(U7="Seçiniz.","",IF(U7="Ürün 1",'Quotation Sheet'!E62,IF(U7="Ürün 2",'Quotation Sheet'!F62,IF(U7="Ürün 3",'Quotation Sheet'!G62,IF(U7="Ürün 4",'Quotation Sheet'!H62,IF(U7="Ürün 5",'Quotation Sheet'!I62,IF(U7="Ürün 6",'Quotation Sheet'!K62,)))))))</f>
        <v/>
      </c>
      <c r="J62" s="721"/>
      <c r="K62" s="294" t="str">
        <f>IF(W7="Seçiniz.","",IF(W7="Ürün 1",'Quotation Sheet'!E62,IF(W7="Ürün 2",'Quotation Sheet'!F62,IF(W7="Ürün 3",'Quotation Sheet'!G62,IF(W7="Ürün 4",'Quotation Sheet'!H62,IF(W7="Ürün 5",'Quotation Sheet'!I62,IF(W7="Ürün 6",'Quotation Sheet'!K62,)))))))</f>
        <v/>
      </c>
    </row>
    <row r="63" spans="2:29" s="7" customFormat="1" ht="17.399999999999999">
      <c r="B63" s="728" t="s">
        <v>475</v>
      </c>
      <c r="C63" s="742"/>
      <c r="D63" s="295"/>
      <c r="E63" s="292" t="str">
        <f>IF(M7="Seçiniz.","",IF(M7="Ürün 1",'Quotation Sheet'!E63,IF(M7="Ürün 2",'Quotation Sheet'!F63,IF(M7="Ürün 3",'Quotation Sheet'!G63,IF(M7="Ürün 4",'Quotation Sheet'!H63,IF(M7="Ürün 5",'Quotation Sheet'!I63,IF(M7="Ürün 6",'Quotation Sheet'!K63,)))))))</f>
        <v/>
      </c>
      <c r="F63" s="293" t="str">
        <f>IF(O7="Seçiniz.","",IF(O7="Ürün 1",'Quotation Sheet'!E63,IF(O7="Ürün 2",'Quotation Sheet'!F63,IF(O7="Ürün 3",'Quotation Sheet'!G63,IF(O7="Ürün 4",'Quotation Sheet'!H63,IF(O7="Ürün 5",'Quotation Sheet'!I63,IF(O7="Ürün 6",'Quotation Sheet'!K63,)))))))</f>
        <v/>
      </c>
      <c r="G63" s="293" t="str">
        <f>IF(Q7="Seçiniz.","",IF(Q7="Ürün 1",'Quotation Sheet'!E63,IF(Q7="Ürün 2",'Quotation Sheet'!F63,IF(Q7="Ürün 3",'Quotation Sheet'!G63,IF(Q7="Ürün 4",'Quotation Sheet'!H63,IF(Q7="Ürün 5",'Quotation Sheet'!I63,IF(Q7="Ürün 6",'Quotation Sheet'!K63,)))))))</f>
        <v/>
      </c>
      <c r="H63" s="293" t="str">
        <f>IF(S7="Seçiniz.","",IF(S7="Ürün 1",'Quotation Sheet'!E63,IF(S7="Ürün 2",'Quotation Sheet'!F63,IF(S7="Ürün 3",'Quotation Sheet'!G63,IF(S7="Ürün 4",'Quotation Sheet'!H63,IF(S7="Ürün 5",'Quotation Sheet'!I63,IF(S7="Ürün 6",'Quotation Sheet'!K63,)))))))</f>
        <v/>
      </c>
      <c r="I63" s="721" t="str">
        <f>IF(U7="Seçiniz.","",IF(U7="Ürün 1",'Quotation Sheet'!E63,IF(U7="Ürün 2",'Quotation Sheet'!F63,IF(U7="Ürün 3",'Quotation Sheet'!G63,IF(U7="Ürün 4",'Quotation Sheet'!H63,IF(U7="Ürün 5",'Quotation Sheet'!I63,IF(U7="Ürün 6",'Quotation Sheet'!K63,)))))))</f>
        <v/>
      </c>
      <c r="J63" s="721"/>
      <c r="K63" s="294" t="str">
        <f>IF(W7="Seçiniz.","",IF(W7="Ürün 1",'Quotation Sheet'!E63,IF(W7="Ürün 2",'Quotation Sheet'!F63,IF(W7="Ürün 3",'Quotation Sheet'!G63,IF(W7="Ürün 4",'Quotation Sheet'!H63,IF(W7="Ürün 5",'Quotation Sheet'!I63,IF(W7="Ürün 6",'Quotation Sheet'!K63,)))))))</f>
        <v/>
      </c>
    </row>
    <row r="64" spans="2:29" s="7" customFormat="1" ht="17.399999999999999">
      <c r="B64" s="741" t="s">
        <v>121</v>
      </c>
      <c r="C64" s="741"/>
      <c r="D64" s="296"/>
      <c r="E64" s="292" t="str">
        <f>IF(M7="Seçiniz.","",IF(M7="Ürün 1",'Quotation Sheet'!E64,IF(M7="Ürün 2",'Quotation Sheet'!F64,IF(M7="Ürün 3",'Quotation Sheet'!G64,IF(M7="Ürün 4",'Quotation Sheet'!H64,IF(M7="Ürün 5",'Quotation Sheet'!I64,IF(M7="Ürün 6",'Quotation Sheet'!K64,)))))))</f>
        <v/>
      </c>
      <c r="F64" s="293" t="str">
        <f>IF(O7="Seçiniz.","",IF(O7="Ürün 1",'Quotation Sheet'!E64,IF(O7="Ürün 2",'Quotation Sheet'!F64,IF(O7="Ürün 3",'Quotation Sheet'!G64,IF(O7="Ürün 4",'Quotation Sheet'!H64,IF(O7="Ürün 5",'Quotation Sheet'!I64,IF(O7="Ürün 6",'Quotation Sheet'!K64,)))))))</f>
        <v/>
      </c>
      <c r="G64" s="293" t="str">
        <f>IF(Q7="Seçiniz.","",IF(Q7="Ürün 1",'Quotation Sheet'!E64,IF(Q7="Ürün 2",'Quotation Sheet'!F64,IF(Q7="Ürün 3",'Quotation Sheet'!G64,IF(Q7="Ürün 4",'Quotation Sheet'!H64,IF(Q7="Ürün 5",'Quotation Sheet'!I64,IF(Q7="Ürün 6",'Quotation Sheet'!K64,)))))))</f>
        <v/>
      </c>
      <c r="H64" s="293" t="str">
        <f>IF(S7="Seçiniz.","",IF(S7="Ürün 1",'Quotation Sheet'!E64,IF(S7="Ürün 2",'Quotation Sheet'!F64,IF(S7="Ürün 3",'Quotation Sheet'!G64,IF(S7="Ürün 4",'Quotation Sheet'!H64,IF(S7="Ürün 5",'Quotation Sheet'!I64,IF(S7="Ürün 6",'Quotation Sheet'!K64,)))))))</f>
        <v/>
      </c>
      <c r="I64" s="721" t="str">
        <f>IF(U7="Seçiniz.","",IF(U7="Ürün 1",'Quotation Sheet'!E64,IF(U7="Ürün 2",'Quotation Sheet'!F64,IF(U7="Ürün 3",'Quotation Sheet'!G64,IF(U7="Ürün 4",'Quotation Sheet'!H64,IF(U7="Ürün 5",'Quotation Sheet'!I64,IF(U7="Ürün 6",'Quotation Sheet'!K64,)))))))</f>
        <v/>
      </c>
      <c r="J64" s="721"/>
      <c r="K64" s="294" t="str">
        <f>IF(W7="Seçiniz.","",IF(W7="Ürün 1",'Quotation Sheet'!E64,IF(W7="Ürün 2",'Quotation Sheet'!F64,IF(W7="Ürün 3",'Quotation Sheet'!G64,IF(W7="Ürün 4",'Quotation Sheet'!H64,IF(W7="Ürün 5",'Quotation Sheet'!I64,IF(W7="Ürün 6",'Quotation Sheet'!K64,)))))))</f>
        <v/>
      </c>
    </row>
    <row r="65" spans="1:16" s="7" customFormat="1" ht="17.399999999999999">
      <c r="B65" s="728" t="s">
        <v>122</v>
      </c>
      <c r="C65" s="728"/>
      <c r="D65" s="295"/>
      <c r="E65" s="289" t="str">
        <f>IF(M7="Seçiniz.","",IF(M7="Ürün 1",'Quotation Sheet'!E65,IF(M7="Ürün 2",'Quotation Sheet'!F65,IF(M7="Ürün 3",'Quotation Sheet'!G65,IF(M7="Ürün 4",'Quotation Sheet'!H65,IF(M7="Ürün 5",'Quotation Sheet'!I65,IF(M7="Ürün 6",'Quotation Sheet'!K65,)))))))</f>
        <v/>
      </c>
      <c r="F65" s="290" t="str">
        <f>IF(O7="Seçiniz.","",IF(O7="Ürün 1",'Quotation Sheet'!E65,IF(O7="Ürün 2",'Quotation Sheet'!F65,IF(O7="Ürün 3",'Quotation Sheet'!G65,IF(O7="Ürün 4",'Quotation Sheet'!H65,IF(O7="Ürün 5",'Quotation Sheet'!I65,IF(O7="Ürün 6",'Quotation Sheet'!K65,)))))))</f>
        <v/>
      </c>
      <c r="G65" s="290" t="str">
        <f>IF(Q7="Seçiniz.","",IF(Q7="Ürün 1",'Quotation Sheet'!E65,IF(Q7="Ürün 2",'Quotation Sheet'!F65,IF(Q7="Ürün 3",'Quotation Sheet'!G65,IF(Q7="Ürün 4",'Quotation Sheet'!H65,IF(Q7="Ürün 5",'Quotation Sheet'!I65,IF(Q7="Ürün 6",'Quotation Sheet'!K65,)))))))</f>
        <v/>
      </c>
      <c r="H65" s="290" t="str">
        <f>IF(S7="Seçiniz.","",IF(S7="Ürün 1",'Quotation Sheet'!E65,IF(S7="Ürün 2",'Quotation Sheet'!F65,IF(S7="Ürün 3",'Quotation Sheet'!G65,IF(S7="Ürün 4",'Quotation Sheet'!H65,IF(S7="Ürün 5",'Quotation Sheet'!I65,IF(S7="Ürün 6",'Quotation Sheet'!K65,)))))))</f>
        <v/>
      </c>
      <c r="I65" s="720" t="str">
        <f>IF(U7="Seçiniz.","",IF(U7="Ürün 1",'Quotation Sheet'!E65,IF(U7="Ürün 2",'Quotation Sheet'!F65,IF(U7="Ürün 3",'Quotation Sheet'!G65,IF(U7="Ürün 4",'Quotation Sheet'!H65,IF(U7="Ürün 5",'Quotation Sheet'!I65,IF(U7="Ürün 6",'Quotation Sheet'!K65,)))))))</f>
        <v/>
      </c>
      <c r="J65" s="720"/>
      <c r="K65" s="291" t="str">
        <f>IF(W7="Seçiniz.","",IF(W7="Ürün 1",'Quotation Sheet'!E65,IF(W7="Ürün 2",'Quotation Sheet'!F65,IF(W7="Ürün 3",'Quotation Sheet'!G65,IF(W7="Ürün 4",'Quotation Sheet'!H65,IF(W7="Ürün 5",'Quotation Sheet'!I65,IF(W7="Ürün 6",'Quotation Sheet'!K65,)))))))</f>
        <v/>
      </c>
    </row>
    <row r="66" spans="1:16" s="7" customFormat="1" ht="17.399999999999999">
      <c r="B66" s="283"/>
      <c r="C66" s="283" t="s">
        <v>687</v>
      </c>
      <c r="D66" s="295"/>
      <c r="E66" s="289" t="str">
        <f>IF(M7="Seçiniz.","",IF(M7="Ürün 1",'Quotation Sheet'!E66,IF(M7="Ürün 2",'Quotation Sheet'!F66,IF(M7="Ürün 3",'Quotation Sheet'!G66,IF(M7="Ürün 4",'Quotation Sheet'!H66,IF(M7="Ürün 5",'Quotation Sheet'!I66,IF(M7="Ürün 6",'Quotation Sheet'!K66,)))))))</f>
        <v/>
      </c>
      <c r="F66" s="290" t="str">
        <f>IF(O7="Seçiniz.","",IF(O7="Ürün 1",'Quotation Sheet'!E66,IF(O7="Ürün 2",'Quotation Sheet'!F66,IF(O7="Ürün 3",'Quotation Sheet'!G66,IF(O7="Ürün 4",'Quotation Sheet'!H66,IF(O7="Ürün 5",'Quotation Sheet'!I66,IF(O7="Ürün 6",'Quotation Sheet'!K66,)))))))</f>
        <v/>
      </c>
      <c r="G66" s="290" t="str">
        <f>IF(Q7="Seçiniz.","",IF(Q7="Ürün 1",'Quotation Sheet'!E66,IF(Q7="Ürün 2",'Quotation Sheet'!F66,IF(Q7="Ürün 3",'Quotation Sheet'!G66,IF(Q7="Ürün 4",'Quotation Sheet'!H66,IF(Q7="Ürün 5",'Quotation Sheet'!I66,IF(Q7="Ürün 6",'Quotation Sheet'!K66,)))))))</f>
        <v/>
      </c>
      <c r="H66" s="290" t="str">
        <f>IF(S7="Seçiniz.","",IF(S7="Ürün 1",'Quotation Sheet'!E66,IF(S7="Ürün 2",'Quotation Sheet'!F66,IF(S7="Ürün 3",'Quotation Sheet'!G66,IF(S7="Ürün 4",'Quotation Sheet'!H66,IF(S7="Ürün 5",'Quotation Sheet'!I66,IF(S7="Ürün 6",'Quotation Sheet'!K66,)))))))</f>
        <v/>
      </c>
      <c r="I66" s="720" t="str">
        <f>IF(U7="Seçiniz.","",IF(U7="Ürün 1",'Quotation Sheet'!E66,IF(U7="Ürün 2",'Quotation Sheet'!F66,IF(U7="Ürün 3",'Quotation Sheet'!G66,IF(U7="Ürün 4",'Quotation Sheet'!H66,IF(U7="Ürün 5",'Quotation Sheet'!I66,IF(U7="Ürün 6",'Quotation Sheet'!K66,)))))))</f>
        <v/>
      </c>
      <c r="J66" s="720"/>
      <c r="K66" s="291" t="str">
        <f>IF(W7="Seçiniz.","",IF(W7="Ürün 1",'Quotation Sheet'!E66,IF(W7="Ürün 2",'Quotation Sheet'!F66,IF(W7="Ürün 3",'Quotation Sheet'!G66,IF(W7="Ürün 4",'Quotation Sheet'!H66,IF(W7="Ürün 5",'Quotation Sheet'!I66,IF(W7="Ürün 6",'Quotation Sheet'!K66,)))))))</f>
        <v/>
      </c>
    </row>
    <row r="67" spans="1:16" s="7" customFormat="1" ht="15" customHeight="1">
      <c r="B67" s="728" t="s">
        <v>584</v>
      </c>
      <c r="C67" s="728"/>
      <c r="D67" s="295"/>
      <c r="E67" s="289" t="str">
        <f>IF(M7="Seçiniz.","",IF(M7="Ürün 1",'Quotation Sheet'!E67,IF(M7="Ürün 2",'Quotation Sheet'!F67,IF(M7="Ürün 3",'Quotation Sheet'!G67,IF(M7="Ürün 4",'Quotation Sheet'!H67,IF(M7="Ürün 5",'Quotation Sheet'!I67,IF(M7="Ürün 6",'Quotation Sheet'!K67,)))))))</f>
        <v/>
      </c>
      <c r="F67" s="290" t="str">
        <f>IF(O7="Seçiniz.","",IF(O7="Ürün 1",'Quotation Sheet'!E67,IF(O7="Ürün 2",'Quotation Sheet'!F67,IF(O7="Ürün 3",'Quotation Sheet'!G67,IF(O7="Ürün 4",'Quotation Sheet'!H67,IF(O7="Ürün 5",'Quotation Sheet'!I67,IF(O7="Ürün 6",'Quotation Sheet'!K67,)))))))</f>
        <v/>
      </c>
      <c r="G67" s="290" t="str">
        <f>IF(Q7="Seçiniz.","",IF(Q7="Ürün 1",'Quotation Sheet'!E67,IF(Q7="Ürün 2",'Quotation Sheet'!F67,IF(Q7="Ürün 3",'Quotation Sheet'!G67,IF(Q7="Ürün 4",'Quotation Sheet'!H67,IF(Q7="Ürün 5",'Quotation Sheet'!I67,IF(Q7="Ürün 6",'Quotation Sheet'!K67,)))))))</f>
        <v/>
      </c>
      <c r="H67" s="290" t="str">
        <f>IF(S7="Seçiniz.","",IF(S7="Ürün 1",'Quotation Sheet'!E67,IF(S7="Ürün 2",'Quotation Sheet'!F67,IF(S7="Ürün 3",'Quotation Sheet'!G67,IF(S7="Ürün 4",'Quotation Sheet'!H67,IF(S7="Ürün 5",'Quotation Sheet'!I67,IF(S7="Ürün 6",'Quotation Sheet'!K67,)))))))</f>
        <v/>
      </c>
      <c r="I67" s="720" t="str">
        <f>IF(U7="Seçiniz.","",IF(U7="Ürün 1",'Quotation Sheet'!E67,IF(U7="Ürün 2",'Quotation Sheet'!F67,IF(U7="Ürün 3",'Quotation Sheet'!G67,IF(U7="Ürün 4",'Quotation Sheet'!H67,IF(U7="Ürün 5",'Quotation Sheet'!I67,IF(U7="Ürün 6",'Quotation Sheet'!K67,)))))))</f>
        <v/>
      </c>
      <c r="J67" s="720"/>
      <c r="K67" s="291" t="str">
        <f>IF(W7="Seçiniz.","",IF(W7="Ürün 1",'Quotation Sheet'!E67,IF(W7="Ürün 2",'Quotation Sheet'!F67,IF(W7="Ürün 3",'Quotation Sheet'!G67,IF(W7="Ürün 4",'Quotation Sheet'!H67,IF(W7="Ürün 5",'Quotation Sheet'!I67,IF(W7="Ürün 6",'Quotation Sheet'!K67,)))))))</f>
        <v/>
      </c>
    </row>
    <row r="68" spans="1:16" s="7" customFormat="1" ht="33" customHeight="1">
      <c r="B68" s="728" t="s">
        <v>585</v>
      </c>
      <c r="C68" s="742"/>
      <c r="D68" s="295"/>
      <c r="E68" s="289" t="str">
        <f>IF(M7="Seçiniz.","",IF(M7="Ürün 1",'Quotation Sheet'!E68,IF(M7="Ürün 2",'Quotation Sheet'!F68,IF(M7="Ürün 3",'Quotation Sheet'!G68,IF(M7="Ürün 4",'Quotation Sheet'!H68,IF(M7="Ürün 5",'Quotation Sheet'!I68,IF(M7="Ürün 6",'Quotation Sheet'!K68,)))))))</f>
        <v/>
      </c>
      <c r="F68" s="290" t="str">
        <f>IF(O7="Seçiniz.","",IF(O7="Ürün 1",'Quotation Sheet'!E68,IF(O7="Ürün 2",'Quotation Sheet'!F68,IF(O7="Ürün 3",'Quotation Sheet'!G68,IF(O7="Ürün 4",'Quotation Sheet'!H68,IF(O7="Ürün 5",'Quotation Sheet'!I68,IF(O7="Ürün 6",'Quotation Sheet'!K68,)))))))</f>
        <v/>
      </c>
      <c r="G68" s="290" t="str">
        <f>IF(Q7="Seçiniz.","",IF(Q7="Ürün 1",'Quotation Sheet'!E68,IF(Q7="Ürün 2",'Quotation Sheet'!F68,IF(Q7="Ürün 3",'Quotation Sheet'!G68,IF(Q7="Ürün 4",'Quotation Sheet'!H68,IF(Q7="Ürün 5",'Quotation Sheet'!I68,IF(Q7="Ürün 6",'Quotation Sheet'!K68,)))))))</f>
        <v/>
      </c>
      <c r="H68" s="290" t="str">
        <f>IF(S7="Seçiniz.","",IF(S7="Ürün 1",'Quotation Sheet'!E68,IF(S7="Ürün 2",'Quotation Sheet'!F68,IF(S7="Ürün 3",'Quotation Sheet'!G68,IF(S7="Ürün 4",'Quotation Sheet'!H68,IF(S7="Ürün 5",'Quotation Sheet'!I68,IF(S7="Ürün 6",'Quotation Sheet'!K68,)))))))</f>
        <v/>
      </c>
      <c r="I68" s="720" t="str">
        <f>IF(U7="Seçiniz.","",IF(U7="Ürün 1",'Quotation Sheet'!E68,IF(U7="Ürün 2",'Quotation Sheet'!F68,IF(U7="Ürün 3",'Quotation Sheet'!G68,IF(U7="Ürün 4",'Quotation Sheet'!H68,IF(U7="Ürün 5",'Quotation Sheet'!I68,IF(U7="Ürün 6",'Quotation Sheet'!K68,)))))))</f>
        <v/>
      </c>
      <c r="J68" s="720"/>
      <c r="K68" s="291" t="str">
        <f>IF(W7="Seçiniz.","",IF(W7="Ürün 1",'Quotation Sheet'!E68,IF(W7="Ürün 2",'Quotation Sheet'!F68,IF(W7="Ürün 3",'Quotation Sheet'!G68,IF(W7="Ürün 4",'Quotation Sheet'!H68,IF(W7="Ürün 5",'Quotation Sheet'!I68,IF(W7="Ürün 6",'Quotation Sheet'!K68,)))))))</f>
        <v/>
      </c>
    </row>
    <row r="69" spans="1:16" s="7" customFormat="1" ht="39.6" customHeight="1">
      <c r="A69" s="49"/>
      <c r="B69" s="728" t="s">
        <v>123</v>
      </c>
      <c r="C69" s="728"/>
      <c r="D69" s="295"/>
      <c r="E69" s="289" t="str">
        <f>IF(M7="Seçiniz.","",IF(M7="Ürün 1",'Quotation Sheet'!E69,IF(M7="Ürün 2",'Quotation Sheet'!F69,IF(M7="Ürün 3",'Quotation Sheet'!G69,IF(M7="Ürün 4",'Quotation Sheet'!H69,IF(M7="Ürün 5",'Quotation Sheet'!I69,IF(M7="Ürün 6",'Quotation Sheet'!K69,)))))))</f>
        <v/>
      </c>
      <c r="F69" s="290" t="str">
        <f>IF(O7="Seçiniz.","",IF(O7="Ürün 1",'Quotation Sheet'!E69,IF(O7="Ürün 2",'Quotation Sheet'!F69,IF(O7="Ürün 3",'Quotation Sheet'!G69,IF(O7="Ürün 4",'Quotation Sheet'!H69,IF(O7="Ürün 5",'Quotation Sheet'!I69,IF(O7="Ürün 6",'Quotation Sheet'!K69,)))))))</f>
        <v/>
      </c>
      <c r="G69" s="290" t="str">
        <f>IF(Q7="Seçiniz.","",IF(Q7="Ürün 1",'Quotation Sheet'!E69,IF(Q7="Ürün 2",'Quotation Sheet'!F69,IF(Q7="Ürün 3",'Quotation Sheet'!G69,IF(Q7="Ürün 4",'Quotation Sheet'!H69,IF(Q7="Ürün 5",'Quotation Sheet'!I69,IF(Q7="Ürün 6",'Quotation Sheet'!K69,)))))))</f>
        <v/>
      </c>
      <c r="H69" s="290" t="str">
        <f>IF(S7="Seçiniz.","",IF(S7="Ürün 1",'Quotation Sheet'!E69,IF(S7="Ürün 2",'Quotation Sheet'!F69,IF(S7="Ürün 3",'Quotation Sheet'!G69,IF(S7="Ürün 4",'Quotation Sheet'!H69,IF(S7="Ürün 5",'Quotation Sheet'!I69,IF(S7="Ürün 6",'Quotation Sheet'!K69,)))))))</f>
        <v/>
      </c>
      <c r="I69" s="720" t="str">
        <f>IF(U7="Seçiniz.","",IF(U7="Ürün 1",'Quotation Sheet'!E69,IF(U7="Ürün 2",'Quotation Sheet'!F69,IF(U7="Ürün 3",'Quotation Sheet'!G69,IF(U7="Ürün 4",'Quotation Sheet'!H69,IF(U7="Ürün 5",'Quotation Sheet'!I69,IF(U7="Ürün 6",'Quotation Sheet'!K69,)))))))</f>
        <v/>
      </c>
      <c r="J69" s="720"/>
      <c r="K69" s="291" t="str">
        <f>IF(W7="Seçiniz.","",IF(W7="Ürün 1",'Quotation Sheet'!E69,IF(W7="Ürün 2",'Quotation Sheet'!F69,IF(W7="Ürün 3",'Quotation Sheet'!G69,IF(W7="Ürün 4",'Quotation Sheet'!H69,IF(W7="Ürün 5",'Quotation Sheet'!I69,IF(W7="Ürün 6",'Quotation Sheet'!K69,)))))))</f>
        <v/>
      </c>
    </row>
    <row r="70" spans="1:16" s="7" customFormat="1" ht="28.95" customHeight="1">
      <c r="A70" s="49"/>
      <c r="B70" s="283"/>
      <c r="C70" s="284" t="s">
        <v>536</v>
      </c>
      <c r="D70" s="295"/>
      <c r="E70" s="289" t="str">
        <f>IF(M7="Seçiniz.","",IF(M7="Ürün 1",'Quotation Sheet'!E70,IF(M7="Ürün 2",'Quotation Sheet'!F70,IF(M7="Ürün 3",'Quotation Sheet'!G70,IF(M7="Ürün 4",'Quotation Sheet'!H70,IF(M7="Ürün 5",'Quotation Sheet'!I70,IF(M7="Ürün 6",'Quotation Sheet'!K70,)))))))</f>
        <v/>
      </c>
      <c r="F70" s="290" t="str">
        <f>IF(O7="Seçiniz.","",IF(O7="Ürün 1",'Quotation Sheet'!E70,IF(O7="Ürün 2",'Quotation Sheet'!F70,IF(O7="Ürün 3",'Quotation Sheet'!G70,IF(O7="Ürün 4",'Quotation Sheet'!H70,IF(O7="Ürün 5",'Quotation Sheet'!I70,IF(O7="Ürün 6",'Quotation Sheet'!K70,)))))))</f>
        <v/>
      </c>
      <c r="G70" s="290" t="str">
        <f>IF(Q7="Seçiniz.","",IF(Q7="Ürün 1",'Quotation Sheet'!E70,IF(Q7="Ürün 2",'Quotation Sheet'!F70,IF(Q7="Ürün 3",'Quotation Sheet'!G70,IF(Q7="Ürün 4",'Quotation Sheet'!H70,IF(Q7="Ürün 5",'Quotation Sheet'!I70,IF(Q7="Ürün 6",'Quotation Sheet'!K70,)))))))</f>
        <v/>
      </c>
      <c r="H70" s="290" t="str">
        <f>IF(S7="Seçiniz.","",IF(S7="Ürün 1",'Quotation Sheet'!E70,IF(S7="Ürün 2",'Quotation Sheet'!F70,IF(S7="Ürün 3",'Quotation Sheet'!G70,IF(S7="Ürün 4",'Quotation Sheet'!H70,IF(S7="Ürün 5",'Quotation Sheet'!I70,IF(S7="Ürün 6",'Quotation Sheet'!K70,)))))))</f>
        <v/>
      </c>
      <c r="I70" s="720" t="str">
        <f>IF(U7="Seçiniz.","",IF(U7="Ürün 1",'Quotation Sheet'!E70,IF(U7="Ürün 2",'Quotation Sheet'!F70,IF(U7="Ürün 3",'Quotation Sheet'!G70,IF(U7="Ürün 4",'Quotation Sheet'!H70,IF(U7="Ürün 5",'Quotation Sheet'!I70,IF(U7="Ürün 6",'Quotation Sheet'!K70,)))))))</f>
        <v/>
      </c>
      <c r="J70" s="720"/>
      <c r="K70" s="291" t="str">
        <f>IF(W7="Seçiniz.","",IF(W7="Ürün 1",'Quotation Sheet'!E70,IF(W7="Ürün 2",'Quotation Sheet'!F70,IF(W7="Ürün 3",'Quotation Sheet'!G70,IF(W7="Ürün 4",'Quotation Sheet'!H70,IF(W7="Ürün 5",'Quotation Sheet'!I70,IF(W7="Ürün 6",'Quotation Sheet'!K70,)))))))</f>
        <v/>
      </c>
    </row>
    <row r="71" spans="1:16" s="7" customFormat="1" ht="16.2" customHeight="1">
      <c r="B71" s="283"/>
      <c r="C71" s="284" t="s">
        <v>693</v>
      </c>
      <c r="D71" s="295"/>
      <c r="E71" s="289" t="str">
        <f>IF(M7="Seçiniz.","",IF(M7="Ürün 1",'Quotation Sheet'!E71,IF(M7="Ürün 2",'Quotation Sheet'!F71,IF(M7="Ürün 3",'Quotation Sheet'!G71,IF(M7="Ürün 4",'Quotation Sheet'!H71,IF(M7="Ürün 5",'Quotation Sheet'!I71,IF(M7="Ürün 6",'Quotation Sheet'!K71,)))))))</f>
        <v/>
      </c>
      <c r="F71" s="290" t="str">
        <f>IF(O7="Seçiniz.","",IF(O7="Ürün 1",'Quotation Sheet'!E71,IF(O7="Ürün 2",'Quotation Sheet'!F71,IF(O7="Ürün 3",'Quotation Sheet'!G71,IF(O7="Ürün 4",'Quotation Sheet'!H71,IF(O7="Ürün 5",'Quotation Sheet'!I71,IF(O7="Ürün 6",'Quotation Sheet'!K71,)))))))</f>
        <v/>
      </c>
      <c r="G71" s="290" t="str">
        <f>IF(Q7="Seçiniz.","",IF(Q7="Ürün 1",'Quotation Sheet'!E71,IF(Q7="Ürün 2",'Quotation Sheet'!F71,IF(Q7="Ürün 3",'Quotation Sheet'!G71,IF(Q7="Ürün 4",'Quotation Sheet'!H71,IF(Q7="Ürün 5",'Quotation Sheet'!I71,IF(Q7="Ürün 6",'Quotation Sheet'!K71,)))))))</f>
        <v/>
      </c>
      <c r="H71" s="290" t="str">
        <f>IF(S7="Seçiniz.","",IF(S7="Ürün 1",'Quotation Sheet'!E71,IF(S7="Ürün 2",'Quotation Sheet'!F71,IF(S7="Ürün 3",'Quotation Sheet'!G71,IF(S7="Ürün 4",'Quotation Sheet'!H71,IF(S7="Ürün 5",'Quotation Sheet'!I71,IF(S7="Ürün 6",'Quotation Sheet'!K71,)))))))</f>
        <v/>
      </c>
      <c r="I71" s="720" t="str">
        <f>IF(U7="Seçiniz.","",IF(U7="Ürün 1",'Quotation Sheet'!E71,IF(U7="Ürün 2",'Quotation Sheet'!F71,IF(U7="Ürün 3",'Quotation Sheet'!G71,IF(U7="Ürün 4",'Quotation Sheet'!H71,IF(U7="Ürün 5",'Quotation Sheet'!I71,IF(U7="Ürün 6",'Quotation Sheet'!K71,)))))))</f>
        <v/>
      </c>
      <c r="J71" s="720"/>
      <c r="K71" s="291" t="str">
        <f>IF(W7="Seçiniz.","",IF(W7="Ürün 1",'Quotation Sheet'!E71,IF(W7="Ürün 2",'Quotation Sheet'!F71,IF(W7="Ürün 3",'Quotation Sheet'!G71,IF(W7="Ürün 4",'Quotation Sheet'!H71,IF(W7="Ürün 5",'Quotation Sheet'!I71,IF(W7="Ürün 6",'Quotation Sheet'!K71,)))))))</f>
        <v/>
      </c>
    </row>
    <row r="72" spans="1:16" s="7" customFormat="1" ht="17.399999999999999">
      <c r="B72" s="745" t="s">
        <v>124</v>
      </c>
      <c r="C72" s="745"/>
      <c r="D72" s="297"/>
      <c r="E72" s="292" t="str">
        <f>IF(M7="Seçiniz.","",IF(M7="Ürün 1",'Quotation Sheet'!E72,IF(M7="Ürün 2",'Quotation Sheet'!F72,IF(M7="Ürün 3",'Quotation Sheet'!G72,IF(M7="Ürün 4",'Quotation Sheet'!H72,IF(M7="Ürün 5",'Quotation Sheet'!I72,IF(M7="Ürün 6",'Quotation Sheet'!K72,)))))))</f>
        <v/>
      </c>
      <c r="F72" s="293" t="str">
        <f>IF(O7="Seçiniz.","",IF(O7="Ürün 1",'Quotation Sheet'!E72,IF(O7="Ürün 2",'Quotation Sheet'!F72,IF(O7="Ürün 3",'Quotation Sheet'!G72,IF(O7="Ürün 4",'Quotation Sheet'!H72,IF(O7="Ürün 5",'Quotation Sheet'!I72,IF(O7="Ürün 6",'Quotation Sheet'!K72,)))))))</f>
        <v/>
      </c>
      <c r="G72" s="293" t="str">
        <f>IF(Q7="Seçiniz.","",IF(Q7="Ürün 1",'Quotation Sheet'!E72,IF(Q7="Ürün 2",'Quotation Sheet'!F72,IF(Q7="Ürün 3",'Quotation Sheet'!G72,IF(Q7="Ürün 4",'Quotation Sheet'!H72,IF(Q7="Ürün 5",'Quotation Sheet'!I72,IF(Q7="Ürün 6",'Quotation Sheet'!K72,)))))))</f>
        <v/>
      </c>
      <c r="H72" s="293" t="str">
        <f>IF(S7="Seçiniz.","",IF(S7="Ürün 1",'Quotation Sheet'!E72,IF(S7="Ürün 2",'Quotation Sheet'!F72,IF(S7="Ürün 3",'Quotation Sheet'!G72,IF(S7="Ürün 4",'Quotation Sheet'!H72,IF(S7="Ürün 5",'Quotation Sheet'!I72,IF(S7="Ürün 6",'Quotation Sheet'!K72,)))))))</f>
        <v/>
      </c>
      <c r="I72" s="721" t="str">
        <f>IF(U7="Seçiniz.","",IF(U7="Ürün 1",'Quotation Sheet'!E72,IF(U7="Ürün 2",'Quotation Sheet'!F72,IF(U7="Ürün 3",'Quotation Sheet'!G72,IF(U7="Ürün 4",'Quotation Sheet'!H72,IF(U7="Ürün 5",'Quotation Sheet'!I72,IF(U7="Ürün 6",'Quotation Sheet'!K72,)))))))</f>
        <v/>
      </c>
      <c r="J72" s="721"/>
      <c r="K72" s="294" t="str">
        <f>IF(W7="Seçiniz.","",IF(W7="Ürün 1",'Quotation Sheet'!E72,IF(W7="Ürün 2",'Quotation Sheet'!F72,IF(W7="Ürün 3",'Quotation Sheet'!G72,IF(W7="Ürün 4",'Quotation Sheet'!H72,IF(W7="Ürün 5",'Quotation Sheet'!I72,IF(W7="Ürün 6",'Quotation Sheet'!K72,)))))))</f>
        <v/>
      </c>
    </row>
    <row r="73" spans="1:16" s="7" customFormat="1" ht="17.399999999999999">
      <c r="B73" s="728" t="s">
        <v>485</v>
      </c>
      <c r="C73" s="728"/>
      <c r="D73" s="296"/>
      <c r="E73" s="292" t="str">
        <f>IF(M7="Seçiniz.","",IF(M7="Ürün 1",'Quotation Sheet'!E73,IF(M7="Ürün 2",'Quotation Sheet'!F73,IF(M7="Ürün 3",'Quotation Sheet'!G73,IF(M7="Ürün 4",'Quotation Sheet'!H73,IF(M7="Ürün 5",'Quotation Sheet'!I73,IF(M7="Ürün 6",'Quotation Sheet'!K73,)))))))</f>
        <v/>
      </c>
      <c r="F73" s="293" t="str">
        <f>IF(O7="Seçiniz.","",IF(O7="Ürün 1",'Quotation Sheet'!E73,IF(O7="Ürün 2",'Quotation Sheet'!F73,IF(O7="Ürün 3",'Quotation Sheet'!G73,IF(O7="Ürün 4",'Quotation Sheet'!H73,IF(O7="Ürün 5",'Quotation Sheet'!I73,IF(O7="Ürün 6",'Quotation Sheet'!K73,)))))))</f>
        <v/>
      </c>
      <c r="G73" s="293" t="str">
        <f>IF(Q7="Seçiniz.","",IF(Q7="Ürün 1",'Quotation Sheet'!E73,IF(Q7="Ürün 2",'Quotation Sheet'!F73,IF(Q7="Ürün 3",'Quotation Sheet'!G73,IF(Q7="Ürün 4",'Quotation Sheet'!H73,IF(Q7="Ürün 5",'Quotation Sheet'!I73,IF(Q7="Ürün 6",'Quotation Sheet'!K73,)))))))</f>
        <v/>
      </c>
      <c r="H73" s="293" t="str">
        <f>IF(S7="Seçiniz.","",IF(S7="Ürün 1",'Quotation Sheet'!E73,IF(S7="Ürün 2",'Quotation Sheet'!F73,IF(S7="Ürün 3",'Quotation Sheet'!G73,IF(S7="Ürün 4",'Quotation Sheet'!H73,IF(S7="Ürün 5",'Quotation Sheet'!I73,IF(S7="Ürün 6",'Quotation Sheet'!K73,)))))))</f>
        <v/>
      </c>
      <c r="I73" s="721" t="str">
        <f>IF(U7="Seçiniz.","",IF(U7="Ürün 1",'Quotation Sheet'!E73,IF(U7="Ürün 2",'Quotation Sheet'!F73,IF(U7="Ürün 3",'Quotation Sheet'!G73,IF(U7="Ürün 4",'Quotation Sheet'!H73,IF(U7="Ürün 5",'Quotation Sheet'!I73,IF(U7="Ürün 6",'Quotation Sheet'!K73,)))))))</f>
        <v/>
      </c>
      <c r="J73" s="721"/>
      <c r="K73" s="294" t="str">
        <f>IF(W7="Seçiniz.","",IF(W7="Ürün 1",'Quotation Sheet'!E73,IF(W7="Ürün 2",'Quotation Sheet'!F73,IF(W7="Ürün 3",'Quotation Sheet'!G73,IF(W7="Ürün 4",'Quotation Sheet'!H73,IF(W7="Ürün 5",'Quotation Sheet'!I73,IF(W7="Ürün 6",'Quotation Sheet'!K73,)))))))</f>
        <v/>
      </c>
    </row>
    <row r="74" spans="1:16" s="7" customFormat="1" ht="17.399999999999999">
      <c r="A74" s="49"/>
      <c r="B74" s="283"/>
      <c r="C74" s="284" t="s">
        <v>484</v>
      </c>
      <c r="D74" s="296"/>
      <c r="E74" s="292" t="str">
        <f>IF(M7="Seçiniz.","",IF(M7="Ürün 1",'Quotation Sheet'!E74,IF(M7="Ürün 2",'Quotation Sheet'!F74,IF(M7="Ürün 3",'Quotation Sheet'!G74,IF(M7="Ürün 4",'Quotation Sheet'!H74,IF(M7="Ürün 5",'Quotation Sheet'!I74,IF(M7="Ürün 6",'Quotation Sheet'!K74,)))))))</f>
        <v/>
      </c>
      <c r="F74" s="293" t="str">
        <f>IF(O7="Seçiniz.","",IF(O7="Ürün 1",'Quotation Sheet'!E74,IF(O7="Ürün 2",'Quotation Sheet'!F74,IF(O7="Ürün 3",'Quotation Sheet'!G74,IF(O7="Ürün 4",'Quotation Sheet'!H74,IF(O7="Ürün 5",'Quotation Sheet'!I74,IF(O7="Ürün 6",'Quotation Sheet'!K74,)))))))</f>
        <v/>
      </c>
      <c r="G74" s="293" t="str">
        <f>IF(Q7="Seçiniz.","",IF(Q7="Ürün 1",'Quotation Sheet'!E74,IF(Q7="Ürün 2",'Quotation Sheet'!F74,IF(Q7="Ürün 3",'Quotation Sheet'!G74,IF(Q7="Ürün 4",'Quotation Sheet'!H74,IF(Q7="Ürün 5",'Quotation Sheet'!I74,IF(Q7="Ürün 6",'Quotation Sheet'!K74,)))))))</f>
        <v/>
      </c>
      <c r="H74" s="293" t="str">
        <f>IF(S7="Seçiniz.","",IF(S7="Ürün 1",'Quotation Sheet'!E74,IF(S7="Ürün 2",'Quotation Sheet'!F74,IF(S7="Ürün 3",'Quotation Sheet'!G74,IF(S7="Ürün 4",'Quotation Sheet'!H74,IF(S7="Ürün 5",'Quotation Sheet'!I74,IF(S7="Ürün 6",'Quotation Sheet'!K74,)))))))</f>
        <v/>
      </c>
      <c r="I74" s="721" t="str">
        <f>IF(U7="Seçiniz.","",IF(U7="Ürün 1",'Quotation Sheet'!E74,IF(U7="Ürün 2",'Quotation Sheet'!F74,IF(U7="Ürün 3",'Quotation Sheet'!G74,IF(U7="Ürün 4",'Quotation Sheet'!H74,IF(U7="Ürün 5",'Quotation Sheet'!I74,IF(U7="Ürün 6",'Quotation Sheet'!K74,)))))))</f>
        <v/>
      </c>
      <c r="J74" s="721"/>
      <c r="K74" s="294" t="str">
        <f>IF(W7="Seçiniz.","",IF(W7="Ürün 1",'Quotation Sheet'!E74,IF(W7="Ürün 2",'Quotation Sheet'!F74,IF(W7="Ürün 3",'Quotation Sheet'!G74,IF(W7="Ürün 4",'Quotation Sheet'!H74,IF(W7="Ürün 5",'Quotation Sheet'!I74,IF(W7="Ürün 6",'Quotation Sheet'!K74,)))))))</f>
        <v/>
      </c>
    </row>
    <row r="75" spans="1:16" s="7" customFormat="1" ht="17.399999999999999">
      <c r="A75" s="49"/>
      <c r="B75" s="742" t="s">
        <v>515</v>
      </c>
      <c r="C75" s="742"/>
      <c r="D75" s="295"/>
      <c r="E75" s="292" t="str">
        <f>IF(M7="Seçiniz.","",IF(M7="Ürün 1",'Quotation Sheet'!E75,IF(M7="Ürün 2",'Quotation Sheet'!F75,IF(M7="Ürün 3",'Quotation Sheet'!G75,IF(M7="Ürün 4",'Quotation Sheet'!H75,IF(M7="Ürün 5",'Quotation Sheet'!I75,IF(M7="Ürün 6",'Quotation Sheet'!K75,)))))))</f>
        <v/>
      </c>
      <c r="F75" s="293" t="str">
        <f>IF(O7="Seçiniz.","",IF(O7="Ürün 1",'Quotation Sheet'!E75,IF(O7="Ürün 2",'Quotation Sheet'!F75,IF(O7="Ürün 3",'Quotation Sheet'!G75,IF(O7="Ürün 4",'Quotation Sheet'!H75,IF(O7="Ürün 5",'Quotation Sheet'!I75,IF(O7="Ürün 6",'Quotation Sheet'!K75,)))))))</f>
        <v/>
      </c>
      <c r="G75" s="293" t="str">
        <f>IF(Q7="Seçiniz.","",IF(Q7="Ürün 1",'Quotation Sheet'!E75,IF(Q7="Ürün 2",'Quotation Sheet'!F75,IF(Q7="Ürün 3",'Quotation Sheet'!G75,IF(Q7="Ürün 4",'Quotation Sheet'!H75,IF(Q7="Ürün 5",'Quotation Sheet'!I75,IF(Q7="Ürün 6",'Quotation Sheet'!K75,)))))))</f>
        <v/>
      </c>
      <c r="H75" s="293" t="str">
        <f>IF(S7="Seçiniz.","",IF(S7="Ürün 1",'Quotation Sheet'!E75,IF(S7="Ürün 2",'Quotation Sheet'!F75,IF(S7="Ürün 3",'Quotation Sheet'!G75,IF(S7="Ürün 4",'Quotation Sheet'!H75,IF(S7="Ürün 5",'Quotation Sheet'!I75,IF(S7="Ürün 6",'Quotation Sheet'!K75,)))))))</f>
        <v/>
      </c>
      <c r="I75" s="721" t="str">
        <f>IF(U7="Seçiniz.","",IF(U7="Ürün 1",'Quotation Sheet'!E75,IF(U7="Ürün 2",'Quotation Sheet'!F75,IF(U7="Ürün 3",'Quotation Sheet'!G75,IF(U7="Ürün 4",'Quotation Sheet'!H75,IF(U7="Ürün 5",'Quotation Sheet'!I75,IF(U7="Ürün 6",'Quotation Sheet'!K75,)))))))</f>
        <v/>
      </c>
      <c r="J75" s="721"/>
      <c r="K75" s="294" t="str">
        <f>IF(W7="Seçiniz.","",IF(W7="Ürün 1",'Quotation Sheet'!E75,IF(W7="Ürün 2",'Quotation Sheet'!F75,IF(W7="Ürün 3",'Quotation Sheet'!G75,IF(W7="Ürün 4",'Quotation Sheet'!H75,IF(W7="Ürün 5",'Quotation Sheet'!I75,IF(W7="Ürün 6",'Quotation Sheet'!K75,)))))))</f>
        <v/>
      </c>
      <c r="M75" s="113"/>
      <c r="N75" s="113"/>
      <c r="O75" s="113"/>
      <c r="P75" s="38"/>
    </row>
    <row r="76" spans="1:16" s="7" customFormat="1" ht="17.399999999999999">
      <c r="A76" s="37" t="str">
        <f>IF(AND(Sayfa1!C31="GREN",M7="Ürün 6"),"GREN",IF(AND(Sayfa1!C32="GREN",M7="Ürün 6"),"GREN",IF(AND(Sayfa1!C33="GREN",M7="Ürün 6"),"GREN",IF(AND(Sayfa1!C34="GREN",M7="Ürün 6"),"GREN",IF(AND(Sayfa1!C35="GREN",M7="Ürün 6"),"GREN",IF(AND(Sayfa1!C36="GREN",M7="Ürün 6"),"GREN",IF(AND(Sayfa1!C37="GREN",M7="Ürün 6"),"GREN",IF(AND(Sayfa1!C38="GREN",M7="Ürün 6"),"GREN",IF(AND(Sayfa1!C39="GREN",M7="Ürün 6"),"GREN",IF(AND(Sayfa1!C40="GREN",M7="Ürün 6"),"GREN",IF(AND(Sayfa1!C42="GREN",M7="Ürün 6"),"GREN"," ")))))))))))</f>
        <v xml:space="preserve"> </v>
      </c>
      <c r="B76" s="728" t="s">
        <v>514</v>
      </c>
      <c r="C76" s="728"/>
      <c r="D76" s="295"/>
      <c r="E76" s="292" t="str">
        <f>IF(M7="Seçiniz.","",IF(M7="Ürün 1",'Quotation Sheet'!E76,IF(M7="Ürün 2",'Quotation Sheet'!F76,IF(M7="Ürün 3",'Quotation Sheet'!G76,IF(M7="Ürün 4",'Quotation Sheet'!H76,IF(M7="Ürün 5",'Quotation Sheet'!I76,IF(M7="Ürün 6",'Quotation Sheet'!K76,)))))))</f>
        <v/>
      </c>
      <c r="F76" s="293" t="str">
        <f>IF(O7="Seçiniz.","",IF(O7="Ürün 1",'Quotation Sheet'!E76,IF(O7="Ürün 2",'Quotation Sheet'!F76,IF(O7="Ürün 3",'Quotation Sheet'!G76,IF(O7="Ürün 4",'Quotation Sheet'!H76,IF(O7="Ürün 5",'Quotation Sheet'!I76,IF(O7="Ürün 6",'Quotation Sheet'!K76,)))))))</f>
        <v/>
      </c>
      <c r="G76" s="293" t="str">
        <f>IF(Q7="Seçiniz.","",IF(Q7="Ürün 1",'Quotation Sheet'!E76,IF(Q7="Ürün 2",'Quotation Sheet'!F76,IF(Q7="Ürün 3",'Quotation Sheet'!G76,IF(Q7="Ürün 4",'Quotation Sheet'!H76,IF(Q7="Ürün 5",'Quotation Sheet'!I76,IF(Q7="Ürün 6",'Quotation Sheet'!K76,)))))))</f>
        <v/>
      </c>
      <c r="H76" s="293" t="str">
        <f>IF(S7="Seçiniz.","",IF(S7="Ürün 1",'Quotation Sheet'!E76,IF(S7="Ürün 2",'Quotation Sheet'!F76,IF(S7="Ürün 3",'Quotation Sheet'!G76,IF(S7="Ürün 4",'Quotation Sheet'!H76,IF(S7="Ürün 5",'Quotation Sheet'!I76,IF(S7="Ürün 6",'Quotation Sheet'!K76,)))))))</f>
        <v/>
      </c>
      <c r="I76" s="721" t="str">
        <f>IF(U7="Seçiniz.","",IF(U7="Ürün 1",'Quotation Sheet'!E76,IF(U7="Ürün 2",'Quotation Sheet'!F76,IF(U7="Ürün 3",'Quotation Sheet'!G76,IF(U7="Ürün 4",'Quotation Sheet'!H76,IF(U7="Ürün 5",'Quotation Sheet'!I76,IF(U7="Ürün 6",'Quotation Sheet'!K76,)))))))</f>
        <v/>
      </c>
      <c r="J76" s="721"/>
      <c r="K76" s="294" t="str">
        <f>IF(W7="Seçiniz.","",IF(W7="Ürün 1",'Quotation Sheet'!E76,IF(W7="Ürün 2",'Quotation Sheet'!F76,IF(W7="Ürün 3",'Quotation Sheet'!G76,IF(W7="Ürün 4",'Quotation Sheet'!H76,IF(W7="Ürün 5",'Quotation Sheet'!I76,IF(W7="Ürün 6",'Quotation Sheet'!K76,)))))))</f>
        <v/>
      </c>
      <c r="M76" s="1"/>
      <c r="N76" s="1"/>
      <c r="O76" s="1"/>
      <c r="P76" s="1"/>
    </row>
    <row r="77" spans="1:16" s="7" customFormat="1" ht="17.399999999999999">
      <c r="A77" s="37"/>
      <c r="B77" s="728" t="s">
        <v>501</v>
      </c>
      <c r="C77" s="728"/>
      <c r="D77" s="295"/>
      <c r="E77" s="292" t="str">
        <f>IF(M7="Seçiniz.","",IF(M7="Ürün 1",'Quotation Sheet'!E77,IF(M7="Ürün 2",'Quotation Sheet'!F77,IF(M7="Ürün 3",'Quotation Sheet'!G77,IF(M7="Ürün 4",'Quotation Sheet'!H77,IF(M7="Ürün 5",'Quotation Sheet'!I77,IF(M7="Ürün 6",'Quotation Sheet'!K77,)))))))</f>
        <v/>
      </c>
      <c r="F77" s="293" t="str">
        <f>IF(O7="Seçiniz.","",IF(O7="Ürün 1",'Quotation Sheet'!E77,IF(O7="Ürün 2",'Quotation Sheet'!F77,IF(O7="Ürün 3",'Quotation Sheet'!G77,IF(O7="Ürün 4",'Quotation Sheet'!H77,IF(O7="Ürün 5",'Quotation Sheet'!I77,IF(O7="Ürün 6",'Quotation Sheet'!K77,)))))))</f>
        <v/>
      </c>
      <c r="G77" s="293" t="str">
        <f>IF(Q7="Seçiniz.","",IF(Q7="Ürün 1",'Quotation Sheet'!E77,IF(Q7="Ürün 2",'Quotation Sheet'!F77,IF(Q7="Ürün 3",'Quotation Sheet'!G77,IF(Q7="Ürün 4",'Quotation Sheet'!H77,IF(Q7="Ürün 5",'Quotation Sheet'!I77,IF(Q7="Ürün 6",'Quotation Sheet'!K77,)))))))</f>
        <v/>
      </c>
      <c r="H77" s="293" t="str">
        <f>IF(S7="Seçiniz.","",IF(S7="Ürün 1",'Quotation Sheet'!E77,IF(S7="Ürün 2",'Quotation Sheet'!F77,IF(S7="Ürün 3",'Quotation Sheet'!G77,IF(S7="Ürün 4",'Quotation Sheet'!H77,IF(S7="Ürün 5",'Quotation Sheet'!I77,IF(S7="Ürün 6",'Quotation Sheet'!K77,)))))))</f>
        <v/>
      </c>
      <c r="I77" s="721" t="str">
        <f>IF(U7="Seçiniz.","",IF(U7="Ürün 1",'Quotation Sheet'!E77,IF(U7="Ürün 2",'Quotation Sheet'!F77,IF(U7="Ürün 3",'Quotation Sheet'!G77,IF(U7="Ürün 4",'Quotation Sheet'!H77,IF(U7="Ürün 5",'Quotation Sheet'!I77,IF(U7="Ürün 6",'Quotation Sheet'!K77,)))))))</f>
        <v/>
      </c>
      <c r="J77" s="721"/>
      <c r="K77" s="294" t="str">
        <f>IF(W7="Seçiniz.","",IF(W7="Ürün 1",'Quotation Sheet'!E77,IF(W7="Ürün 2",'Quotation Sheet'!F77,IF(W7="Ürün 3",'Quotation Sheet'!G77,IF(W7="Ürün 4",'Quotation Sheet'!H77,IF(W7="Ürün 5",'Quotation Sheet'!I77,IF(W7="Ürün 6",'Quotation Sheet'!K77,)))))))</f>
        <v/>
      </c>
      <c r="M77" s="1"/>
      <c r="N77" s="1"/>
      <c r="O77" s="1"/>
      <c r="P77" s="1"/>
    </row>
    <row r="78" spans="1:16" s="7" customFormat="1" ht="17.399999999999999">
      <c r="A78" s="37"/>
      <c r="B78" s="283"/>
      <c r="C78" s="283" t="s">
        <v>482</v>
      </c>
      <c r="D78" s="295"/>
      <c r="E78" s="292" t="str">
        <f>IF(M7="Seçiniz.","",IF(M7="Ürün 1",'Quotation Sheet'!E78,IF(M7="Ürün 2",'Quotation Sheet'!F78,IF(M7="Ürün 3",'Quotation Sheet'!G78,IF(M7="Ürün 4",'Quotation Sheet'!H78,IF(M7="Ürün 5",'Quotation Sheet'!I78,IF(M7="Ürün 6",'Quotation Sheet'!K78,)))))))</f>
        <v/>
      </c>
      <c r="F78" s="293" t="str">
        <f>IF(O7="Seçiniz.","",IF(O7="Ürün 1",'Quotation Sheet'!E78,IF(O7="Ürün 2",'Quotation Sheet'!F78,IF(O7="Ürün 3",'Quotation Sheet'!G78,IF(O7="Ürün 4",'Quotation Sheet'!H78,IF(O7="Ürün 5",'Quotation Sheet'!I78,IF(O7="Ürün 6",'Quotation Sheet'!K78,)))))))</f>
        <v/>
      </c>
      <c r="G78" s="293" t="str">
        <f>IF(Q7="Seçiniz.","",IF(Q7="Ürün 1",'Quotation Sheet'!E78,IF(Q7="Ürün 2",'Quotation Sheet'!F78,IF(Q7="Ürün 3",'Quotation Sheet'!G78,IF(Q7="Ürün 4",'Quotation Sheet'!H78,IF(Q7="Ürün 5",'Quotation Sheet'!I78,IF(Q7="Ürün 6",'Quotation Sheet'!K78,)))))))</f>
        <v/>
      </c>
      <c r="H78" s="293" t="str">
        <f>IF(S7="Seçiniz.","",IF(S7="Ürün 1",'Quotation Sheet'!E78,IF(S7="Ürün 2",'Quotation Sheet'!F78,IF(S7="Ürün 3",'Quotation Sheet'!G78,IF(S7="Ürün 4",'Quotation Sheet'!H78,IF(S7="Ürün 5",'Quotation Sheet'!I78,IF(S7="Ürün 6",'Quotation Sheet'!K78,)))))))</f>
        <v/>
      </c>
      <c r="I78" s="721" t="str">
        <f>IF(U7="Seçiniz.","",IF(U7="Ürün 1",'Quotation Sheet'!E78,IF(U7="Ürün 2",'Quotation Sheet'!F78,IF(U7="Ürün 3",'Quotation Sheet'!G78,IF(U7="Ürün 4",'Quotation Sheet'!H78,IF(U7="Ürün 5",'Quotation Sheet'!I78,IF(U7="Ürün 6",'Quotation Sheet'!K78,)))))))</f>
        <v/>
      </c>
      <c r="J78" s="721"/>
      <c r="K78" s="294" t="str">
        <f>IF(W7="Seçiniz.","",IF(W7="Ürün 1",'Quotation Sheet'!E78,IF(W7="Ürün 2",'Quotation Sheet'!F78,IF(W7="Ürün 3",'Quotation Sheet'!G78,IF(W7="Ürün 4",'Quotation Sheet'!H78,IF(W7="Ürün 5",'Quotation Sheet'!I78,IF(W7="Ürün 6",'Quotation Sheet'!K78,)))))))</f>
        <v/>
      </c>
      <c r="M78" s="1"/>
      <c r="N78" s="1"/>
      <c r="O78" s="1"/>
      <c r="P78" s="1"/>
    </row>
    <row r="79" spans="1:16" s="7" customFormat="1" ht="17.399999999999999">
      <c r="A79" s="37"/>
      <c r="B79" s="283"/>
      <c r="C79" s="284" t="s">
        <v>517</v>
      </c>
      <c r="D79" s="295"/>
      <c r="E79" s="292" t="str">
        <f>IF(M7="Seçiniz.","",IF(M7="Ürün 1",'Quotation Sheet'!E79,IF(M7="Ürün 2",'Quotation Sheet'!F79,IF(M7="Ürün 3",'Quotation Sheet'!G79,IF(M7="Ürün 4",'Quotation Sheet'!H79,IF(M7="Ürün 5",'Quotation Sheet'!I79,IF(M7="Ürün 6",'Quotation Sheet'!K79,)))))))</f>
        <v/>
      </c>
      <c r="F79" s="293" t="str">
        <f>IF(O7="Seçiniz.","",IF(O7="Ürün 1",'Quotation Sheet'!E79,IF(O7="Ürün 2",'Quotation Sheet'!F79,IF(O7="Ürün 3",'Quotation Sheet'!G79,IF(O7="Ürün 4",'Quotation Sheet'!H79,IF(O7="Ürün 5",'Quotation Sheet'!I79,IF(O7="Ürün 6",'Quotation Sheet'!K79,)))))))</f>
        <v/>
      </c>
      <c r="G79" s="293" t="str">
        <f>IF(Q7="Seçiniz.","",IF(Q7="Ürün 1",'Quotation Sheet'!E79,IF(Q7="Ürün 2",'Quotation Sheet'!F79,IF(Q7="Ürün 3",'Quotation Sheet'!G79,IF(Q7="Ürün 4",'Quotation Sheet'!H79,IF(Q7="Ürün 5",'Quotation Sheet'!I79,IF(Q7="Ürün 6",'Quotation Sheet'!K79,)))))))</f>
        <v/>
      </c>
      <c r="H79" s="293" t="str">
        <f>IF(S7="Seçiniz.","",IF(S7="Ürün 1",'Quotation Sheet'!E79,IF(S7="Ürün 2",'Quotation Sheet'!F79,IF(S7="Ürün 3",'Quotation Sheet'!G79,IF(S7="Ürün 4",'Quotation Sheet'!H79,IF(S7="Ürün 5",'Quotation Sheet'!I79,IF(S7="Ürün 6",'Quotation Sheet'!K79,)))))))</f>
        <v/>
      </c>
      <c r="I79" s="721" t="str">
        <f>IF(U7="Seçiniz.","",IF(U7="Ürün 1",'Quotation Sheet'!E79,IF(U7="Ürün 2",'Quotation Sheet'!F79,IF(U7="Ürün 3",'Quotation Sheet'!G79,IF(U7="Ürün 4",'Quotation Sheet'!H79,IF(U7="Ürün 5",'Quotation Sheet'!I79,IF(U7="Ürün 6",'Quotation Sheet'!K79,)))))))</f>
        <v/>
      </c>
      <c r="J79" s="721"/>
      <c r="K79" s="294" t="str">
        <f>IF(W7="Seçiniz.","",IF(W7="Ürün 1",'Quotation Sheet'!E79,IF(W7="Ürün 2",'Quotation Sheet'!F79,IF(W7="Ürün 3",'Quotation Sheet'!G79,IF(W7="Ürün 4",'Quotation Sheet'!H79,IF(W7="Ürün 5",'Quotation Sheet'!I79,IF(W7="Ürün 6",'Quotation Sheet'!K79,)))))))</f>
        <v/>
      </c>
      <c r="M79" s="1"/>
      <c r="N79" s="1"/>
      <c r="O79" s="1"/>
      <c r="P79" s="1"/>
    </row>
    <row r="80" spans="1:16" s="7" customFormat="1" ht="17.399999999999999">
      <c r="A80" s="37"/>
      <c r="B80" s="283"/>
      <c r="C80" s="283" t="s">
        <v>518</v>
      </c>
      <c r="D80" s="295"/>
      <c r="E80" s="292" t="str">
        <f>IF(M7="Seçiniz.","",IF(M7="Ürün 1",'Quotation Sheet'!E80,IF(M7="Ürün 2",'Quotation Sheet'!F80,IF(M7="Ürün 3",'Quotation Sheet'!G80,IF(M7="Ürün 4",'Quotation Sheet'!H80,IF(M7="Ürün 5",'Quotation Sheet'!I80,IF(M7="Ürün 6",'Quotation Sheet'!K80,)))))))</f>
        <v/>
      </c>
      <c r="F80" s="293" t="str">
        <f>IF(O7="Seçiniz.","",IF(O7="Ürün 1",'Quotation Sheet'!E80,IF(O7="Ürün 2",'Quotation Sheet'!F80,IF(O7="Ürün 3",'Quotation Sheet'!G80,IF(O7="Ürün 4",'Quotation Sheet'!H80,IF(O7="Ürün 5",'Quotation Sheet'!I80,IF(O7="Ürün 6",'Quotation Sheet'!K80,)))))))</f>
        <v/>
      </c>
      <c r="G80" s="293" t="str">
        <f>IF(Q7="Seçiniz.","",IF(Q7="Ürün 1",'Quotation Sheet'!E80,IF(Q7="Ürün 2",'Quotation Sheet'!F80,IF(Q7="Ürün 3",'Quotation Sheet'!G80,IF(Q7="Ürün 4",'Quotation Sheet'!H80,IF(Q7="Ürün 5",'Quotation Sheet'!I80,IF(Q7="Ürün 6",'Quotation Sheet'!K80,)))))))</f>
        <v/>
      </c>
      <c r="H80" s="293" t="str">
        <f>IF(S7="Seçiniz.","",IF(S7="Ürün 1",'Quotation Sheet'!E80,IF(S7="Ürün 2",'Quotation Sheet'!F80,IF(S7="Ürün 3",'Quotation Sheet'!G80,IF(S7="Ürün 4",'Quotation Sheet'!H80,IF(S7="Ürün 5",'Quotation Sheet'!I80,IF(S7="Ürün 6",'Quotation Sheet'!K80,)))))))</f>
        <v/>
      </c>
      <c r="I80" s="721" t="str">
        <f>IF(U7="Seçiniz.","",IF(U7="Ürün 1",'Quotation Sheet'!E80,IF(U7="Ürün 2",'Quotation Sheet'!F80,IF(U7="Ürün 3",'Quotation Sheet'!G80,IF(U7="Ürün 4",'Quotation Sheet'!H80,IF(U7="Ürün 5",'Quotation Sheet'!I80,IF(U7="Ürün 6",'Quotation Sheet'!K80,)))))))</f>
        <v/>
      </c>
      <c r="J80" s="721"/>
      <c r="K80" s="294" t="str">
        <f>IF(W7="Seçiniz.","",IF(W7="Ürün 1",'Quotation Sheet'!E80,IF(W7="Ürün 2",'Quotation Sheet'!F80,IF(W7="Ürün 3",'Quotation Sheet'!G80,IF(W7="Ürün 4",'Quotation Sheet'!H80,IF(W7="Ürün 5",'Quotation Sheet'!I80,IF(W7="Ürün 6",'Quotation Sheet'!K80,)))))))</f>
        <v/>
      </c>
      <c r="M80" s="1"/>
      <c r="N80" s="1"/>
      <c r="O80" s="1"/>
      <c r="P80" s="1"/>
    </row>
    <row r="81" spans="1:16" s="7" customFormat="1" ht="17.399999999999999">
      <c r="A81" s="37"/>
      <c r="B81" s="283"/>
      <c r="C81" s="284" t="s">
        <v>483</v>
      </c>
      <c r="D81" s="295"/>
      <c r="E81" s="292" t="str">
        <f>IF(M7="Seçiniz.","",IF(M7="Ürün 1",'Quotation Sheet'!E81,IF(M7="Ürün 2",'Quotation Sheet'!F81,IF(M7="Ürün 3",'Quotation Sheet'!G81,IF(M7="Ürün 4",'Quotation Sheet'!H81,IF(M7="Ürün 5",'Quotation Sheet'!I81,IF(M7="Ürün 6",'Quotation Sheet'!K81,)))))))</f>
        <v/>
      </c>
      <c r="F81" s="293" t="str">
        <f>IF(O7="Seçiniz.","",IF(O7="Ürün 1",'Quotation Sheet'!E81,IF(O7="Ürün 2",'Quotation Sheet'!F81,IF(O7="Ürün 3",'Quotation Sheet'!G81,IF(O7="Ürün 4",'Quotation Sheet'!H81,IF(O7="Ürün 5",'Quotation Sheet'!I81,IF(O7="Ürün 6",'Quotation Sheet'!K81,)))))))</f>
        <v/>
      </c>
      <c r="G81" s="293" t="str">
        <f>IF(Q7="Seçiniz.","",IF(Q7="Ürün 1",'Quotation Sheet'!E81,IF(Q7="Ürün 2",'Quotation Sheet'!F81,IF(Q7="Ürün 3",'Quotation Sheet'!G81,IF(Q7="Ürün 4",'Quotation Sheet'!H81,IF(Q7="Ürün 5",'Quotation Sheet'!I81,IF(Q7="Ürün 6",'Quotation Sheet'!K81,)))))))</f>
        <v/>
      </c>
      <c r="H81" s="293" t="str">
        <f>IF(S7="Seçiniz.","",IF(S7="Ürün 1",'Quotation Sheet'!E81,IF(S7="Ürün 2",'Quotation Sheet'!F81,IF(S7="Ürün 3",'Quotation Sheet'!G81,IF(S7="Ürün 4",'Quotation Sheet'!H81,IF(S7="Ürün 5",'Quotation Sheet'!I81,IF(S7="Ürün 6",'Quotation Sheet'!K81,)))))))</f>
        <v/>
      </c>
      <c r="I81" s="721" t="str">
        <f>IF(U7="Seçiniz.","",IF(U7="Ürün 1",'Quotation Sheet'!E81,IF(U7="Ürün 2",'Quotation Sheet'!F81,IF(U7="Ürün 3",'Quotation Sheet'!G81,IF(U7="Ürün 4",'Quotation Sheet'!H81,IF(U7="Ürün 5",'Quotation Sheet'!I81,IF(U7="Ürün 6",'Quotation Sheet'!K81,)))))))</f>
        <v/>
      </c>
      <c r="J81" s="721"/>
      <c r="K81" s="294" t="str">
        <f>IF(W7="Seçiniz.","",IF(W7="Ürün 1",'Quotation Sheet'!E81,IF(W7="Ürün 2",'Quotation Sheet'!F81,IF(W7="Ürün 3",'Quotation Sheet'!G81,IF(W7="Ürün 4",'Quotation Sheet'!H81,IF(W7="Ürün 5",'Quotation Sheet'!I81,IF(W7="Ürün 6",'Quotation Sheet'!K81,)))))))</f>
        <v/>
      </c>
      <c r="M81" s="1"/>
      <c r="N81" s="1"/>
      <c r="O81" s="1"/>
      <c r="P81" s="1"/>
    </row>
    <row r="82" spans="1:16" s="7" customFormat="1" ht="17.399999999999999">
      <c r="A82" s="37"/>
      <c r="B82" s="285"/>
      <c r="C82" s="284" t="s">
        <v>516</v>
      </c>
      <c r="D82" s="295"/>
      <c r="E82" s="292" t="str">
        <f>IF(M7="Seçiniz.","",IF(M7="Ürün 1",'Quotation Sheet'!E82,IF(M7="Ürün 2",'Quotation Sheet'!F82,IF(M7="Ürün 3",'Quotation Sheet'!G82,IF(M7="Ürün 4",'Quotation Sheet'!H82,IF(M7="Ürün 5",'Quotation Sheet'!I82,IF(M7="Ürün 6",'Quotation Sheet'!K82,)))))))</f>
        <v/>
      </c>
      <c r="F82" s="293" t="str">
        <f>IF(O7="Seçiniz.","",IF(O7="Ürün 1",'Quotation Sheet'!E82,IF(O7="Ürün 2",'Quotation Sheet'!F82,IF(O7="Ürün 3",'Quotation Sheet'!G82,IF(O7="Ürün 4",'Quotation Sheet'!H82,IF(O7="Ürün 5",'Quotation Sheet'!I82,IF(O7="Ürün 6",'Quotation Sheet'!K82,)))))))</f>
        <v/>
      </c>
      <c r="G82" s="293" t="str">
        <f>IF(Q7="Seçiniz.","",IF(Q7="Ürün 1",'Quotation Sheet'!E82,IF(Q7="Ürün 2",'Quotation Sheet'!F82,IF(Q7="Ürün 3",'Quotation Sheet'!G82,IF(Q7="Ürün 4",'Quotation Sheet'!H82,IF(Q7="Ürün 5",'Quotation Sheet'!I82,IF(Q7="Ürün 6",'Quotation Sheet'!K82,)))))))</f>
        <v/>
      </c>
      <c r="H82" s="293" t="str">
        <f>IF(S7="Seçiniz.","",IF(S7="Ürün 1",'Quotation Sheet'!E82,IF(S7="Ürün 2",'Quotation Sheet'!F82,IF(S7="Ürün 3",'Quotation Sheet'!G82,IF(S7="Ürün 4",'Quotation Sheet'!H82,IF(S7="Ürün 5",'Quotation Sheet'!I82,IF(S7="Ürün 6",'Quotation Sheet'!K82,)))))))</f>
        <v/>
      </c>
      <c r="I82" s="721" t="str">
        <f>IF(U7="Seçiniz.","",IF(U7="Ürün 1",'Quotation Sheet'!E82,IF(U7="Ürün 2",'Quotation Sheet'!F82,IF(U7="Ürün 3",'Quotation Sheet'!G82,IF(U7="Ürün 4",'Quotation Sheet'!H82,IF(U7="Ürün 5",'Quotation Sheet'!I82,IF(U7="Ürün 6",'Quotation Sheet'!K82,)))))))</f>
        <v/>
      </c>
      <c r="J82" s="721"/>
      <c r="K82" s="294" t="str">
        <f>IF(W7="Seçiniz.","",IF(W7="Ürün 1",'Quotation Sheet'!E82,IF(W7="Ürün 2",'Quotation Sheet'!F82,IF(W7="Ürün 3",'Quotation Sheet'!G82,IF(W7="Ürün 4",'Quotation Sheet'!H82,IF(W7="Ürün 5",'Quotation Sheet'!I82,IF(W7="Ürün 6",'Quotation Sheet'!K82,)))))))</f>
        <v/>
      </c>
      <c r="M82" s="1"/>
      <c r="N82" s="1"/>
      <c r="O82" s="1"/>
      <c r="P82" s="1"/>
    </row>
    <row r="83" spans="1:16" s="7" customFormat="1" ht="11.25" customHeight="1">
      <c r="B83" s="8"/>
      <c r="C83" s="115"/>
      <c r="D83" s="9"/>
      <c r="E83" s="699"/>
      <c r="F83" s="699"/>
      <c r="G83" s="699"/>
      <c r="H83" s="700"/>
      <c r="I83" s="700"/>
      <c r="J83" s="700"/>
      <c r="K83" s="700"/>
    </row>
    <row r="84" spans="1:16" ht="13.2" customHeight="1">
      <c r="B84" s="10"/>
      <c r="C84" s="11"/>
      <c r="D84" s="12"/>
      <c r="E84" s="13"/>
      <c r="F84" s="13"/>
      <c r="G84" s="13"/>
      <c r="H84" s="13"/>
      <c r="I84" s="13"/>
      <c r="J84" s="13"/>
      <c r="K84" s="14"/>
    </row>
    <row r="85" spans="1:16" ht="15.75" customHeight="1">
      <c r="B85" s="701" t="s">
        <v>126</v>
      </c>
      <c r="C85" s="701"/>
      <c r="D85" s="12"/>
      <c r="E85" s="743">
        <f>'Quotation Sheet'!E116</f>
        <v>0</v>
      </c>
      <c r="F85" s="743"/>
      <c r="G85" s="743"/>
      <c r="H85" s="743"/>
      <c r="I85" s="743"/>
      <c r="J85" s="743"/>
      <c r="K85" s="743"/>
    </row>
    <row r="86" spans="1:16" ht="15.75" customHeight="1">
      <c r="B86" s="701" t="s">
        <v>127</v>
      </c>
      <c r="C86" s="701"/>
      <c r="D86" s="12"/>
      <c r="E86" s="743" t="s">
        <v>128</v>
      </c>
      <c r="F86" s="743"/>
      <c r="G86" s="743"/>
      <c r="H86" s="743"/>
      <c r="I86" s="743"/>
      <c r="J86" s="743"/>
      <c r="K86" s="743"/>
    </row>
    <row r="87" spans="1:16" ht="15.75" customHeight="1">
      <c r="B87" s="701" t="s">
        <v>129</v>
      </c>
      <c r="C87" s="701"/>
      <c r="D87" s="12"/>
      <c r="E87" s="744" t="s">
        <v>130</v>
      </c>
      <c r="F87" s="744"/>
      <c r="G87" s="744"/>
      <c r="H87" s="744"/>
      <c r="I87" s="744"/>
      <c r="J87" s="744"/>
      <c r="K87" s="744"/>
    </row>
    <row r="88" spans="1:16" ht="15.75" customHeight="1">
      <c r="B88" s="701" t="s">
        <v>131</v>
      </c>
      <c r="C88" s="701"/>
      <c r="D88" s="12"/>
      <c r="E88" s="744" t="s">
        <v>132</v>
      </c>
      <c r="F88" s="744"/>
      <c r="G88" s="744"/>
      <c r="H88" s="744"/>
      <c r="I88" s="744"/>
      <c r="J88" s="744"/>
      <c r="K88" s="744"/>
    </row>
    <row r="89" spans="1:16" ht="15.75" customHeight="1">
      <c r="B89" s="701" t="s">
        <v>133</v>
      </c>
      <c r="C89" s="701"/>
      <c r="D89" s="12"/>
      <c r="E89" s="744" t="s">
        <v>134</v>
      </c>
      <c r="F89" s="744"/>
      <c r="G89" s="744"/>
      <c r="H89" s="744"/>
      <c r="I89" s="744"/>
      <c r="J89" s="744"/>
      <c r="K89" s="744"/>
    </row>
    <row r="90" spans="1:16" ht="19.5" customHeight="1">
      <c r="B90" s="10"/>
      <c r="C90" s="11"/>
      <c r="D90" s="12"/>
      <c r="E90" s="13"/>
      <c r="F90" s="13"/>
      <c r="G90" s="13"/>
      <c r="H90" s="13"/>
      <c r="I90" s="13"/>
      <c r="J90" s="13"/>
      <c r="K90" s="14"/>
    </row>
    <row r="91" spans="1:16" ht="15.75" customHeight="1">
      <c r="B91" s="701" t="s">
        <v>135</v>
      </c>
      <c r="C91" s="701"/>
      <c r="D91" s="12"/>
      <c r="E91" s="744" t="s">
        <v>136</v>
      </c>
      <c r="F91" s="744"/>
      <c r="G91" s="744"/>
      <c r="H91" s="744"/>
      <c r="I91" s="744"/>
      <c r="J91" s="744"/>
      <c r="K91" s="744"/>
    </row>
    <row r="92" spans="1:16" ht="15.75" customHeight="1">
      <c r="B92" s="701" t="s">
        <v>137</v>
      </c>
      <c r="C92" s="701"/>
      <c r="D92" s="12"/>
      <c r="E92" s="744" t="s">
        <v>138</v>
      </c>
      <c r="F92" s="744"/>
      <c r="G92" s="744"/>
      <c r="H92" s="744"/>
      <c r="I92" s="744"/>
      <c r="J92" s="744"/>
      <c r="K92" s="744"/>
    </row>
    <row r="93" spans="1:16" ht="15.75" customHeight="1">
      <c r="B93" s="701" t="s">
        <v>139</v>
      </c>
      <c r="C93" s="701"/>
      <c r="D93" s="12"/>
      <c r="E93" s="744"/>
      <c r="F93" s="744"/>
      <c r="G93" s="744"/>
      <c r="H93" s="744"/>
      <c r="I93" s="744"/>
      <c r="J93" s="744"/>
      <c r="K93" s="744"/>
    </row>
    <row r="94" spans="1:16" ht="15.75" customHeight="1">
      <c r="B94" s="701" t="s">
        <v>140</v>
      </c>
      <c r="C94" s="701"/>
      <c r="D94" s="12"/>
      <c r="E94" s="744" t="s">
        <v>141</v>
      </c>
      <c r="F94" s="744"/>
      <c r="G94" s="744"/>
      <c r="H94" s="744"/>
      <c r="I94" s="744"/>
      <c r="J94" s="744"/>
      <c r="K94" s="744"/>
    </row>
    <row r="95" spans="1:16" ht="15.75" customHeight="1">
      <c r="B95" s="10"/>
      <c r="C95" s="11"/>
      <c r="D95" s="12"/>
      <c r="E95" s="13"/>
      <c r="F95" s="13"/>
      <c r="G95" s="13"/>
      <c r="H95" s="13"/>
      <c r="I95" s="13"/>
      <c r="J95" s="13"/>
      <c r="K95" s="14"/>
    </row>
    <row r="96" spans="1:16" ht="15.75" customHeight="1">
      <c r="B96" s="701" t="s">
        <v>142</v>
      </c>
      <c r="C96" s="701"/>
      <c r="D96" s="12"/>
      <c r="E96" s="744" t="s">
        <v>143</v>
      </c>
      <c r="F96" s="744"/>
      <c r="G96" s="744"/>
      <c r="H96" s="744"/>
      <c r="I96" s="744"/>
      <c r="J96" s="744"/>
      <c r="K96" s="744"/>
    </row>
    <row r="97" spans="2:11" ht="15.75" customHeight="1">
      <c r="B97" s="701" t="s">
        <v>144</v>
      </c>
      <c r="C97" s="701"/>
      <c r="D97" s="12"/>
      <c r="E97" s="744" t="s">
        <v>115</v>
      </c>
      <c r="F97" s="744"/>
      <c r="G97" s="744"/>
      <c r="H97" s="744"/>
      <c r="I97" s="744"/>
      <c r="J97" s="744"/>
      <c r="K97" s="744"/>
    </row>
    <row r="98" spans="2:11" ht="15.75" customHeight="1">
      <c r="B98" s="701" t="s">
        <v>145</v>
      </c>
      <c r="C98" s="701"/>
      <c r="D98" s="12"/>
      <c r="E98" s="746" t="s">
        <v>146</v>
      </c>
      <c r="F98" s="746"/>
      <c r="G98" s="746"/>
      <c r="H98" s="746"/>
      <c r="I98" s="746"/>
      <c r="J98" s="746"/>
      <c r="K98" s="746"/>
    </row>
    <row r="99" spans="2:11" ht="15.75" customHeight="1">
      <c r="B99" s="707"/>
      <c r="C99" s="707"/>
      <c r="D99" s="12"/>
      <c r="E99" s="746" t="s">
        <v>147</v>
      </c>
      <c r="F99" s="746"/>
      <c r="G99" s="746"/>
      <c r="H99" s="746"/>
      <c r="I99" s="746"/>
      <c r="J99" s="746"/>
      <c r="K99" s="746"/>
    </row>
    <row r="100" spans="2:11" ht="15.75" customHeight="1">
      <c r="B100" s="707"/>
      <c r="C100" s="707"/>
      <c r="D100" s="12"/>
      <c r="E100" s="746" t="s">
        <v>148</v>
      </c>
      <c r="F100" s="746"/>
      <c r="G100" s="746"/>
      <c r="H100" s="746"/>
      <c r="I100" s="746"/>
      <c r="J100" s="746"/>
      <c r="K100" s="746"/>
    </row>
    <row r="101" spans="2:11" ht="15.75" customHeight="1">
      <c r="B101" s="707"/>
      <c r="C101" s="707"/>
      <c r="D101" s="12"/>
      <c r="E101" s="746" t="s">
        <v>149</v>
      </c>
      <c r="F101" s="746"/>
      <c r="G101" s="746"/>
      <c r="H101" s="746"/>
      <c r="I101" s="746"/>
      <c r="J101" s="746"/>
      <c r="K101" s="746"/>
    </row>
    <row r="102" spans="2:11" ht="15.75" customHeight="1">
      <c r="B102" s="707"/>
      <c r="C102" s="707"/>
      <c r="D102" s="12"/>
      <c r="E102" s="746" t="s">
        <v>150</v>
      </c>
      <c r="F102" s="746"/>
      <c r="G102" s="746"/>
      <c r="H102" s="746"/>
      <c r="I102" s="746"/>
      <c r="J102" s="746"/>
      <c r="K102" s="746"/>
    </row>
    <row r="103" spans="2:11" ht="15.75" customHeight="1">
      <c r="B103" s="707"/>
      <c r="C103" s="707"/>
      <c r="D103" s="12"/>
      <c r="E103" s="746" t="s">
        <v>151</v>
      </c>
      <c r="F103" s="746"/>
      <c r="G103" s="746"/>
      <c r="H103" s="746"/>
      <c r="I103" s="746"/>
      <c r="J103" s="746"/>
      <c r="K103" s="746"/>
    </row>
    <row r="104" spans="2:11" ht="15.75" customHeight="1">
      <c r="B104" s="707"/>
      <c r="C104" s="707"/>
      <c r="D104" s="12"/>
      <c r="E104" s="746" t="s">
        <v>152</v>
      </c>
      <c r="F104" s="746"/>
      <c r="G104" s="746"/>
      <c r="H104" s="746"/>
      <c r="I104" s="746"/>
      <c r="J104" s="746"/>
      <c r="K104" s="746"/>
    </row>
    <row r="105" spans="2:11" ht="15.75" customHeight="1">
      <c r="B105" s="707"/>
      <c r="C105" s="707"/>
      <c r="D105" s="12"/>
      <c r="E105" s="746" t="s">
        <v>153</v>
      </c>
      <c r="F105" s="746"/>
      <c r="G105" s="746"/>
      <c r="H105" s="746"/>
      <c r="I105" s="746"/>
      <c r="J105" s="746"/>
      <c r="K105" s="746"/>
    </row>
    <row r="106" spans="2:11" ht="15.75" customHeight="1">
      <c r="B106" s="701" t="s">
        <v>154</v>
      </c>
      <c r="C106" s="701"/>
      <c r="D106" s="12"/>
      <c r="E106" s="748">
        <v>0.1</v>
      </c>
      <c r="F106" s="748"/>
      <c r="G106" s="748"/>
      <c r="H106" s="748"/>
      <c r="I106" s="748"/>
      <c r="J106" s="748"/>
      <c r="K106" s="748"/>
    </row>
    <row r="107" spans="2:11" ht="15.75" customHeight="1">
      <c r="B107" s="701" t="s">
        <v>155</v>
      </c>
      <c r="C107" s="701"/>
      <c r="D107" s="12"/>
      <c r="E107" s="744" t="s">
        <v>156</v>
      </c>
      <c r="F107" s="744"/>
      <c r="G107" s="744"/>
      <c r="H107" s="744"/>
      <c r="I107" s="744"/>
      <c r="J107" s="744"/>
      <c r="K107" s="744"/>
    </row>
    <row r="108" spans="2:11" ht="15.75" customHeight="1">
      <c r="B108" s="707"/>
      <c r="C108" s="707"/>
      <c r="D108" s="12"/>
      <c r="E108" s="744" t="s">
        <v>157</v>
      </c>
      <c r="F108" s="744"/>
      <c r="G108" s="744"/>
      <c r="H108" s="744"/>
      <c r="I108" s="744"/>
      <c r="J108" s="744"/>
      <c r="K108" s="744"/>
    </row>
    <row r="109" spans="2:11" ht="15.75" customHeight="1">
      <c r="B109" s="701" t="s">
        <v>158</v>
      </c>
      <c r="C109" s="701"/>
      <c r="D109" s="12"/>
      <c r="E109" s="744" t="s">
        <v>159</v>
      </c>
      <c r="F109" s="744"/>
      <c r="G109" s="744"/>
      <c r="H109" s="744"/>
      <c r="I109" s="744"/>
      <c r="J109" s="744"/>
      <c r="K109" s="744"/>
    </row>
    <row r="110" spans="2:11" ht="15.75" customHeight="1">
      <c r="B110" s="701" t="s">
        <v>160</v>
      </c>
      <c r="C110" s="701"/>
      <c r="D110" s="12"/>
      <c r="E110" s="744" t="s">
        <v>161</v>
      </c>
      <c r="F110" s="744"/>
      <c r="G110" s="744"/>
      <c r="H110" s="744"/>
      <c r="I110" s="744"/>
      <c r="J110" s="744"/>
      <c r="K110" s="744"/>
    </row>
    <row r="111" spans="2:11" ht="15.75" customHeight="1">
      <c r="B111" s="701" t="s">
        <v>162</v>
      </c>
      <c r="C111" s="701"/>
      <c r="D111" s="12"/>
      <c r="E111" s="747"/>
      <c r="F111" s="747"/>
      <c r="G111" s="747"/>
      <c r="H111" s="747"/>
      <c r="I111" s="747"/>
      <c r="J111" s="747"/>
      <c r="K111" s="747"/>
    </row>
    <row r="112" spans="2:11" ht="15.75" customHeight="1">
      <c r="B112" s="701" t="s">
        <v>163</v>
      </c>
      <c r="C112" s="701"/>
      <c r="D112" s="12"/>
      <c r="E112" s="744" t="s">
        <v>164</v>
      </c>
      <c r="F112" s="744"/>
      <c r="G112" s="744"/>
      <c r="H112" s="744"/>
      <c r="I112" s="744"/>
      <c r="J112" s="744"/>
      <c r="K112" s="744"/>
    </row>
    <row r="113" spans="2:11" ht="15.75" customHeight="1">
      <c r="B113" s="701" t="s">
        <v>165</v>
      </c>
      <c r="C113" s="701"/>
      <c r="D113" s="12"/>
      <c r="E113" s="744" t="s">
        <v>166</v>
      </c>
      <c r="F113" s="744"/>
      <c r="G113" s="744"/>
      <c r="H113" s="744"/>
      <c r="I113" s="744"/>
      <c r="J113" s="744"/>
      <c r="K113" s="744"/>
    </row>
    <row r="114" spans="2:11" ht="15.75" customHeight="1">
      <c r="B114" s="701" t="s">
        <v>167</v>
      </c>
      <c r="C114" s="701"/>
      <c r="D114" s="12"/>
      <c r="E114" s="744" t="s">
        <v>168</v>
      </c>
      <c r="F114" s="744"/>
      <c r="G114" s="744"/>
      <c r="H114" s="744"/>
      <c r="I114" s="744"/>
      <c r="J114" s="744"/>
      <c r="K114" s="744"/>
    </row>
    <row r="115" spans="2:11" ht="15.75" customHeight="1">
      <c r="B115" s="701" t="s">
        <v>169</v>
      </c>
      <c r="C115" s="701"/>
      <c r="D115" s="12"/>
      <c r="E115" s="744" t="s">
        <v>170</v>
      </c>
      <c r="F115" s="744"/>
      <c r="G115" s="744"/>
      <c r="H115" s="744"/>
      <c r="I115" s="744"/>
      <c r="J115" s="744"/>
      <c r="K115" s="744"/>
    </row>
    <row r="116" spans="2:11">
      <c r="B116" s="710"/>
      <c r="C116" s="710"/>
      <c r="D116" s="15"/>
      <c r="E116" s="711"/>
      <c r="F116" s="711"/>
      <c r="G116" s="711"/>
      <c r="H116" s="711"/>
      <c r="I116" s="711"/>
      <c r="J116" s="711"/>
      <c r="K116" s="711"/>
    </row>
  </sheetData>
  <mergeCells count="208">
    <mergeCell ref="E15:H15"/>
    <mergeCell ref="B22:D22"/>
    <mergeCell ref="B23:B27"/>
    <mergeCell ref="C23:D27"/>
    <mergeCell ref="E22:F22"/>
    <mergeCell ref="E23:F27"/>
    <mergeCell ref="C19:C20"/>
    <mergeCell ref="E43:F47"/>
    <mergeCell ref="E48:F52"/>
    <mergeCell ref="G23:G27"/>
    <mergeCell ref="G28:G32"/>
    <mergeCell ref="G33:G37"/>
    <mergeCell ref="G38:G42"/>
    <mergeCell ref="G43:G47"/>
    <mergeCell ref="G48:G52"/>
    <mergeCell ref="B33:B37"/>
    <mergeCell ref="C33:D37"/>
    <mergeCell ref="B38:B42"/>
    <mergeCell ref="C38:D42"/>
    <mergeCell ref="E28:F32"/>
    <mergeCell ref="E33:F37"/>
    <mergeCell ref="E38:F42"/>
    <mergeCell ref="B105:C105"/>
    <mergeCell ref="E105:K105"/>
    <mergeCell ref="B106:C106"/>
    <mergeCell ref="E106:K106"/>
    <mergeCell ref="B107:C107"/>
    <mergeCell ref="E107:K107"/>
    <mergeCell ref="M6:N6"/>
    <mergeCell ref="M8:N8"/>
    <mergeCell ref="M7:N7"/>
    <mergeCell ref="M9:N9"/>
    <mergeCell ref="K23:K27"/>
    <mergeCell ref="I23:I27"/>
    <mergeCell ref="H23:H27"/>
    <mergeCell ref="E16:H16"/>
    <mergeCell ref="E17:H17"/>
    <mergeCell ref="E18:K18"/>
    <mergeCell ref="E19:K19"/>
    <mergeCell ref="E20:K20"/>
    <mergeCell ref="B21:K21"/>
    <mergeCell ref="B10:K10"/>
    <mergeCell ref="B11:K11"/>
    <mergeCell ref="E12:H12"/>
    <mergeCell ref="E13:H13"/>
    <mergeCell ref="E14:H14"/>
    <mergeCell ref="B102:C102"/>
    <mergeCell ref="E102:K102"/>
    <mergeCell ref="B115:C115"/>
    <mergeCell ref="E115:K115"/>
    <mergeCell ref="B116:C116"/>
    <mergeCell ref="E116:K116"/>
    <mergeCell ref="B111:C111"/>
    <mergeCell ref="E111:K111"/>
    <mergeCell ref="B112:C112"/>
    <mergeCell ref="E112:K112"/>
    <mergeCell ref="B113:C113"/>
    <mergeCell ref="E113:K113"/>
    <mergeCell ref="B103:C103"/>
    <mergeCell ref="E103:K103"/>
    <mergeCell ref="B104:C104"/>
    <mergeCell ref="E104:K104"/>
    <mergeCell ref="B114:C114"/>
    <mergeCell ref="E114:K114"/>
    <mergeCell ref="B108:C108"/>
    <mergeCell ref="E108:K108"/>
    <mergeCell ref="B109:C109"/>
    <mergeCell ref="E109:K109"/>
    <mergeCell ref="B110:C110"/>
    <mergeCell ref="E110:K110"/>
    <mergeCell ref="B99:C99"/>
    <mergeCell ref="E99:K99"/>
    <mergeCell ref="B100:C100"/>
    <mergeCell ref="E100:K100"/>
    <mergeCell ref="B101:C101"/>
    <mergeCell ref="E101:K101"/>
    <mergeCell ref="B96:C96"/>
    <mergeCell ref="E96:K96"/>
    <mergeCell ref="B97:C97"/>
    <mergeCell ref="E97:K97"/>
    <mergeCell ref="B98:C98"/>
    <mergeCell ref="E98:K98"/>
    <mergeCell ref="B92:C92"/>
    <mergeCell ref="E92:K92"/>
    <mergeCell ref="B93:C93"/>
    <mergeCell ref="E93:K93"/>
    <mergeCell ref="B94:C94"/>
    <mergeCell ref="E94:K94"/>
    <mergeCell ref="B88:C88"/>
    <mergeCell ref="E88:K88"/>
    <mergeCell ref="B89:C89"/>
    <mergeCell ref="E89:K89"/>
    <mergeCell ref="B91:C91"/>
    <mergeCell ref="E91:K91"/>
    <mergeCell ref="B86:C86"/>
    <mergeCell ref="E86:K86"/>
    <mergeCell ref="B87:C87"/>
    <mergeCell ref="E87:K87"/>
    <mergeCell ref="E83:G83"/>
    <mergeCell ref="H83:K83"/>
    <mergeCell ref="B69:C69"/>
    <mergeCell ref="B72:C72"/>
    <mergeCell ref="B73:C73"/>
    <mergeCell ref="B76:C76"/>
    <mergeCell ref="I77:J77"/>
    <mergeCell ref="I78:J78"/>
    <mergeCell ref="I79:J79"/>
    <mergeCell ref="I80:J80"/>
    <mergeCell ref="I81:J81"/>
    <mergeCell ref="I82:J82"/>
    <mergeCell ref="I69:J69"/>
    <mergeCell ref="I70:J70"/>
    <mergeCell ref="B64:C64"/>
    <mergeCell ref="B65:C65"/>
    <mergeCell ref="B67:C67"/>
    <mergeCell ref="B63:C63"/>
    <mergeCell ref="K54:K55"/>
    <mergeCell ref="B75:C75"/>
    <mergeCell ref="B77:C77"/>
    <mergeCell ref="B68:C68"/>
    <mergeCell ref="B85:C85"/>
    <mergeCell ref="E85:K85"/>
    <mergeCell ref="I68:J68"/>
    <mergeCell ref="E53:G53"/>
    <mergeCell ref="B56:K56"/>
    <mergeCell ref="B59:C59"/>
    <mergeCell ref="I57:J57"/>
    <mergeCell ref="I58:J58"/>
    <mergeCell ref="I59:J59"/>
    <mergeCell ref="B60:C60"/>
    <mergeCell ref="B61:C61"/>
    <mergeCell ref="B62:C62"/>
    <mergeCell ref="H48:H52"/>
    <mergeCell ref="I60:J60"/>
    <mergeCell ref="I61:J61"/>
    <mergeCell ref="I62:J62"/>
    <mergeCell ref="I63:J63"/>
    <mergeCell ref="I64:J64"/>
    <mergeCell ref="I65:J65"/>
    <mergeCell ref="I66:J66"/>
    <mergeCell ref="I67:J67"/>
    <mergeCell ref="H28:H32"/>
    <mergeCell ref="I28:I32"/>
    <mergeCell ref="K28:K32"/>
    <mergeCell ref="H33:H37"/>
    <mergeCell ref="I33:I37"/>
    <mergeCell ref="K33:K37"/>
    <mergeCell ref="H38:H42"/>
    <mergeCell ref="I38:I42"/>
    <mergeCell ref="K38:K42"/>
    <mergeCell ref="B58:C58"/>
    <mergeCell ref="H43:H47"/>
    <mergeCell ref="O8:P8"/>
    <mergeCell ref="Q8:R8"/>
    <mergeCell ref="S8:T8"/>
    <mergeCell ref="U8:V8"/>
    <mergeCell ref="W8:X8"/>
    <mergeCell ref="O9:P9"/>
    <mergeCell ref="Q9:R9"/>
    <mergeCell ref="S9:T9"/>
    <mergeCell ref="U9:V9"/>
    <mergeCell ref="W9:X9"/>
    <mergeCell ref="B28:B32"/>
    <mergeCell ref="C28:D32"/>
    <mergeCell ref="B57:D57"/>
    <mergeCell ref="B43:B47"/>
    <mergeCell ref="C43:D47"/>
    <mergeCell ref="B48:B52"/>
    <mergeCell ref="C48:D52"/>
    <mergeCell ref="B53:D53"/>
    <mergeCell ref="M11:N11"/>
    <mergeCell ref="M12:N12"/>
    <mergeCell ref="O11:P11"/>
    <mergeCell ref="J23:J27"/>
    <mergeCell ref="W11:X11"/>
    <mergeCell ref="O12:P12"/>
    <mergeCell ref="Q12:R12"/>
    <mergeCell ref="S12:T12"/>
    <mergeCell ref="U12:V12"/>
    <mergeCell ref="W12:X12"/>
    <mergeCell ref="Q6:R6"/>
    <mergeCell ref="Q7:R7"/>
    <mergeCell ref="S6:T6"/>
    <mergeCell ref="S7:T7"/>
    <mergeCell ref="U6:V6"/>
    <mergeCell ref="U7:V7"/>
    <mergeCell ref="W6:X6"/>
    <mergeCell ref="W7:X7"/>
    <mergeCell ref="O6:P6"/>
    <mergeCell ref="O7:P7"/>
    <mergeCell ref="I71:J71"/>
    <mergeCell ref="I72:J72"/>
    <mergeCell ref="I73:J73"/>
    <mergeCell ref="I74:J74"/>
    <mergeCell ref="I75:J75"/>
    <mergeCell ref="I76:J76"/>
    <mergeCell ref="Q11:R11"/>
    <mergeCell ref="S11:T11"/>
    <mergeCell ref="U11:V11"/>
    <mergeCell ref="J28:J32"/>
    <mergeCell ref="J33:J37"/>
    <mergeCell ref="J38:J42"/>
    <mergeCell ref="J43:J47"/>
    <mergeCell ref="J48:J52"/>
    <mergeCell ref="I48:I52"/>
    <mergeCell ref="K48:K52"/>
    <mergeCell ref="I43:I47"/>
    <mergeCell ref="K43:K47"/>
  </mergeCells>
  <phoneticPr fontId="1" type="noConversion"/>
  <dataValidations xWindow="1664" yWindow="396" count="6">
    <dataValidation type="list" allowBlank="1" showInputMessage="1" showErrorMessage="1" sqref="M12:N12" xr:uid="{32CF2C7A-FA72-4785-B88B-B9FA7B069527}">
      <formula1>INDIRECT($M$10)</formula1>
    </dataValidation>
    <dataValidation type="list" allowBlank="1" showInputMessage="1" showErrorMessage="1" sqref="O12:P12" xr:uid="{730C6DC2-3BE9-4C81-AF5B-B98DB6850CBA}">
      <formula1>INDIRECT($O$10)</formula1>
    </dataValidation>
    <dataValidation type="list" allowBlank="1" showInputMessage="1" showErrorMessage="1" sqref="Q12:R12" xr:uid="{BF962B50-2662-40E3-9257-F29F7CD9504D}">
      <formula1>INDIRECT($Q$10)</formula1>
    </dataValidation>
    <dataValidation type="list" allowBlank="1" showInputMessage="1" showErrorMessage="1" sqref="S12:T12" xr:uid="{BA0DACB5-46BF-4A14-93F3-00979336A8FC}">
      <formula1>INDIRECT($S$10)</formula1>
    </dataValidation>
    <dataValidation type="list" allowBlank="1" showInputMessage="1" showErrorMessage="1" sqref="U12:V12" xr:uid="{BF1165E3-29C3-4224-8FC7-2A3273650B10}">
      <formula1>INDIRECT($U$10)</formula1>
    </dataValidation>
    <dataValidation type="list" allowBlank="1" showInputMessage="1" showErrorMessage="1" sqref="W12:X12" xr:uid="{8C79D840-280C-4BC7-A422-DED4DBACE094}">
      <formula1>INDIRECT($W$10)</formula1>
    </dataValidation>
  </dataValidations>
  <pageMargins left="0.25" right="0.25" top="0.75" bottom="0.75" header="0.3" footer="0.3"/>
  <pageSetup paperSize="9" scale="44" firstPageNumber="0" fitToHeight="0" orientation="portrait" horizontalDpi="300" verticalDpi="300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OpenSaveAsMenu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16</xdr:col>
                    <xdr:colOff>60960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664" yWindow="396" count="2">
        <x14:dataValidation type="list" allowBlank="1" showInputMessage="1" showErrorMessage="1" xr:uid="{D9F0154C-ED2B-4D37-B6CA-42E8AFF0AF4F}">
          <x14:formula1>
            <xm:f>'ÜRÜN ÖZELLİKLERİ'!$D$51:$D$56</xm:f>
          </x14:formula1>
          <xm:sqref>M9:X9</xm:sqref>
        </x14:dataValidation>
        <x14:dataValidation type="list" allowBlank="1" showInputMessage="1" showErrorMessage="1" prompt="Lütfen ürün numarası seçiniz." xr:uid="{259E4E85-3F4E-4AC2-9BE0-60FE5313DF58}">
          <x14:formula1>
            <xm:f>'ÜRÜN ÖZELLİKLERİ'!$A$51:$A$57</xm:f>
          </x14:formula1>
          <xm:sqref>M7:X7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93CAA-BB70-4A50-9BFE-D52B527A6215}">
  <sheetPr codeName="Sayfa4">
    <pageSetUpPr fitToPage="1"/>
  </sheetPr>
  <dimension ref="A1:AW72"/>
  <sheetViews>
    <sheetView topLeftCell="A49" zoomScale="70" zoomScaleNormal="70" zoomScaleSheetLayoutView="100" workbookViewId="0">
      <selection activeCell="I53" sqref="I53:J53"/>
    </sheetView>
  </sheetViews>
  <sheetFormatPr defaultColWidth="9.109375" defaultRowHeight="19.8"/>
  <cols>
    <col min="1" max="1" width="3.6640625" style="156" customWidth="1"/>
    <col min="2" max="2" width="44.44140625" style="156" bestFit="1" customWidth="1"/>
    <col min="3" max="3" width="14.5546875" style="156" customWidth="1"/>
    <col min="4" max="4" width="23.88671875" style="156" customWidth="1"/>
    <col min="5" max="5" width="20.6640625" style="156" customWidth="1"/>
    <col min="6" max="6" width="22.6640625" style="156" customWidth="1"/>
    <col min="7" max="7" width="20.109375" style="156" customWidth="1"/>
    <col min="8" max="8" width="28.109375" style="156" customWidth="1"/>
    <col min="9" max="9" width="20.33203125" style="156" customWidth="1"/>
    <col min="10" max="10" width="15.21875" style="156" bestFit="1" customWidth="1"/>
    <col min="11" max="11" width="21.109375" style="156" bestFit="1" customWidth="1"/>
    <col min="12" max="12" width="11.6640625" style="156" bestFit="1" customWidth="1"/>
    <col min="13" max="13" width="9.109375" style="156"/>
    <col min="14" max="14" width="13.44140625" style="156" customWidth="1"/>
    <col min="15" max="47" width="9.109375" style="156"/>
    <col min="48" max="48" width="17.5546875" style="156" customWidth="1"/>
    <col min="49" max="16384" width="9.109375" style="156"/>
  </cols>
  <sheetData>
    <row r="1" spans="2:49" ht="17.55" customHeight="1" thickBot="1">
      <c r="B1" s="155" t="s">
        <v>171</v>
      </c>
      <c r="F1" s="157" t="e">
        <f>+"'Sayfa2'!"&amp;RANGES</f>
        <v>#N/A</v>
      </c>
      <c r="AP1" s="156" t="s">
        <v>172</v>
      </c>
      <c r="AQ1" s="172" t="s">
        <v>173</v>
      </c>
      <c r="AR1" s="172" t="s">
        <v>173</v>
      </c>
      <c r="AS1" s="172" t="s">
        <v>174</v>
      </c>
      <c r="AT1" s="172" t="s">
        <v>173</v>
      </c>
      <c r="AU1" s="172">
        <v>0</v>
      </c>
      <c r="AV1" s="172" t="s">
        <v>173</v>
      </c>
      <c r="AW1" s="172" t="s">
        <v>173</v>
      </c>
    </row>
    <row r="2" spans="2:49" ht="19.649999999999999" customHeight="1">
      <c r="B2" s="158"/>
      <c r="C2" s="159"/>
      <c r="D2" s="160"/>
      <c r="E2" s="161"/>
      <c r="F2" s="985" t="s">
        <v>5</v>
      </c>
      <c r="G2" s="986"/>
      <c r="H2" s="987">
        <f ca="1">TODAY()</f>
        <v>45302</v>
      </c>
      <c r="I2" s="988"/>
      <c r="J2" s="989"/>
      <c r="AP2" s="156" t="s">
        <v>174</v>
      </c>
      <c r="AQ2" s="156" t="s">
        <v>70</v>
      </c>
      <c r="AR2" s="156" t="s">
        <v>175</v>
      </c>
      <c r="AS2" s="156" t="s">
        <v>172</v>
      </c>
      <c r="AT2" s="156" t="s">
        <v>176</v>
      </c>
      <c r="AU2" s="156">
        <v>160</v>
      </c>
      <c r="AV2" s="173" t="s">
        <v>177</v>
      </c>
      <c r="AW2" s="156" t="s">
        <v>178</v>
      </c>
    </row>
    <row r="3" spans="2:49" ht="19.649999999999999" customHeight="1">
      <c r="B3" s="162"/>
      <c r="C3" s="163"/>
      <c r="D3" s="164"/>
      <c r="F3" s="990" t="s">
        <v>179</v>
      </c>
      <c r="G3" s="991"/>
      <c r="H3" s="992" t="str">
        <f>IF($G$14="Seçiniz."," ",IF($G$14="Ürün 1",IF(OR(Sayfa1!C9="Seçiniz",Sayfa1!C9=""),"",Sayfa1!C9),IF($G$14="Ürün 2",IF(OR(Sayfa1!E9="Seçiniz",Sayfa1!E9=""),"",Sayfa1!E9),IF($G$14="Ürün 3",IF(OR(Sayfa1!G9="Seçiniz",Sayfa1!G9=""),"",Sayfa1!G9),IF($G$14="Ürün 4",IF(OR(Sayfa1!I9="Seçiniz",Sayfa1!I9=""),"",Sayfa1!I9),IF($G$14="Ürün 5",IF(OR(Sayfa1!K9="Seçiniz",Sayfa1!K9=""),"",Sayfa1!K9),IF($G$14="Ürün 6",IF(OR(Sayfa1!M9="Seçiniz",Sayfa1!M9=""),"",Sayfa1!M9))))))))</f>
        <v xml:space="preserve"> </v>
      </c>
      <c r="I3" s="993"/>
      <c r="J3" s="994"/>
      <c r="AV3" s="173"/>
    </row>
    <row r="4" spans="2:49" ht="19.649999999999999" customHeight="1">
      <c r="B4" s="162"/>
      <c r="C4" s="163"/>
      <c r="D4" s="164"/>
      <c r="F4" s="990" t="s">
        <v>565</v>
      </c>
      <c r="G4" s="991"/>
      <c r="H4" s="995" t="str">
        <f>IF($G$14="Seçiniz."," ",IF($G$14="Ürün 1",IF(OR(Sayfa1!C8="Seçiniz",Sayfa1!C8=""),"",Sayfa1!C8),IF($G$14="Ürün 2",IF(OR(Sayfa1!E8="Seçiniz",Sayfa1!E8=""),"",Sayfa1!E8),IF($G$14="Ürün 3",IF(OR(Sayfa1!G8="Seçiniz",Sayfa1!G8=""),"",Sayfa1!G8),IF($G$14="Ürün 4",IF(OR(Sayfa1!I8="Seçiniz",Sayfa1!I8=""),"",Sayfa1!I8),IF($G$14="Ürün 5",IF(OR(Sayfa1!K8="Seçiniz",Sayfa1!K8=""),"",Sayfa1!K8),IF($G$14="Ürün 6",IF(OR(Sayfa1!M8="Seçiniz",Sayfa1!M8=""),"",Sayfa1!M8))))))))</f>
        <v xml:space="preserve"> </v>
      </c>
      <c r="I4" s="996"/>
      <c r="J4" s="997"/>
      <c r="AQ4" s="156" t="s">
        <v>180</v>
      </c>
      <c r="AR4" s="156" t="s">
        <v>181</v>
      </c>
      <c r="AT4" s="156" t="s">
        <v>182</v>
      </c>
      <c r="AU4" s="156">
        <v>190</v>
      </c>
      <c r="AV4" s="173" t="s">
        <v>183</v>
      </c>
      <c r="AW4" s="156" t="s">
        <v>184</v>
      </c>
    </row>
    <row r="5" spans="2:49" ht="19.649999999999999" customHeight="1">
      <c r="B5" s="162"/>
      <c r="C5" s="163"/>
      <c r="D5" s="164"/>
      <c r="F5" s="990" t="s">
        <v>185</v>
      </c>
      <c r="G5" s="991"/>
      <c r="H5" s="1021"/>
      <c r="I5" s="1022"/>
      <c r="J5" s="1023"/>
      <c r="AV5" s="173"/>
    </row>
    <row r="6" spans="2:49" ht="19.649999999999999" customHeight="1">
      <c r="B6" s="162"/>
      <c r="C6" s="163"/>
      <c r="D6" s="164"/>
      <c r="F6" s="990" t="s">
        <v>186</v>
      </c>
      <c r="G6" s="991"/>
      <c r="H6" s="1024"/>
      <c r="I6" s="1025"/>
      <c r="J6" s="1026"/>
      <c r="AQ6" s="156" t="s">
        <v>52</v>
      </c>
      <c r="AT6" s="156" t="s">
        <v>52</v>
      </c>
      <c r="AU6" s="156">
        <v>200</v>
      </c>
      <c r="AV6" s="173" t="s">
        <v>187</v>
      </c>
      <c r="AW6" s="156" t="s">
        <v>188</v>
      </c>
    </row>
    <row r="7" spans="2:49" ht="19.649999999999999" customHeight="1">
      <c r="B7" s="162"/>
      <c r="C7" s="163"/>
      <c r="D7" s="164"/>
      <c r="F7" s="990" t="s">
        <v>189</v>
      </c>
      <c r="G7" s="991"/>
      <c r="H7" s="1002" t="s">
        <v>281</v>
      </c>
      <c r="I7" s="1003"/>
      <c r="J7" s="1004"/>
      <c r="AV7" s="173"/>
    </row>
    <row r="8" spans="2:49" ht="19.649999999999999" customHeight="1">
      <c r="B8" s="162"/>
      <c r="C8" s="163"/>
      <c r="D8" s="164"/>
      <c r="F8" s="990" t="s">
        <v>190</v>
      </c>
      <c r="G8" s="991"/>
      <c r="H8" s="1002" t="s">
        <v>599</v>
      </c>
      <c r="I8" s="1003"/>
      <c r="J8" s="1004"/>
      <c r="AV8" s="173"/>
    </row>
    <row r="9" spans="2:49" ht="19.649999999999999" customHeight="1">
      <c r="B9" s="162"/>
      <c r="C9" s="163"/>
      <c r="D9" s="164"/>
      <c r="F9" s="990" t="s">
        <v>191</v>
      </c>
      <c r="G9" s="991"/>
      <c r="H9" s="1005"/>
      <c r="I9" s="1006"/>
      <c r="J9" s="1007"/>
      <c r="AQ9" s="172" t="s">
        <v>173</v>
      </c>
      <c r="AS9" s="172" t="s">
        <v>173</v>
      </c>
      <c r="AU9" s="156">
        <v>210</v>
      </c>
      <c r="AV9" s="173" t="s">
        <v>193</v>
      </c>
      <c r="AW9" s="156" t="s">
        <v>194</v>
      </c>
    </row>
    <row r="10" spans="2:49" ht="19.649999999999999" customHeight="1" thickBot="1">
      <c r="B10" s="165"/>
      <c r="C10" s="166"/>
      <c r="D10" s="167"/>
      <c r="F10" s="1008" t="s">
        <v>537</v>
      </c>
      <c r="G10" s="1009"/>
      <c r="H10" s="195"/>
      <c r="I10" s="196" t="s">
        <v>195</v>
      </c>
      <c r="J10" s="197" t="e">
        <f>H10*D18</f>
        <v>#VALUE!</v>
      </c>
      <c r="K10" s="312"/>
      <c r="AQ10" s="156" t="s">
        <v>196</v>
      </c>
      <c r="AS10" s="156" t="s">
        <v>197</v>
      </c>
      <c r="AU10" s="156">
        <v>250</v>
      </c>
      <c r="AV10" s="173" t="s">
        <v>198</v>
      </c>
      <c r="AW10" s="156" t="s">
        <v>52</v>
      </c>
    </row>
    <row r="11" spans="2:49" ht="19.649999999999999" customHeight="1" thickBot="1">
      <c r="B11" s="1013"/>
      <c r="C11" s="1014"/>
      <c r="D11" s="1015"/>
      <c r="F11" s="1019" t="s">
        <v>538</v>
      </c>
      <c r="G11" s="1020"/>
      <c r="H11" s="198"/>
      <c r="I11" s="199" t="s">
        <v>195</v>
      </c>
      <c r="J11" s="200" t="e">
        <f>H11*D18</f>
        <v>#VALUE!</v>
      </c>
      <c r="AV11" s="173"/>
    </row>
    <row r="12" spans="2:49" ht="19.649999999999999" customHeight="1" thickBot="1">
      <c r="B12" s="1016"/>
      <c r="C12" s="1017"/>
      <c r="D12" s="1018"/>
      <c r="F12" s="201"/>
      <c r="G12" s="202" t="s">
        <v>199</v>
      </c>
      <c r="H12" s="203">
        <f>SUM(H10+H11)</f>
        <v>0</v>
      </c>
      <c r="I12" s="204" t="s">
        <v>200</v>
      </c>
      <c r="J12" s="205" t="e">
        <f>SUM(J10+J11)</f>
        <v>#VALUE!</v>
      </c>
      <c r="AV12" s="173"/>
    </row>
    <row r="13" spans="2:49" ht="19.649999999999999" customHeight="1" thickBot="1">
      <c r="B13" s="207" t="s">
        <v>201</v>
      </c>
      <c r="C13" s="1027" t="str">
        <f>IF($G$14="Seçiniz."," ",IF($G$14="Ürün 1",IF(OR(Sayfa1!C5="Seçiniz",Sayfa1!C5=""),"",Sayfa1!C5),IF($G$14="Ürün 2",IF(OR(Sayfa1!E5="Seçiniz",Sayfa1!E5=""),"",Sayfa1!E5),IF($G$14="Ürün 3",IF(OR(Sayfa1!G5="Seçiniz",Sayfa1!G5=""),"",Sayfa1!G5),IF($G$14="Ürün 4",IF(OR(Sayfa1!I5="Seçiniz",Sayfa1!I5=""),"",Sayfa1!I5),IF($G$14="Ürün 5",IF(OR(Sayfa1!K5="Seçiniz",Sayfa1!K5=""),"",Sayfa1!K5),IF($G$14="Ürün 6",IF(OR(Sayfa1!M5="Seçiniz",Sayfa1!M5=""),"",Sayfa1!M5),)))))))</f>
        <v xml:space="preserve"> </v>
      </c>
      <c r="D13" s="1028"/>
      <c r="E13" s="1028"/>
      <c r="F13" s="1029"/>
      <c r="G13" s="998" t="s">
        <v>267</v>
      </c>
      <c r="H13" s="998"/>
      <c r="I13" s="998"/>
      <c r="J13" s="999"/>
      <c r="AQ13" s="156" t="s">
        <v>202</v>
      </c>
      <c r="AU13" s="156">
        <v>280</v>
      </c>
      <c r="AV13" s="173" t="s">
        <v>203</v>
      </c>
    </row>
    <row r="14" spans="2:49" ht="19.649999999999999" customHeight="1" thickBot="1">
      <c r="B14" s="208" t="s">
        <v>204</v>
      </c>
      <c r="C14" s="1010" t="str">
        <f>IF($G$14="Seçiniz."," ",IF($G$14="Ürün 1",IF(Sayfa1!C47="Diğer",Sayfa1!D47,IF(OR(Sayfa1!C47="Seçiniz.",Sayfa1!C47=""),"",Sayfa1!C47)),IF($G$14="Ürün 2",IF(Sayfa1!E47="Diğer",Sayfa1!F47,IF(OR(Sayfa1!E47="Seçiniz.",Sayfa1!E47=""),"",Sayfa1!E47)),IF($G$14="Ürün 3",IF(Sayfa1!G47="Diğer",Sayfa1!H47,IF(OR(Sayfa1!G47="Seçiniz.",Sayfa1!G47=""),"",Sayfa1!G47)),IF($G$14="Ürün 4",IF(Sayfa1!I47="Diğer",Sayfa1!J47,IF(OR(Sayfa1!I47="Seçiniz.",Sayfa1!I47=""),"",Sayfa1!I47)),IF($G$14="Ürün 5",IF(Sayfa1!K47="Diğer",Sayfa1!L47,IF(OR(Sayfa1!K47="Seçiniz.",Sayfa1!K47=""),"",Sayfa1!K47)),IF($G$14="Ürün 6",IF(Sayfa1!M47="Diğer",Sayfa1!N47,IF(OR(Sayfa1!M47="Seçiniz.",Sayfa1!M47=""),"",Sayfa1!M47)),)))))))</f>
        <v xml:space="preserve"> </v>
      </c>
      <c r="D14" s="1011"/>
      <c r="E14" s="1011"/>
      <c r="F14" s="1012"/>
      <c r="G14" s="1000" t="s">
        <v>281</v>
      </c>
      <c r="H14" s="1000"/>
      <c r="I14" s="1000"/>
      <c r="J14" s="1001"/>
      <c r="AV14" s="173"/>
    </row>
    <row r="15" spans="2:49" ht="19.649999999999999" customHeight="1">
      <c r="B15" s="208" t="s">
        <v>205</v>
      </c>
      <c r="C15" s="937" t="str">
        <f>IF($G$14="Seçiniz."," ",IF($G$14="Ürün 1",IF(OR(Sayfa1!C7="Seçiniz",Sayfa1!C7=""),"",Sayfa1!C7),IF($G$14="Ürün 2",IF(OR(Sayfa1!E7="Seçiniz",Sayfa1!E7=""),"",Sayfa1!E7),IF($G$14="Ürün 3",Sayfa1!G7,IF($G$14="Ürün 4",Sayfa1!I7,IF($G$14="Ürün 5",Sayfa1!K7,IF($G$14="Ürün 6",Sayfa1!M7,)))))))</f>
        <v xml:space="preserve"> </v>
      </c>
      <c r="D15" s="938"/>
      <c r="E15" s="938"/>
      <c r="F15" s="939"/>
      <c r="G15" s="940" t="s">
        <v>206</v>
      </c>
      <c r="H15" s="941"/>
      <c r="I15" s="941"/>
      <c r="J15" s="942"/>
      <c r="AQ15" s="156" t="s">
        <v>207</v>
      </c>
      <c r="AU15" s="156">
        <v>300</v>
      </c>
      <c r="AV15" s="173" t="s">
        <v>208</v>
      </c>
    </row>
    <row r="16" spans="2:49" ht="19.649999999999999" customHeight="1">
      <c r="B16" s="208" t="s">
        <v>209</v>
      </c>
      <c r="C16" s="943" t="str">
        <f>IF($G$14="Seçiniz.", " ", IF($G$14="Ürün 1",IF(Sayfa1!C4="DİĞER",Sayfa1!D4,IF(OR(Sayfa1!C4="Seçiniz.",Sayfa1!C4=""),"",Sayfa1!C4)),
    IF($G$14="Ürün 2",IF(Sayfa1!E4="DİĞER",Sayfa1!F4,IF(OR(Sayfa1!E4="Seçiniz.",Sayfa1!E4=""),"",Sayfa1!E4)),
    IF($G$14="Ürün 3",IF(Sayfa1!G4="DİĞER",Sayfa1!H4,IF(OR(Sayfa1!G4="Seçiniz.",Sayfa1!G4=""),"",Sayfa1!G4)),
    IF($G$14="Ürün 4",IF(Sayfa1!I4="DİĞER",Sayfa1!J4,IF(OR(Sayfa1!I4="Seçiniz.",Sayfa1!I4=""),"",Sayfa1!I4)),
    IF($G$14="Ürün 5",IF(Sayfa1!K4="DİĞER",Sayfa1!L4,IF(OR(Sayfa1!K4="Seçiniz.",Sayfa1!K4=""),"",Sayfa1!K4)),
    IF($G$14="Ürün 6", IF(Sayfa1!M4="DİĞER",Sayfa1!N4,IF(OR(Sayfa1!M4="Seçiniz.",Sayfa1!M4=""),"",Sayfa1!M4)))))))))</f>
        <v xml:space="preserve"> </v>
      </c>
      <c r="D16" s="944"/>
      <c r="E16" s="944"/>
      <c r="F16" s="945"/>
      <c r="G16" s="946" t="s">
        <v>210</v>
      </c>
      <c r="H16" s="948" t="s">
        <v>211</v>
      </c>
      <c r="I16" s="948" t="s">
        <v>212</v>
      </c>
      <c r="J16" s="950" t="s">
        <v>213</v>
      </c>
      <c r="AU16" s="156" t="s">
        <v>52</v>
      </c>
      <c r="AV16" s="173" t="s">
        <v>214</v>
      </c>
    </row>
    <row r="17" spans="2:48" ht="19.649999999999999" customHeight="1">
      <c r="B17" s="208" t="s">
        <v>215</v>
      </c>
      <c r="C17" s="952" t="str">
        <f>IF($G$14="Seçiniz.","",IF($G$14="Ürün 1",IF(Sayfa1!D4="","",Sayfa1!D4),
IF($G$14="Ürün 2",IF(Sayfa1!F4="","",Sayfa1!F4),
IF($G$14="Ürün 3",IF(Sayfa1!H4="","",Sayfa1!H4),
IF($G$14="Ürün 4",IF(Sayfa1!J4="","",Sayfa1!J4),
IF($G$14="Ürün 5",IF(Sayfa1!L4="","",Sayfa1!L4),
IF($G$14="Ürün 6",IF(Sayfa1!N4="","",Sayfa1!N4))))))))</f>
        <v/>
      </c>
      <c r="D17" s="953"/>
      <c r="E17" s="953"/>
      <c r="F17" s="954"/>
      <c r="G17" s="947"/>
      <c r="H17" s="949"/>
      <c r="I17" s="949"/>
      <c r="J17" s="951"/>
      <c r="AV17" s="173"/>
    </row>
    <row r="18" spans="2:48" ht="19.649999999999999" customHeight="1" thickBot="1">
      <c r="B18" s="208" t="s">
        <v>216</v>
      </c>
      <c r="C18" s="206" t="s">
        <v>281</v>
      </c>
      <c r="D18" s="962" t="str">
        <f>IF(G14="Seçiniz.","",IF(AND(G14="Ürün 1",C18="Miktar 1"),'Quotation Sheet'!H23,IF(AND(G14="Ürün 1",C18="Miktar 2"),'Quotation Sheet'!H24,IF(AND(G14="Ürün 1",C18="Miktar 3"),'Quotation Sheet'!H25,IF(AND(G14="Ürün 1",C18="Miktar 4"),'Quotation Sheet'!H26,IF(AND(G14="Ürün 1",C18="Miktar 5"),'Quotation Sheet'!H27,IF(AND(G14="Ürün 2",C18="Miktar 1"),'Quotation Sheet'!H28,IF(AND(G14="Ürün 2",C18="Miktar 2"),'Quotation Sheet'!H29,IF(AND(G14="Ürün 2",C18="Miktar 3"),'Quotation Sheet'!H30,IF(AND(G14="Ürün 2",C18="Miktar 4"),'Quotation Sheet'!H31,IF(AND(G14="Ürün 2",C18="Miktar 5"),'Quotation Sheet'!H32,IF(AND(G14="Ürün 3",C18="Miktar 1"),'Quotation Sheet'!H33,IF(AND(G14="Ürün 3",C18="Miktar 2"),'Quotation Sheet'!H34,IF(AND(G14="Ürün 3",C18="Miktar 3"),'Quotation Sheet'!H35,IF(AND(G14="Ürün 3",C18="Miktar 4"),'Quotation Sheet'!H36,IF(AND(G14="Ürün 3",C18="Miktar 5"),'Quotation Sheet'!H37,IF(AND(G14="Ürün 4",C18="Miktar 1"),'Quotation Sheet'!H38,IF(AND(G14="Ürün 4",C18="Miktar 2"),'Quotation Sheet'!H39,IF(AND(G14="Ürün 4",C18="Miktar 3"),'Quotation Sheet'!H40,IF(AND(G14="Ürün 4",C18="Miktar 4"),'Quotation Sheet'!H41,IF(AND(G14="Ürün 4",C18="Miktar 5"),'Quotation Sheet'!H42,IF(AND(G14="Ürün 5",C18="Miktar 1"),'Quotation Sheet'!H43,IF(AND(G14="Ürün 5",C18="Miktar 2"),'Quotation Sheet'!H44,IF(AND(G14="Ürün 5",C18="Miktar 3"),'Quotation Sheet'!H45,IF(AND(G14="Ürün 5",C18="Miktar 4"),'Quotation Sheet'!H46,IF(AND(G14="Ürün 5",C18="Miktar 5"),'Quotation Sheet'!H47,IF(AND(G14="Ürün 6",C18="Miktar 1"),'Quotation Sheet'!H48,IF(AND(G14="Ürün 6",C18="Miktar 2"),'Quotation Sheet'!H49,IF(AND(G14="Ürün 6",C18="Miktar 3"),'Quotation Sheet'!H50,IF(AND(G14="Ürün 6",C18="Miktar 4"),'Quotation Sheet'!H51,IF(AND(G14="Ürün 6",C18="Miktar 5"),'Quotation Sheet'!H52,)))))))))))))))))))))))))))))))</f>
        <v/>
      </c>
      <c r="E18" s="962"/>
      <c r="F18" s="963"/>
      <c r="G18" s="169"/>
      <c r="H18" s="170"/>
      <c r="I18" s="170"/>
      <c r="J18" s="171" t="str">
        <f>IF(G14="Seçiniz.","",
  IF(G14="Ürün 1",IF(Sayfa1!$C$4="PATCHLİ ÇANTA"," ",RIGHT(Sayfa1!C11, LEN(Sayfa1!C11) - FIND("+", Sayfa1!C11))),
    IF(G14="Ürün 2",IF(Sayfa1!$C$4="PATCHLİ ÇANTA"," ",RIGHT(Sayfa1!E11, LEN(Sayfa1!E11) - FIND("+", Sayfa1!E11))),
      IF(G14="Ürün 3",IF(Sayfa1!$C$4="PATCHLİ ÇANTA"," ",RIGHT(Sayfa1!G11, LEN(Sayfa1!G11) - FIND("+", Sayfa1!G11))),
        IF(G14="Ürün 4",IF(Sayfa1!$C$4="PATCHLİ ÇANTA"," ",RIGHT(Sayfa1!I11, LEN(Sayfa1!I11) - FIND("+", Sayfa1!I11))),
          IF(G14="Ürün 5",IF(Sayfa1!$C$4="PATCHLİ ÇANTA"," ",RIGHT(Sayfa1!K11, LEN(Sayfa1!K11) - FIND("+", Sayfa1!K11))),
            IF(G14="Ürün 6",IF(Sayfa1!$C$4="PATCHLİ ÇANTA"," ",RIGHT(Sayfa1!M11, LEN(Sayfa1!M11) - FIND("+", Sayfa1!M11))))))))))</f>
        <v/>
      </c>
      <c r="AP18" s="172" t="s">
        <v>173</v>
      </c>
      <c r="AQ18" s="172" t="s">
        <v>173</v>
      </c>
      <c r="AR18" s="172" t="s">
        <v>173</v>
      </c>
      <c r="AT18" s="172" t="s">
        <v>173</v>
      </c>
      <c r="AV18" s="173" t="s">
        <v>52</v>
      </c>
    </row>
    <row r="19" spans="2:48" ht="19.649999999999999" customHeight="1" thickBot="1">
      <c r="B19" s="209" t="s">
        <v>217</v>
      </c>
      <c r="C19" s="971" t="str">
        <f>IF($G$14="Seçiniz.","",IF($G$14="Ürün 1",IF(OR(Sayfa1!C61="",Sayfa1!C61="SEÇİNİZ"),"",Sayfa1!C61),
IF($G$14="Ürün 2",IF(OR(Sayfa1!E61="",Sayfa1!E61="SEÇİNİZ"),"",Sayfa1!E61),
IF($G$14="Ürün 3",IF(OR(Sayfa1!G61="",Sayfa1!G61="SEÇİNİZ"),"",Sayfa1!G61),
IF($G$14="Ürün 4",IF(OR(Sayfa1!I61="",Sayfa1!I61="SEÇİNİZ"),"",Sayfa1!I61),
IF($G$14="Ürün 5",IF(OR(Sayfa1!K61="",Sayfa1!K61="SEÇİNİZ"),"",Sayfa1!K61),
IF($G$14="Ürün 6",IF(OR(Sayfa1!M61="",Sayfa1!M61="SEÇİNİZ"),"",Sayfa1!M61))))))))</f>
        <v/>
      </c>
      <c r="D19" s="971"/>
      <c r="E19" s="971"/>
      <c r="F19" s="971"/>
      <c r="G19" s="971"/>
      <c r="H19" s="971"/>
      <c r="I19" s="971"/>
      <c r="J19" s="972"/>
      <c r="AP19" s="172"/>
      <c r="AQ19" s="172"/>
      <c r="AR19" s="172"/>
      <c r="AT19" s="172"/>
      <c r="AV19" s="173"/>
    </row>
    <row r="20" spans="2:48" ht="19.649999999999999" customHeight="1">
      <c r="B20" s="973" t="s">
        <v>221</v>
      </c>
      <c r="C20" s="974"/>
      <c r="D20" s="974"/>
      <c r="E20" s="974"/>
      <c r="F20" s="974"/>
      <c r="G20" s="974"/>
      <c r="H20" s="974"/>
      <c r="I20" s="974"/>
      <c r="J20" s="975"/>
      <c r="N20" s="174"/>
      <c r="AP20" s="156">
        <v>2</v>
      </c>
      <c r="AQ20" s="156" t="s">
        <v>52</v>
      </c>
      <c r="AR20" s="156">
        <v>1</v>
      </c>
      <c r="AT20" s="156" t="s">
        <v>222</v>
      </c>
      <c r="AV20" s="173"/>
    </row>
    <row r="21" spans="2:48" ht="19.649999999999999" customHeight="1" thickBot="1">
      <c r="B21" s="976"/>
      <c r="C21" s="977"/>
      <c r="D21" s="977"/>
      <c r="E21" s="977"/>
      <c r="F21" s="977"/>
      <c r="G21" s="977"/>
      <c r="H21" s="977"/>
      <c r="I21" s="977"/>
      <c r="J21" s="978"/>
      <c r="P21" s="156" t="s">
        <v>99</v>
      </c>
      <c r="AP21" s="156">
        <v>3</v>
      </c>
      <c r="AR21" s="156">
        <v>2</v>
      </c>
      <c r="AT21" s="156" t="s">
        <v>52</v>
      </c>
    </row>
    <row r="22" spans="2:48" ht="19.649999999999999" customHeight="1" thickBot="1">
      <c r="B22" s="979" t="s">
        <v>9</v>
      </c>
      <c r="C22" s="980"/>
      <c r="D22" s="219" t="s">
        <v>28</v>
      </c>
      <c r="E22" s="979" t="s">
        <v>569</v>
      </c>
      <c r="F22" s="981"/>
      <c r="G22" s="980"/>
      <c r="H22" s="220" t="s">
        <v>223</v>
      </c>
      <c r="I22" s="979" t="s">
        <v>1105</v>
      </c>
      <c r="J22" s="980"/>
      <c r="AP22" s="156">
        <v>4</v>
      </c>
      <c r="AR22" s="156">
        <v>3</v>
      </c>
    </row>
    <row r="23" spans="2:48" ht="19.2" customHeight="1" thickBot="1">
      <c r="B23" s="955" t="str">
        <f>IF($G$14="Seçiniz."," ",IF($G$14="Ürün 1",IF(OR(Sayfa1!C13="",Sayfa1!C13="Seçiniz"),"",Sayfa1!C13),IF($G$14="Ürün 2",IF(OR(Sayfa1!E13="",Sayfa1!E13="Seçiniz"),"",Sayfa1!E13),IF($G$14="Ürün 3",IF(OR(Sayfa1!G13="",Sayfa1!G13="Seçiniz"),"",Sayfa1!G13),IF($G$14="Ürün 4",IF(OR(Sayfa1!I13="",Sayfa1!I13="Seçiniz"),"",Sayfa1!I13),IF($G$14="Ürün 5",IF(OR(Sayfa1!K13="",Sayfa1!K13="Seçiniz"),"",Sayfa1!K13),IF($G$14="Ürün 6",IF(OR(Sayfa1!M13="",Sayfa1!M13="Seçiniz"),"",Sayfa1!M13))))))))</f>
        <v xml:space="preserve"> </v>
      </c>
      <c r="C23" s="956"/>
      <c r="D23" s="229" t="str">
        <f>IF($G$14="Seçiniz.", " ", IF($G$14="Ürün 1",IF(Sayfa1!C12="DİĞER",Sayfa1!D12,IF(OR(Sayfa1!C12="Seçiniz",Sayfa1!C12=""),"",Sayfa1!C12)),
    IF($G$14="Ürün 2",IF(Sayfa1!E12="DİĞER",Sayfa1!F12,IF(OR(Sayfa1!E12="Seçiniz.",Sayfa1!E12=""),"",Sayfa1!E12)),
    IF($G$14="Ürün 3",IF(Sayfa1!G12="DİĞER",Sayfa1!H12,IF(OR(Sayfa1!G12="Seçiniz.",Sayfa1!G12=""),"",Sayfa1!G12)),
    IF($G$14="Ürün 4",IF(Sayfa1!I12="DİĞER",Sayfa1!J12,IF(OR(Sayfa1!I12="Seçiniz.",Sayfa1!I12=""),"",Sayfa1!I12)),
    IF($G$14="Ürün 5",IF(Sayfa1!K12="DİĞER",Sayfa1!L12,IF(OR(Sayfa1!K12="Seçiniz.",Sayfa1!K12=""),"",Sayfa1!K12)),
    IF($G$14="Ürün 6", IF(Sayfa1!M12="DİĞER",Sayfa1!N12,IF(OR(Sayfa1!M12="Seçiniz.",Sayfa1!M12=""),"",Sayfa1!M12)))))))))</f>
        <v xml:space="preserve"> </v>
      </c>
      <c r="E23" s="957" t="str">
        <f>IF(G14="Seçiniz.","",IF(G14="Ürün 1",IF(OR(B23="Seçiniz",B23=""),"",IF(B23="DIŞ BASKI",'Quotation Sheet'!E59,IF(B23="İÇ BASKI",'Quotation Sheet'!E60,IF(B23="İÇ + DIŞ BASKI",CONCATENATE('Quotation Sheet'!E60,"   ",'Quotation Sheet'!E59))))),IF(G14="Ürün 2",IF(OR(B23="Seçiniz",B23=""),"",IF(B23="DIŞ BASKI",'Quotation Sheet'!F59,IF(B23="İÇ BASKI",'Quotation Sheet'!F60,IF(B23="İÇ + DIŞ BASKI",CONCATENATE('Quotation Sheet'!F60,"   ",'Quotation Sheet'!F59))))),IF(G14="Ürün 3",IF(OR(B23="Seçiniz",B23=""),"",IF(B23="DIŞ BASKI",'Quotation Sheet'!G59,IF(B23="İÇ BASKI",'Quotation Sheet'!G60,IF(B23="İÇ + DIŞ BASKI",CONCATENATE('Quotation Sheet'!G60,"   ",'Quotation Sheet'!G59))))),IF(G14="Ürün 4",IF(OR(B23="Seçiniz",B23=""),"",IF(B23="DIŞ BASKI",'Quotation Sheet'!H59,IF(B23="İÇ BASKI",'Quotation Sheet'!H60,IF(B23="İÇ + DIŞ BASKI",CONCATENATE('Quotation Sheet'!H60,"   ",'Quotation Sheet'!H59))))),IF(G14="Ürün 5",IF(OR(B23="Seçiniz",B23=""),"",IF(B23="DIŞ BASKI",'Quotation Sheet'!I59,IF(B23="İÇ BASKI",'Quotation Sheet'!I60,IF(B23="İÇ + DIŞ BASKI",CONCATENATE('Quotation Sheet'!I60,"   ",'Quotation Sheet'!I59))))),IF(G14="Ürün 6",IF(OR(B23="Seçiniz",B23=""),"",IF(B23="DIŞ BASKI",'Quotation Sheet'!K59,IF(B23="İÇ BASKI",'Quotation Sheet'!K60,IF(B23="İÇ + DIŞ BASKI",CONCATENATE('Quotation Sheet'!K60,"   ",'Quotation Sheet'!K59)))))))
)))))</f>
        <v/>
      </c>
      <c r="F23" s="958"/>
      <c r="G23" s="959"/>
      <c r="H23" s="176"/>
      <c r="I23" s="960" t="str">
        <f>IF($G$14="Seçiniz.","",IF($G$14="Ürün 1",IF(OR(Sayfa1!C63="Seçiniz.",Sayfa1!C63=""),"",IF(Sayfa1!C63="DİĞER",Sayfa1!D63*D18,Sayfa1!C63*D18)),IF($G$14="Ürün 2",IF(OR(Sayfa1!E63="Seçiniz.",Sayfa1!E63=""),"",IF(Sayfa1!E63="DİĞER",Sayfa1!F63*D18,Sayfa1!E63*D18)),IF($G$14="Ürün 3",IF(OR(Sayfa1!G63="Seçiniz.",Sayfa1!G63=""),"",IF(Sayfa1!G63="DİĞER",Sayfa1!H63*D18,Sayfa1!G63*D18)),IF($G$14="Ürün 4",IF(OR(Sayfa1!I63="Seçiniz.",Sayfa1!I63=""),"",IF(Sayfa1!I63="DİĞER",Sayfa1!J63*D18,Sayfa1!I63*D18)),IF($G$14="Ürün 5",IF(OR(Sayfa1!K63="Seçiniz.",Sayfa1!K63=""),"",IF(Sayfa1!K63="DİĞER",Sayfa1!L63*D18,Sayfa1!K63*D18)),IF($G$14="Ürün 6",IF(OR(Sayfa1!M63="Seçiniz.",Sayfa1!M63=""),"",IF(Sayfa1!M63="DİĞER",Sayfa1!N63*D18,Sayfa1!M63*D18)))))))))</f>
        <v/>
      </c>
      <c r="J23" s="961"/>
      <c r="AP23" s="156" t="s">
        <v>225</v>
      </c>
      <c r="AR23" s="156">
        <v>4</v>
      </c>
    </row>
    <row r="24" spans="2:48" ht="19.649999999999999" customHeight="1" thickBot="1">
      <c r="B24" s="982" t="str">
        <f>IF($G$14="Seçiniz.","",IF($G$14="Ürün 1",IF(Sayfa1!D13="","",Sayfa1!D13),
IF($G$14="Ürün 2",IF(Sayfa1!F13="","",Sayfa1!F13),
IF($G$14="Ürün 3",IF(Sayfa1!H13="","",Sayfa1!H13),
IF($G$14="Ürün 4",IF(Sayfa1!J13="","",Sayfa1!J13),
IF($G$14="Ürün 5",IF(Sayfa1!L13="","",Sayfa1!L13),
IF($G$14="Ürün 6",IF(Sayfa1!N13="","",Sayfa1!N13))))))))</f>
        <v/>
      </c>
      <c r="C24" s="983"/>
      <c r="D24" s="175" t="str">
        <f>IF($G$14="Seçiniz.","",IF($G$14="Ürün 1",IF(Sayfa1!D12="","",Sayfa1!D12),
IF($G$14="Ürün 2",IF(Sayfa1!F12="","",Sayfa1!F12),
IF($G$14="Ürün 3",IF(Sayfa1!H12="","",Sayfa1!H12),
IF($G$14="Ürün 4",IF(Sayfa1!J12="","",Sayfa1!J12),
IF($G$14="Ürün 5",IF(Sayfa1!L12="","",Sayfa1!L12),
IF($G$14="Ürün 6",IF(Sayfa1!N12="","",Sayfa1!N12))))))))</f>
        <v/>
      </c>
      <c r="E24" s="964"/>
      <c r="F24" s="965"/>
      <c r="G24" s="965"/>
      <c r="H24" s="965"/>
      <c r="I24" s="965"/>
      <c r="J24" s="966"/>
    </row>
    <row r="25" spans="2:48" ht="34.799999999999997" customHeight="1" thickBot="1">
      <c r="B25" s="967" t="s">
        <v>726</v>
      </c>
      <c r="C25" s="968"/>
      <c r="D25" s="969"/>
      <c r="E25" s="969"/>
      <c r="F25" s="969"/>
      <c r="G25" s="969"/>
      <c r="H25" s="969"/>
      <c r="I25" s="969"/>
      <c r="J25" s="970"/>
    </row>
    <row r="26" spans="2:48" ht="19.649999999999999" customHeight="1">
      <c r="B26" s="210" t="s">
        <v>227</v>
      </c>
      <c r="C26" s="211" t="s">
        <v>228</v>
      </c>
      <c r="D26" s="212" t="s">
        <v>539</v>
      </c>
      <c r="E26" s="212" t="s">
        <v>271</v>
      </c>
      <c r="F26" s="212" t="s">
        <v>272</v>
      </c>
      <c r="G26" s="212" t="s">
        <v>273</v>
      </c>
      <c r="H26" s="212" t="s">
        <v>274</v>
      </c>
      <c r="I26" s="212" t="s">
        <v>275</v>
      </c>
      <c r="J26" s="213" t="s">
        <v>276</v>
      </c>
    </row>
    <row r="27" spans="2:48" ht="19.649999999999999" customHeight="1">
      <c r="B27" s="935" t="str">
        <f>IF($G$14="Seçiniz."," ",IF($G$14="Ürün 1",IF(Sayfa1!C17="","",Sayfa1!C17),IF($G$14="Ürün 2",IF(Sayfa1!E17="","",Sayfa1!E17),IF($G$14="Ürün 3",IF(Sayfa1!G17="","",Sayfa1!G17),IF($G$14="Ürün 4",IF(Sayfa1!I17="","",Sayfa1!I17),IF($G$14="Ürün 5",IF(Sayfa1!K17="","",Sayfa1!K17),IF($G$14="Ürün 6",IF(Sayfa1!M17="","",Sayfa1!M17))))))))</f>
        <v xml:space="preserve"> </v>
      </c>
      <c r="C27" s="168" t="str">
        <f>IF($G$14="Seçiniz."," ",IF($G$14="Ürün 1",IF(Sayfa1!D17="","",Sayfa1!D17),IF($G$14="Ürün 2",IF(Sayfa1!F17="","",Sayfa1!F17),IF($G$14="Ürün 3",IF(Sayfa1!H17="","",Sayfa1!H17),IF($G$14="Ürün 4",IF(Sayfa1!J17="","",Sayfa1!J17),IF($G$14="Ürün 5",IF(Sayfa1!L17="","",Sayfa1!L17),IF($G$14="Ürün 6",IF(Sayfa1!N17="","",Sayfa1!N17))))))))</f>
        <v xml:space="preserve"> </v>
      </c>
      <c r="D27" s="933" t="str">
        <f>IF($G$14="Seçiniz."," ",
IF($G$14="Ürün 1",IF(OR(Sayfa1!C18="Seçiniz.",Sayfa1!C18=""),"",IF(Sayfa1!C18="Diğer",Sayfa1!D18,Sayfa1!C18)),
IF($G$14="Ürün 2",IF(OR(Sayfa1!E18="Seçiniz.",Sayfa1!E18=""),"",IF(Sayfa1!E18="Diğer",Sayfa1!F18,Sayfa1!E18)),
IF($G$14="Ürün 3",IF(OR(Sayfa1!G18="Seçiniz.",Sayfa1!G18=""),"",IF(Sayfa1!G18="Diğer",Sayfa1!H18,Sayfa1!G18)),
IF($G$14="Ürün 4",IF(OR(Sayfa1!I18="Seçiniz.",Sayfa1!I18=""),"",IF(Sayfa1!I18="Diğer",Sayfa1!J18,Sayfa1!I18)),
IF($G$14="Ürün 5",IF(OR(Sayfa1!K18="Seçiniz.",Sayfa1!K18=""),"",IF(Sayfa1!K18="Diğer",Sayfa1!L18,Sayfa1!K18)),
IF($G$14="Ürün 6",IF(OR(Sayfa1!M18="Seçiniz.",Sayfa1!M18=""),"",IF(Sayfa1!M18="Diğer",Sayfa1!N18,Sayfa1!M18)),
" "
)))))))</f>
        <v xml:space="preserve"> </v>
      </c>
      <c r="E27" s="230" t="str">
        <f>IF($G$14="Seçiniz."," ",IF($G$14="Ürün 1",IF(OR(Sayfa1!C31="Seçiniz",Sayfa1!C31=""),"",Sayfa1!C31),IF($G$14="Ürün 2",IF(OR(Sayfa1!E31="Seçiniz",Sayfa1!E31=""),"",Sayfa1!E31),IF($G$14="Ürün 3",IF(OR(Sayfa1!G31="Seçiniz",Sayfa1!G31=""),"",Sayfa1!G31),IF($G$14="Ürün 4",IF(OR(Sayfa1!I31="Seçiniz",Sayfa1!I31=""),"",Sayfa1!I31),IF($G$14="Ürün 5",IF(OR(Sayfa1!K31="Seçiniz",Sayfa1!K31=""),"",Sayfa1!K31),IF($G$14="Ürün 6",IF(OR(Sayfa1!M31="Seçiniz",Sayfa1!M31=""),"",Sayfa1!M31))))))))</f>
        <v xml:space="preserve"> </v>
      </c>
      <c r="F27" s="230" t="str">
        <f>IF($G$14="Seçiniz."," ",IF($G$14="Ürün 1",IF(OR(Sayfa1!C32="Seçiniz",Sayfa1!C31=""),"",Sayfa1!C32),IF($G$14="Ürün 2",IF(OR(Sayfa1!E32="Seçiniz",Sayfa1!E32=""),"",Sayfa1!E32),IF($G$14="Ürün 3",IF(OR(Sayfa1!G32="Seçiniz",Sayfa1!G32=""),"",Sayfa1!G32),IF($G$14="Ürün 4",IF(OR(Sayfa1!I32="Seçiniz",Sayfa1!I32=""),"",Sayfa1!I32),IF($G$14="Ürün 5",IF(OR(Sayfa1!K32="Seçiniz",Sayfa1!K32=""),"",Sayfa1!K32),IF($G$14="Ürün 6",IF(OR(Sayfa1!M32="Seçiniz",Sayfa1!M32=""),"",Sayfa1!M32))))))))</f>
        <v xml:space="preserve"> </v>
      </c>
      <c r="G27" s="230" t="str">
        <f>IF($G$14="Seçiniz."," ",IF($G$14="Ürün 1",IF(OR(Sayfa1!C33="Seçiniz",Sayfa1!C33=""),"",Sayfa1!C33),IF($G$14="Ürün 2",IF(OR(Sayfa1!E33="Seçiniz",Sayfa1!E33=""),"",Sayfa1!E33),IF($G$14="Ürün 3",IF(OR(Sayfa1!G33="Seçiniz",Sayfa1!G33=""),"",Sayfa1!G33),IF($G$14="Ürün 4",IF(OR(Sayfa1!I33="Seçiniz",Sayfa1!I33=""),"",Sayfa1!I33),IF($G$14="Ürün 5",IF(OR(Sayfa1!K33="Seçiniz",Sayfa1!K33=""),"",Sayfa1!K33),IF($G$14="Ürün 6",IF(OR(Sayfa1!M33="Seçiniz",Sayfa1!M33=""),"",Sayfa1!M33))))))))</f>
        <v xml:space="preserve"> </v>
      </c>
      <c r="H27" s="230" t="str">
        <f>IF($G$14="Seçiniz."," ",IF($G$14="Ürün 1",IF(OR(Sayfa1!C34="Seçiniz",Sayfa1!C34=""),"",Sayfa1!C34),IF($G$14="Ürün 2",IF(OR(Sayfa1!E34="Seçiniz",Sayfa1!E34=""),"",Sayfa1!E34),IF($G$14="Ürün 3",IF(OR(Sayfa1!G34="Seçiniz",Sayfa1!G34=""),"",Sayfa1!G34),IF($G$14="Ürün 4",IF(OR(Sayfa1!I34="Seçiniz",Sayfa1!I34=""),"",Sayfa1!I34),IF($G$14="Ürün 5",IF(OR(Sayfa1!K34="Seçiniz",Sayfa1!K34=""),"",Sayfa1!K34),IF($G$14="Ürün 6",IF(OR(Sayfa1!M34="Seçiniz",Sayfa1!M34=""),"",Sayfa1!M34))))))))</f>
        <v xml:space="preserve"> </v>
      </c>
      <c r="I27" s="230" t="str">
        <f>IF($G$14="Seçiniz."," ",IF($G$14="Ürün 1",IF(OR(Sayfa1!C35="Seçiniz",Sayfa1!C35=""),"",Sayfa1!C35),IF($G$14="Ürün 2",IF(OR(Sayfa1!E35="Seçiniz",Sayfa1!E35=""),"",Sayfa1!E35),IF($G$14="Ürün 3",IF(OR(Sayfa1!G35="Seçiniz",Sayfa1!G35=""),"",Sayfa1!G35),IF($G$14="Ürün 4",IF(OR(Sayfa1!I35="Seçiniz",Sayfa1!I35=""),"",Sayfa1!I35),IF($G$14="Ürün 5",IF(OR(Sayfa1!K35="Seçiniz",Sayfa1!K35=""),"",Sayfa1!K35),IF($G$14="Ürün 6",IF(OR(Sayfa1!M35="Seçiniz",Sayfa1!M35=""),"",Sayfa1!M35))))))))</f>
        <v xml:space="preserve"> </v>
      </c>
      <c r="J27" s="231" t="str">
        <f>IF($G$14="Seçiniz."," ",IF($G$14="Ürün 1",IF(OR(Sayfa1!C36="Seçiniz",Sayfa1!C36=""),"",Sayfa1!C36),IF($G$14="Ürün 2",IF(OR(Sayfa1!E36="Seçiniz",Sayfa1!E36=""),"",Sayfa1!E36),IF($G$14="Ürün 3",IF(OR(Sayfa1!G36="Seçiniz",Sayfa1!G36=""),"",Sayfa1!G36),IF($G$14="Ürün 4",IF(OR(Sayfa1!I36="Seçiniz",Sayfa1!I36=""),"",Sayfa1!I36),IF($G$14="Ürün 5",IF(OR(Sayfa1!K36="Seçiniz",Sayfa1!K36=""),"",Sayfa1!K36),IF($G$14="Ürün 6",IF(OR(Sayfa1!M36="Seçiniz",Sayfa1!M36=""),"",Sayfa1!M36))))))))</f>
        <v xml:space="preserve"> </v>
      </c>
    </row>
    <row r="28" spans="2:48" ht="19.649999999999999" customHeight="1">
      <c r="B28" s="936"/>
      <c r="C28" s="168"/>
      <c r="D28" s="984"/>
      <c r="E28" s="177" t="str">
        <f>IF($G$14="Seçiniz."," ",IF($G$14="Ürün 1",IF(OR(Sayfa1!C31="Seçiniz",Sayfa1!C31=""),"",IF(Sayfa1!C31="VARAK YALDIZ",IF(TEXT(RIGHT(Sayfa1!D31,2),"%")="%",CONCATENATE(Sayfa1!D31,"%"),Sayfa1!D31))),IF($G$14="Ürün 2",IF(OR(Sayfa1!E31="Seçiniz",Sayfa1!E31=""),"",IF(Sayfa1!E31="VARAK YALDIZ",IF(TEXT(RIGHT(Sayfa1!F31,2),"%")="%",CONCATENATE(Sayfa1!F31,"%"),Sayfa1!F31))),IF($G$14="Ürün 3",IF(OR(Sayfa1!G31="Seçiniz",Sayfa1!G31=""),"",IF(Sayfa1!G31="VARAK YALDIZ",IF(TEXT(RIGHT(Sayfa1!H31,2),"%")="%",CONCATENATE(Sayfa1!H31,"%"),Sayfa1!H31))),IF($G$14="Ürün 4",IF(OR(Sayfa1!I31="Seçiniz",Sayfa1!I31=""),"",IF(Sayfa1!I31="VARAK YALDIZ",IF(TEXT(RIGHT(Sayfa1!J31,2),"%")="%",CONCATENATE(Sayfa1!J31,"%"),Sayfa1!J31))),IF($G$14="Ürün 5",IF(OR(Sayfa1!K31="Seçiniz",Sayfa1!K31=""),"",IF(Sayfa1!K31="VARAK YALDIZ",IF(TEXT(RIGHT(Sayfa1!L31,2),"%")="%",CONCATENATE(Sayfa1!L31,"%"),Sayfa1!L31))),IF($G$14="Ürün 6",IF(OR(Sayfa1!M31="Seçiniz",Sayfa1!M31=""),"",IF(Sayfa1!M31="VARAK YALDIZ",IF(TEXT(RIGHT(Sayfa1!N31,2),"%")="%",CONCATENATE(Sayfa1!N31,"%"),Sayfa1!N31))))))))))</f>
        <v xml:space="preserve"> </v>
      </c>
      <c r="F28" s="178" t="str">
        <f>IF($G$14="Seçiniz."," ",IF($G$14="Ürün 1",IF(OR(Sayfa1!C32="Seçiniz",Sayfa1!C32=""),"",IF(Sayfa1!C32="EMBOSS",IF(TEXT(RIGHT(Sayfa1!D32,2),"%")="%",CONCATENATE(Sayfa1!D32,"%"),Sayfa1!D32))),IF($G$14="Ürün 2",IF(OR(Sayfa1!E32="Seçiniz",Sayfa1!E32=""),"",IF(Sayfa1!E32="EMBOSS",IF(TEXT(RIGHT(Sayfa1!F32,2),"%")="%",CONCATENATE(Sayfa1!F32,"%"),Sayfa1!F32))),IF($G$14="Ürün 3",IF(OR(Sayfa1!G32="Seçiniz",Sayfa1!G32=""),"",IF(Sayfa1!G32="EMBOSS",IF(TEXT(RIGHT(Sayfa1!H32,2),"%")="%",CONCATENATE(Sayfa1!H32,"%"),Sayfa1!H32))),IF($G$14="Ürün 4",IF(OR(Sayfa1!I32="Seçiniz",Sayfa1!I32=""),"",IF(Sayfa1!I32="EMBOSS",IF(TEXT(RIGHT(Sayfa1!J32,2),"%")="%",CONCATENATE(Sayfa1!J32,"%"),Sayfa1!J32))),IF($G$14="Ürün 5",IF(OR(Sayfa1!K32="Seçiniz",Sayfa1!K32=""),"",IF(Sayfa1!K32="EMBOSS",IF(TEXT(RIGHT(Sayfa1!L32,2),"%")="%",CONCATENATE(Sayfa1!L32,"%"),Sayfa1!L32))),IF($G$14="Ürün 6",IF(OR(Sayfa1!M32="Seçiniz",Sayfa1!M32=""),"",IF(Sayfa1!M32="EMBOSS",IF(TEXT(RIGHT(Sayfa1!N32,2),"%")="%",CONCATENATE(Sayfa1!N32,"%"),Sayfa1!N32))))))))))</f>
        <v xml:space="preserve"> </v>
      </c>
      <c r="G28" s="178" t="str">
        <f>IF($G$14="Seçiniz."," ",IF($G$14="Ürün 1",IF(OR(Sayfa1!C33="Seçiniz",Sayfa1!C33=""),"",IF(Sayfa1!C33="DEBOSS",IF(TEXT(RIGHT(Sayfa1!D33,2),"%")="%",CONCATENATE(Sayfa1!D33,"%"),Sayfa1!D33))),IF($G$14="Ürün 2",IF(OR(Sayfa1!E33="Seçiniz",Sayfa1!E33=""),"",IF(Sayfa1!E33="DEBOSS",IF(TEXT(RIGHT(Sayfa1!F33,2),"%")="%",CONCATENATE(Sayfa1!F33,"%"),Sayfa1!F33))),IF($G$14="Ürün 3",IF(OR(Sayfa1!G33="Seçiniz",Sayfa1!G33=""),"",IF(Sayfa1!G33="DEBOSS",IF(TEXT(RIGHT(Sayfa1!H33,2),"%")="%",CONCATENATE(Sayfa1!H33,"%"),Sayfa1!H33))),IF($G$14="Ürün 4",IF(OR(Sayfa1!I33="Seçiniz",Sayfa1!I33=""),"",IF(Sayfa1!I33="DEBOSS",IF(TEXT(RIGHT(Sayfa1!J33,2),"%")="%",CONCATENATE(Sayfa1!J33,"%"),Sayfa1!J33))),IF($G$14="Ürün 5",IF(OR(Sayfa1!K33="Seçiniz",Sayfa1!K33=""),"",IF(Sayfa1!K33="DEBOSS",IF(TEXT(RIGHT(Sayfa1!L33,2),"%")="%",CONCATENATE(Sayfa1!L33,"%"),Sayfa1!L33))),IF($G$14="Ürün 6",IF(OR(Sayfa1!M33="Seçiniz",Sayfa1!M33=""),"",IF(Sayfa1!M33="DEBOSS",IF(TEXT(RIGHT(Sayfa1!N33,2),"%")="%",CONCATENATE(Sayfa1!N33,"%"),Sayfa1!N33))))))))))</f>
        <v xml:space="preserve"> </v>
      </c>
      <c r="H28" s="179" t="str">
        <f>IF($G$14="Seçiniz."," ",IF($G$14="Ürün 1",IF(OR(Sayfa1!C34="Seçiniz",Sayfa1!C34=""),"",IF(Sayfa1!C34="GREN",IF(TEXT(RIGHT(Sayfa1!D34,2),"%")="%",CONCATENATE(Sayfa1!D34,"%"),Sayfa1!D34))),IF($G$14="Ürün 2",IF(OR(Sayfa1!E34="Seçiniz",Sayfa1!E34=""),"",IF(Sayfa1!E34="GREN",IF(TEXT(RIGHT(Sayfa1!F34,2),"%")="%",CONCATENATE(Sayfa1!F34,"%"),Sayfa1!F34))),IF($G$14="Ürün 3",IF(OR(Sayfa1!G34="Seçiniz",Sayfa1!G34=""),"",IF(Sayfa1!G34="GREN",IF(TEXT(RIGHT(Sayfa1!H34,2),"%")="%",CONCATENATE(Sayfa1!H34,"%"),Sayfa1!H34))),IF($G$14="Ürün 4",IF(OR(Sayfa1!I34="Seçiniz",Sayfa1!I34=""),"",IF(Sayfa1!I34="GREN",IF(TEXT(RIGHT(Sayfa1!J34,2),"%")="%",CONCATENATE(Sayfa1!J34,"%"),Sayfa1!J34))),IF($G$14="Ürün 5",IF(OR(Sayfa1!K34="Seçiniz",Sayfa1!K34=""),"",IF(Sayfa1!K34="GREN",IF(TEXT(RIGHT(Sayfa1!L34,2),"%")="%",CONCATENATE(Sayfa1!L34,"%"),Sayfa1!L34))),IF($G$14="Ürün 6",IF(OR(Sayfa1!M34="Seçiniz",Sayfa1!M34=""),"",IF(Sayfa1!M34="GREN",IF(TEXT(RIGHT(Sayfa1!N34,2),"%")="%",CONCATENATE(Sayfa1!N34,"%"),Sayfa1!N34))))))))))</f>
        <v xml:space="preserve"> </v>
      </c>
      <c r="I28" s="179" t="str">
        <f>IF($G$14="Seçiniz."," ",IF($G$14="Ürün 1",IF(OR(Sayfa1!C35="Seçiniz",Sayfa1!C35=""),"",IF(Sayfa1!C35="KUŞGÖZÜ",IF(TEXT(RIGHT(Sayfa1!D35,2),"%")="%",CONCATENATE(Sayfa1!D35,"%"),Sayfa1!D35))),IF($G$14="Ürün 2",IF(OR(Sayfa1!E35="Seçiniz",Sayfa1!E35=""),"",IF(Sayfa1!E35="KUŞGÖZÜ",IF(TEXT(RIGHT(Sayfa1!F35,2),"%")="%",CONCATENATE(Sayfa1!F35,"%"),Sayfa1!F35))),IF($G$14="Ürün 3",IF(OR(Sayfa1!G35="Seçiniz",Sayfa1!G35=""),"",IF(Sayfa1!G35="KUŞGÖZÜ",IF(TEXT(RIGHT(Sayfa1!H35,2),"%")="%",CONCATENATE(Sayfa1!H35,"%"),Sayfa1!H35))),IF($G$14="Ürün 4",IF(OR(Sayfa1!I35="Seçiniz",Sayfa1!I35=""),"",IF(Sayfa1!I35="KUŞGÖZÜ",IF(TEXT(RIGHT(Sayfa1!J35,2),"%")="%",CONCATENATE(Sayfa1!J35,"%"),Sayfa1!J35))),IF($G$14="Ürün 5",IF(OR(Sayfa1!K35="Seçiniz",Sayfa1!K35=""),"",IF(Sayfa1!K35="KUŞGÖZÜ",IF(TEXT(RIGHT(Sayfa1!L35,2),"%")="%",CONCATENATE(Sayfa1!L35,"%"),Sayfa1!L35))),IF($G$14="Ürün 6",IF(OR(Sayfa1!M35="Seçiniz",Sayfa1!M35=""),"",IF(Sayfa1!M35="KUŞGÖZÜ",IF(TEXT(RIGHT(Sayfa1!N35,2),"%")="%",CONCATENATE(Sayfa1!N35,"%"),Sayfa1!N35))))))))))</f>
        <v xml:space="preserve"> </v>
      </c>
      <c r="J28" s="180" t="str">
        <f>IF($G$14="Seçiniz."," ",IF($G$14="Ürün 1",IF(OR(Sayfa1!C36="Seçiniz",Sayfa1!C36=""),"",IF(Sayfa1!C36="LOKAL LAK",IF(TEXT(RIGHT(Sayfa1!D36,2),"%")="%",CONCATENATE(Sayfa1!D36,"%"),Sayfa1!D36))),IF($G$14="Ürün 2",IF(OR(Sayfa1!E36="Seçiniz",Sayfa1!E36=""),"",IF(Sayfa1!E36="LOKAL LAK",IF(TEXT(RIGHT(Sayfa1!F36,2),"%")="%",CONCATENATE(Sayfa1!F36,"%"),Sayfa1!F36))),IF($G$14="Ürün 3",IF(OR(Sayfa1!G36="Seçiniz",Sayfa1!G36=""),"",IF(Sayfa1!G36="LOKAL LAK",IF(TEXT(RIGHT(Sayfa1!H36,2),"%")="%",CONCATENATE(Sayfa1!H36,"%"),Sayfa1!H36))),IF($G$14="Ürün 4",IF(OR(Sayfa1!I36="Seçiniz",Sayfa1!I36=""),"",IF(Sayfa1!I36="LOKAL LAK",IF(TEXT(RIGHT(Sayfa1!J36,2),"%")="%",CONCATENATE(Sayfa1!J36,"%"),Sayfa1!J36))),IF($G$14="Ürün 5",IF(OR(Sayfa1!K36="Seçiniz",Sayfa1!K36=""),"",IF(Sayfa1!K36="LOKAL LAK",IF(TEXT(RIGHT(Sayfa1!L36,2),"%")="%",CONCATENATE(Sayfa1!L36,"%"),Sayfa1!L36))),IF($G$14="Ürün 6",IF(OR(Sayfa1!M36="Seçiniz",Sayfa1!M36=""),"",IF(Sayfa1!M36="LOKAL LAK",IF(TEXT(RIGHT(Sayfa1!N36,2),"%")="%",CONCATENATE(Sayfa1!N36,"%"),Sayfa1!N36))))))))))</f>
        <v xml:space="preserve"> </v>
      </c>
    </row>
    <row r="29" spans="2:48" ht="19.649999999999999" customHeight="1">
      <c r="B29" s="936"/>
      <c r="C29" s="181"/>
      <c r="D29" s="214" t="s">
        <v>540</v>
      </c>
      <c r="E29" s="215" t="s">
        <v>277</v>
      </c>
      <c r="F29" s="216" t="s">
        <v>278</v>
      </c>
      <c r="G29" s="216" t="s">
        <v>279</v>
      </c>
      <c r="H29" s="217" t="s">
        <v>280</v>
      </c>
      <c r="I29" s="218" t="s">
        <v>525</v>
      </c>
      <c r="J29" s="182"/>
    </row>
    <row r="30" spans="2:48">
      <c r="B30" s="936"/>
      <c r="C30" s="183"/>
      <c r="D30" s="933" t="str">
        <f>IF($G$14="Seçiniz."," ",
IF($G$14="Ürün 1",IF(OR(Sayfa1!C19="Seçiniz.",Sayfa1!C19=""),"",IF(Sayfa1!C19="Diğer",Sayfa1!D19,Sayfa1!C19)),
IF($G$14="Ürün 2",IF(OR(Sayfa1!E19="Seçiniz.",Sayfa1!E19=""),"",IF(Sayfa1!E19="Diğer",Sayfa1!F19,Sayfa1!E19)),
IF($G$14="Ürün 3",IF(OR(Sayfa1!G19="Seçiniz.",Sayfa1!G19=""),"",IF(Sayfa1!G19="Diğer",Sayfa1!H19,Sayfa1!G19)),
IF($G$14="Ürün 4",IF(OR(Sayfa1!I19="Seçiniz.",Sayfa1!I19=""),"",IF(Sayfa1!I19="Diğer",Sayfa1!J19,Sayfa1!I19)),
IF($G$14="Ürün 5",IF(OR(Sayfa1!K19="Seçiniz.",Sayfa1!K19=""),"",IF(Sayfa1!K19="Diğer",Sayfa1!L19,Sayfa1!K19)),
IF($G$14="Ürün 6",IF(OR(Sayfa1!M19="Seçiniz.",Sayfa1!M19=""),"",IF(Sayfa1!M19="Diğer",Sayfa1!N19,Sayfa1!M19)),
" "
)))))))</f>
        <v xml:space="preserve"> </v>
      </c>
      <c r="E30" s="230" t="str">
        <f>IF($G$14="Seçiniz."," ",IF($G$14="Ürün 1",IF(OR(Sayfa1!C37="Seçiniz",Sayfa1!C37=""),"",Sayfa1!C37),IF($G$14="Ürün 2",IF(OR(Sayfa1!E37="Seçiniz",Sayfa1!E37=""),"",Sayfa1!E37),IF($G$14="Ürün 3",IF(OR(Sayfa1!G37="Seçiniz",Sayfa1!G37=""),"",Sayfa1!G37),IF($G$14="Ürün 4",IF(OR(Sayfa1!I37="Seçiniz",Sayfa1!I37=""),"",Sayfa1!I37),IF($G$14="Ürün 5",IF(OR(Sayfa1!K37="Seçiniz",Sayfa1!K37=""),"",Sayfa1!K37),IF($G$14="Ürün 6",IF(OR(Sayfa1!M37="Seçiniz",Sayfa1!M37=""),"",Sayfa1!M37))))))))</f>
        <v xml:space="preserve"> </v>
      </c>
      <c r="F30" s="230" t="str">
        <f>IF($G$14="Seçiniz."," ",IF($G$14="Ürün 1",IF(OR(Sayfa1!C38="Seçiniz",Sayfa1!C38=""),"",Sayfa1!C38),IF($G$14="Ürün 2",IF(OR(Sayfa1!E38="Seçiniz",Sayfa1!E38=""),"",Sayfa1!E38),IF($G$14="Ürün 3",IF(OR(Sayfa1!G38="Seçiniz",Sayfa1!G38=""),"",Sayfa1!G38),IF($G$14="Ürün 4",IF(OR(Sayfa1!I38="Seçiniz",Sayfa1!I38=""),"",Sayfa1!I38),IF($G$14="Ürün 5",IF(OR(Sayfa1!K38="Seçiniz",Sayfa1!K38=""),"",Sayfa1!K38),IF($G$14="Ürün 6",IF(OR(Sayfa1!M38="Seçiniz",Sayfa1!M38=""),"",Sayfa1!M38))))))))</f>
        <v xml:space="preserve"> </v>
      </c>
      <c r="G30" s="230" t="str">
        <f>IF($G$14="Seçiniz."," ",IF($G$14="Ürün 1",IF(OR(Sayfa1!C39="Seçiniz",Sayfa1!C39=""),"",Sayfa1!C39),IF($G$14="Ürün 2",IF(OR(Sayfa1!E39="Seçiniz",Sayfa1!E39=""),"",Sayfa1!E39),IF($G$14="Ürün 3",IF(OR(Sayfa1!G39="Seçiniz",Sayfa1!G39=""),"",Sayfa1!G39),IF($G$14="Ürün 4",IF(OR(Sayfa1!I39="Seçiniz",Sayfa1!I39=""),"",Sayfa1!I39),IF($G$14="Ürün 5",IF(OR(Sayfa1!K39="Seçiniz",Sayfa1!K39=""),"",Sayfa1!K39),IF($G$14="Ürün 6",IF(OR(Sayfa1!M39="Seçiniz",Sayfa1!M39=""),"",Sayfa1!M39))))))))</f>
        <v xml:space="preserve"> </v>
      </c>
      <c r="H30" s="231" t="str">
        <f>IF($G$14="Seçiniz."," ",IF($G$14="Ürün 1",IF(OR(Sayfa1!C40="Seçiniz",Sayfa1!C40=""),"",Sayfa1!C40),IF($G$14="Ürün 2",IF(OR(Sayfa1!E40="Seçiniz",Sayfa1!E40=""),"",Sayfa1!E40),IF($G$14="Ürün 3",IF(OR(Sayfa1!G40="Seçiniz",Sayfa1!G40=""),"",Sayfa1!G40),IF($G$14="Ürün 4",IF(OR(Sayfa1!I40="Seçiniz",Sayfa1!I40=""),"",Sayfa1!I40),IF($G$14="Ürün 5",IF(OR(Sayfa1!K40="Seçiniz",Sayfa1!K40=""),"",Sayfa1!K40),IF($G$14="Ürün 6",IF(OR(Sayfa1!M40="Seçiniz",Sayfa1!M40=""),"",Sayfa1!M40))))))))</f>
        <v xml:space="preserve"> </v>
      </c>
      <c r="I30" s="232" t="str">
        <f>IF($G$14="Seçiniz."," ",IF($G$14="Ürün 1",IF(OR(Sayfa1!C41="Seçiniz",Sayfa1!C41=""),"",Sayfa1!C41),IF($G$14="Ürün 2",IF(OR(Sayfa1!E41="Seçiniz",Sayfa1!E41=""),"",Sayfa1!E41),IF($G$14="Ürün 3",IF(OR(Sayfa1!G41="Seçiniz",Sayfa1!G41=""),"",Sayfa1!G41),IF($G$14="Ürün 4",IF(OR(Sayfa1!I41="Seçiniz",Sayfa1!I41=""),"",Sayfa1!I41),IF($G$14="Ürün 5",IF(OR(Sayfa1!K41="Seçiniz",Sayfa1!K41=""),"",Sayfa1!K41),IF($G$14="Ürün 6",IF(OR(Sayfa1!M41="Seçiniz",Sayfa1!M41=""),"",Sayfa1!M41))))))))</f>
        <v xml:space="preserve"> </v>
      </c>
      <c r="J30" s="180"/>
    </row>
    <row r="31" spans="2:48" ht="19.649999999999999" customHeight="1" thickBot="1">
      <c r="B31" s="936"/>
      <c r="C31" s="183"/>
      <c r="D31" s="934"/>
      <c r="E31" s="233" t="str">
        <f>IF($G$14="Seçiniz."," ",IF($G$14="Ürün 1",IF(OR(Sayfa1!C37="Seçiniz",Sayfa1!C37=""),"",IF(Sayfa1!C37="YÜKSEK LAK",IF(TEXT(RIGHT(Sayfa1!D37,2),"%")="%",CONCATENATE(Sayfa1!D37,"%"),Sayfa1!D37))),IF($G$14="Ürün 2",IF(OR(Sayfa1!E37="Seçiniz",Sayfa1!E37=""),"",IF(Sayfa1!E37="YÜKSEK LAK",IF(TEXT(RIGHT(Sayfa1!F37,2),"%")="%",CONCATENATE(Sayfa1!F37,"%"),Sayfa1!F37))),IF($G$14="Ürün 3",IF(OR(Sayfa1!G37="Seçiniz",Sayfa1!G37=""),"",IF(Sayfa1!G37="YÜKSEK LAK",IF(TEXT(RIGHT(Sayfa1!H37,2),"%")="%",CONCATENATE(Sayfa1!H37,"%"),Sayfa1!H37))),IF($G$14="Ürün 4",IF(OR(Sayfa1!I37="Seçiniz",Sayfa1!I37=""),"",IF(Sayfa1!I37="YÜKSEK LAK",IF(TEXT(RIGHT(Sayfa1!J37,2),"%")="%",CONCATENATE(Sayfa1!J37,"%"),Sayfa1!J37))),IF($G$14="Ürün 5",IF(OR(Sayfa1!K37="Seçiniz",Sayfa1!K37=""),"",IF(Sayfa1!K37="YÜKSEK LAK",IF(TEXT(RIGHT(Sayfa1!L37,2),"%")="%",CONCATENATE(Sayfa1!L37,"%"),Sayfa1!L37))),IF($G$14="Ürün 6",IF(OR(Sayfa1!M37="Seçiniz",Sayfa1!M37=""),"",IF(Sayfa1!M37="YÜKSEK LAK",IF(TEXT(RIGHT(Sayfa1!N37,2),"%")="%",CONCATENATE(Sayfa1!N37,"%"),Sayfa1!N37))))))))))</f>
        <v xml:space="preserve"> </v>
      </c>
      <c r="F31" s="233" t="str">
        <f>IF($G$14="Seçiniz."," ",IF($G$14="Ürün 1",IF(OR(Sayfa1!C38="Seçiniz",Sayfa1!C38=""),"",IF(Sayfa1!C38="PVC EURO KANCA",IF(TEXT(RIGHT(Sayfa1!D38,2),"%")="%",CONCATENATE(Sayfa1!D38,"%"),Sayfa1!D38))),IF($G$14="Ürün 2",IF(OR(Sayfa1!E38="Seçiniz",Sayfa1!E38=""),"",IF(Sayfa1!E38="PVC EURO KANCA",IF(TEXT(RIGHT(Sayfa1!F38,2),"%")="%",CONCATENATE(Sayfa1!F38,"%"),Sayfa1!F38))),IF($G$14="Ürün 3",IF(OR(Sayfa1!G38="Seçiniz",Sayfa1!G38=""),"",IF(Sayfa1!G38="PVC EURO KANCA",IF(TEXT(RIGHT(Sayfa1!H38,2),"%")="%",CONCATENATE(Sayfa1!H38,"%"),Sayfa1!H38))),IF($G$14="Ürün 4",IF(OR(Sayfa1!I38="Seçiniz",Sayfa1!I38=""),"",IF(Sayfa1!I38="PVC EURO KANCA",IF(TEXT(RIGHT(Sayfa1!J38,2),"%")="%",CONCATENATE(Sayfa1!J38,"%"),Sayfa1!J38))),IF($G$14="Ürün 5",IF(OR(Sayfa1!K38="Seçiniz",Sayfa1!K38=""),"",IF(Sayfa1!K38="PVC EURO KANCA",IF(TEXT(RIGHT(Sayfa1!L38,2),"%")="%",CONCATENATE(Sayfa1!L38,"%"),Sayfa1!L38))),IF($G$14="Ürün 6",IF(OR(Sayfa1!M38="Seçiniz",Sayfa1!M38=""),"",IF(Sayfa1!M38="PVC EURO KANCA",IF(TEXT(RIGHT(Sayfa1!N38,2),"%")="%",CONCATENATE(Sayfa1!N38,"%"),Sayfa1!N38))))))))))</f>
        <v xml:space="preserve"> </v>
      </c>
      <c r="G31" s="233" t="str">
        <f>IF($G$14="Seçiniz."," ",IF($G$14="Ürün 1",IF(OR(Sayfa1!C39="Seçiniz",Sayfa1!C39=""),"",IF(Sayfa1!C39="KARTON EURO KANCA",IF(TEXT(RIGHT(Sayfa1!D39,2),"%")="%",CONCATENATE(Sayfa1!D39,"%"),Sayfa1!D39))),IF($G$14="Ürün 2",IF(OR(Sayfa1!E39="Seçiniz",Sayfa1!E39=""),"",IF(Sayfa1!E39="KARTON EURO KANCA",IF(TEXT(RIGHT(Sayfa1!F39,2),"%")="%",CONCATENATE(Sayfa1!F39,"%"),Sayfa1!F39))),IF($G$14="Ürün 3",IF(OR(Sayfa1!G39="Seçiniz",Sayfa1!G39=""),"",IF(Sayfa1!G39="KARTON EURO KANCA",IF(TEXT(RIGHT(Sayfa1!H39,2),"%")="%",CONCATENATE(Sayfa1!H39,"%"),Sayfa1!H39))),IF($G$14="Ürün 4",IF(OR(Sayfa1!I39="Seçiniz",Sayfa1!I39=""),"",IF(Sayfa1!I39="KARTON EURO KANCA",IF(TEXT(RIGHT(Sayfa1!J39,2),"%")="%",CONCATENATE(Sayfa1!J39,"%"),Sayfa1!J39))),IF($G$14="Ürün 5",IF(OR(Sayfa1!K39="Seçiniz",Sayfa1!K39=""),"",IF(Sayfa1!K39="KARTON EURO KANCA",IF(TEXT(RIGHT(Sayfa1!L39,2),"%")="%",CONCATENATE(Sayfa1!L39,"%"),Sayfa1!L39))),IF($G$14="Ürün 6",IF(OR(Sayfa1!M39="Seçiniz",Sayfa1!M39=""),"",IF(Sayfa1!M39="KARTON EURO KANCA",IF(TEXT(RIGHT(Sayfa1!N39,2),"%")="%",CONCATENATE(Sayfa1!N39,"%"),Sayfa1!N39))))))))))</f>
        <v xml:space="preserve"> </v>
      </c>
      <c r="H31" s="234" t="str">
        <f>IF($G$14="Seçiniz."," ",IF($G$14="Ürün 1",IF(OR(Sayfa1!C40="Seçiniz",Sayfa1!C40=""),"",IF(Sayfa1!C40="ÇİFT TARAFLI BANT",IF(TEXT(RIGHT(Sayfa1!D40,2),"%")="%",CONCATENATE(Sayfa1!D40,"%"),Sayfa1!D40))),IF($G$14="Ürün 2",IF(OR(Sayfa1!E40="Seçiniz",Sayfa1!E40=""),"",IF(Sayfa1!E40="ÇİFT TARAFLI BANT",IF(TEXT(RIGHT(Sayfa1!F40,2),"%")="%",CONCATENATE(Sayfa1!F40,"%"),Sayfa1!F40))),IF($G$14="Ürün 3",IF(OR(Sayfa1!G40="Seçiniz",Sayfa1!G40=""),"",IF(Sayfa1!G40="ÇİFT TARAFLI BANT",IF(TEXT(RIGHT(Sayfa1!H40,2),"%")="%",CONCATENATE(Sayfa1!H40,"%"),Sayfa1!H40))),IF($G$14="Ürün 4",IF(OR(Sayfa1!I40="Seçiniz",Sayfa1!I40=""),"",IF(Sayfa1!I40="ÇİFT TARAFLI BANT",IF(TEXT(RIGHT(Sayfa1!J40,2),"%")="%",CONCATENATE(Sayfa1!J40,"%"),Sayfa1!J40))),IF($G$14="Ürün 5",IF(OR(Sayfa1!K40="Seçiniz",Sayfa1!K40=""),"",IF(Sayfa1!K40="ÇİFT TARAFLI BANT",IF(TEXT(RIGHT(Sayfa1!L40,2),"%")="%",CONCATENATE(Sayfa1!L40,"%"),Sayfa1!L40))),IF($G$14="Ürün 6",IF(OR(Sayfa1!M40="Seçiniz",Sayfa1!M40=""),"",IF(Sayfa1!M40="ÇİFT TARAFLI BANT",IF(TEXT(RIGHT(Sayfa1!N40,2),"%")="%",CONCATENATE(Sayfa1!N40,"%"),Sayfa1!N40))))))))))</f>
        <v xml:space="preserve"> </v>
      </c>
      <c r="I31" s="233" t="str">
        <f>IF($G$14="Seçiniz."," ",IF($G$14="Ürün 1",IF(OR(Sayfa1!C41="Seçiniz",Sayfa1!C41=""),"",IF(Sayfa1!C41="PELUR",IF(TEXT(RIGHT(Sayfa1!D41,2),"%")="%",CONCATENATE(Sayfa1!D41,"%"),Sayfa1!D41))),IF($G$14="Ürün 2",IF(OR(Sayfa1!E41="Seçiniz",Sayfa1!E41=""),"",IF(Sayfa1!E41="PELUR",IF(TEXT(RIGHT(Sayfa1!F41,2),"%")="%",CONCATENATE(Sayfa1!F41,"%"),Sayfa1!F41))),IF($G$14="Ürün 3",IF(OR(Sayfa1!G41="Seçiniz",Sayfa1!G41=""),"",IF(Sayfa1!G41="PELUR",IF(TEXT(RIGHT(Sayfa1!H41,2),"%")="%",CONCATENATE(Sayfa1!H41,"%"),Sayfa1!H41))),IF($G$14="Ürün 4",IF(OR(Sayfa1!I41="Seçiniz",Sayfa1!I41=""),"",IF(Sayfa1!I41="PELUR",IF(TEXT(RIGHT(Sayfa1!J41,2),"%")="%",CONCATENATE(Sayfa1!J41,"%"),Sayfa1!J41))),IF($G$14="Ürün 5",IF(OR(Sayfa1!K41="Seçiniz",Sayfa1!K41=""),"",IF(Sayfa1!K41="PELUR",IF(TEXT(RIGHT(Sayfa1!L41,2),"%")="%",CONCATENATE(Sayfa1!L41,"%"),Sayfa1!L41))),IF($G$14="Ürün 6",IF(OR(Sayfa1!M41="Seçiniz",Sayfa1!M41=""),"",IF(Sayfa1!M41="PELUR",IF(TEXT(RIGHT(Sayfa1!N41,2),"%")="%",CONCATENATE(Sayfa1!N41,"%"),Sayfa1!N41))))))))))</f>
        <v xml:space="preserve"> </v>
      </c>
      <c r="J31" s="225"/>
    </row>
    <row r="32" spans="2:48" ht="19.649999999999999" customHeight="1">
      <c r="B32" s="222" t="s">
        <v>690</v>
      </c>
      <c r="C32" s="924" t="str">
        <f>IF($G$14="Seçiniz.","",IF($G$14="Ürün 1",IF(OR(Sayfa1!C20="",Sayfa1!C20="Seçiniz."),"",Sayfa1!C20),
IF($G$14="Ürün 2",IF(OR(Sayfa1!E20="",Sayfa1!E20="Seçiniz."),"",Sayfa1!E20),
IF($G$14="Ürün 3",IF(OR(Sayfa1!G20="",Sayfa1!G20="Seçiniz."),"",Sayfa1!G20),
IF($G$14="Ürün 4",IF(OR(Sayfa1!I20="",Sayfa1!I20="Seçiniz."),"",Sayfa1!I20),
IF($G$14="Ürün 5",IF(OR(Sayfa1!K20="",Sayfa1!K20="Seçiniz."),"",Sayfa1!K20),
IF($G$14="Ürün 6",IF(OR(Sayfa1!M20="",Sayfa1!M20="Seçiniz."),"",Sayfa1!M20))))))))</f>
        <v/>
      </c>
      <c r="D32" s="925"/>
      <c r="E32" s="227" t="str">
        <f>IF(C32="", " ",
 IF($G$14="Seçiniz.", "",
  IF($G$14="Ürün 1",
   IF(Sayfa1!C20="ÇİFT (GÖVDE + KATLAMA)",
    CONCATENATE(VALUE(LEFT(Sayfa1!D20,3)/2), " + ", VALUE(LEFT(Sayfa1!D20,3)/2)),
    Sayfa1!D20),
   IF($G$14="Ürün 2",
    IF(Sayfa1!E20="ÇİFT (GÖVDE + KATLAMA)",
     CONCATENATE(VALUE(LEFT(Sayfa1!F20,3)/2), " + ", VALUE(LEFT(Sayfa1!F20,3)/2)),
     Sayfa1!F20),
    IF($G$14="Ürün 3",
     IF(Sayfa1!G20="ÇİFT (GÖVDE + KATLAMA)",
      CONCATENATE(VALUE(LEFT(Sayfa1!H20,3)/2), " + ", VALUE(LEFT(Sayfa1!H20,3)/2)),
      Sayfa1!H20),
     IF($G$14="Ürün 4",
      IF(Sayfa1!I20="ÇİFT (GÖVDE + KATLAMA)",
       CONCATENATE(VALUE(LEFT(Sayfa1!J20,3)/2), " + ", VALUE(LEFT(Sayfa1!J20,3)/2)),
       Sayfa1!J20),
      IF($G$14="Ürün 5",
       IF(Sayfa1!K20="ÇİFT (GÖVDE + KATLAMA)",
        CONCATENATE(VALUE(LEFT(Sayfa1!L20,3)/2), " + ", VALUE(LEFT(Sayfa1!L20,3)/2)),
        Sayfa1!L20),
       IF($G$14="Ürün 6",
        IF(Sayfa1!M20="ÇİFT (GÖVDE + KATLAMA)",
         CONCATENATE(VALUE(LEFT(Sayfa1!N20,3)/2), " + ", VALUE(LEFT(Sayfa1!N20,3)/2)),
        Sayfa1!N20)
       )
      )
     )
    )
   )
  )
 )
)</f>
        <v xml:space="preserve"> </v>
      </c>
      <c r="F32" s="913"/>
      <c r="G32" s="914"/>
      <c r="H32" s="914"/>
      <c r="I32" s="914"/>
      <c r="J32" s="915"/>
    </row>
    <row r="33" spans="2:10" ht="19.649999999999999" customHeight="1">
      <c r="B33" s="223" t="s">
        <v>691</v>
      </c>
      <c r="C33" s="928" t="str">
        <f>IF($G$14="Seçiniz."," ",
IF($G$14="Ürün 1",IF(OR(Sayfa1!C21="Seçiniz.",Sayfa1!C21=""),"",IF(Sayfa1!C21="Diğer",Sayfa1!D21,Sayfa1!C21)),
IF($G$14="Ürün 2",IF(OR(Sayfa1!E21="Seçiniz.",Sayfa1!E21=""),"",IF(Sayfa1!E21="Diğer",Sayfa1!F21,Sayfa1!E21)),
IF($G$14="Ürün 3",IF(OR(Sayfa1!G21="Seçiniz.",Sayfa1!G21=""),"",IF(Sayfa1!G21="Diğer",Sayfa1!H21,Sayfa1!G21)),
IF($G$14="Ürün 4",IF(OR(Sayfa1!I21="Seçiniz.",Sayfa1!I21=""),"",IF(Sayfa1!I21="Diğer",Sayfa1!J21,Sayfa1!I21)),
IF($G$14="Ürün 5",IF(OR(Sayfa1!K21="Seçiniz.",Sayfa1!K21=""),"",IF(Sayfa1!K21="Diğer",Sayfa1!L121,Sayfa1!K21)),
IF($G$14="Ürün 6",IF(OR(Sayfa1!M21="Seçiniz.",Sayfa1!M21=""),"",IF(Sayfa1!M21="Diğer",Sayfa1!N21,Sayfa1!M21)),
" "
)))))))</f>
        <v xml:space="preserve"> </v>
      </c>
      <c r="D33" s="929"/>
      <c r="E33" s="228" t="str">
        <f>IF($G$14="Seçiniz.","",IF($G$14="Ürün 1",IF(Sayfa1!D21="","",Sayfa1!D21),
IF($G$14="Ürün 2",IF(Sayfa1!F21="","",Sayfa1!F21),
IF($G$14="Ürün 3",IF(Sayfa1!H21="","",Sayfa1!H21),
IF($G$14="Ürün 4",IF(Sayfa1!J21="","",Sayfa1!J21),
IF($G$14="Ürün 5",IF(Sayfa1!L21="","",Sayfa1!L21),
IF($G$14="Ürün 6",IF(Sayfa1!N21="","",Sayfa1!N21))))))))</f>
        <v/>
      </c>
      <c r="F33" s="916"/>
      <c r="G33" s="872"/>
      <c r="H33" s="872"/>
      <c r="I33" s="872"/>
      <c r="J33" s="873"/>
    </row>
    <row r="34" spans="2:10" ht="19.649999999999999" customHeight="1" thickBot="1">
      <c r="B34" s="224" t="s">
        <v>694</v>
      </c>
      <c r="C34" s="926" t="str">
        <f>IF($G$14="Seçiniz.","",IF($G$14="Ürün 1",IF(OR(Sayfa1!C22="Seçiniz.",Sayfa1!C22="DİP KARTON YOK",Sayfa1!C22=""),"",Sayfa1!C22),
IF($G$14="Ürün 2",IF(OR(Sayfa1!E22="Seçiniz.",Sayfa1!E22="DİP KARTON YOK",Sayfa1!E22=""),"",Sayfa1!E22),
IF($G$14="Ürün 3",IF(OR(Sayfa1!G22="Seçiniz.",Sayfa1!G22="DİP KARTON YOK",Sayfa1!G22=""),"",Sayfa1!G22),
IF($G$14="Ürün 4",IF(OR(Sayfa1!I22="Seçiniz.",Sayfa1!I22="DİP KARTON YOK",Sayfa1!I22=""),"",Sayfa1!I22),
IF($G$14="Ürün 5",IF(OR(Sayfa1!K22="Seçiniz.",Sayfa1!K22="DİP KARTON YOK",Sayfa1!K22=""),"",Sayfa1!K22),
IF($G$14="Ürün 6",IF(OR(Sayfa1!M22="Seçiniz.",Sayfa1MK21="DİP KARTON YOK",Sayfa1!M22=""),"",Sayfa1!K22))))))))</f>
        <v/>
      </c>
      <c r="D34" s="927"/>
      <c r="E34" s="226" t="str">
        <f>IF($G$14="Seçiniz.","",IF($G$14="Ürün 1",IF(Sayfa1!D22="","",Sayfa1!D22),
IF($G$14="Ürün 2",IF(Sayfa1!F22="","",Sayfa1!F22),
IF($G$14="Ürün 3",IF(Sayfa1!H22="","",Sayfa1!H22),
IF($G$14="Ürün 4",IF(Sayfa1!J22="","",Sayfa1!J22),
IF($G$14="Ürün 5",IF(Sayfa1!L22="","",Sayfa1!L22),
IF($G$14="Ürün 6",IF(Sayfa1!N22="","",Sayfa1!N22))))))))</f>
        <v/>
      </c>
      <c r="F34" s="917"/>
      <c r="G34" s="874"/>
      <c r="H34" s="874"/>
      <c r="I34" s="874"/>
      <c r="J34" s="875"/>
    </row>
    <row r="35" spans="2:10" ht="19.649999999999999" customHeight="1" thickBot="1">
      <c r="B35" s="930"/>
      <c r="C35" s="931"/>
      <c r="D35" s="931"/>
      <c r="E35" s="931"/>
      <c r="F35" s="931"/>
      <c r="G35" s="931"/>
      <c r="H35" s="931"/>
      <c r="I35" s="931"/>
      <c r="J35" s="932"/>
    </row>
    <row r="36" spans="2:10" ht="19.649999999999999" customHeight="1">
      <c r="B36" s="221" t="s">
        <v>230</v>
      </c>
      <c r="C36" s="918" t="s">
        <v>231</v>
      </c>
      <c r="D36" s="919"/>
      <c r="E36" s="918" t="s">
        <v>232</v>
      </c>
      <c r="F36" s="919"/>
      <c r="G36" s="918" t="s">
        <v>233</v>
      </c>
      <c r="H36" s="919"/>
      <c r="I36" s="918" t="s">
        <v>234</v>
      </c>
      <c r="J36" s="919"/>
    </row>
    <row r="37" spans="2:10" ht="19.649999999999999" customHeight="1">
      <c r="B37" s="235" t="str">
        <f>IF($G$14="Seçiniz."," ",IF($G$14="Ürün 1",IF(Sayfa1!C23="DİĞER",Sayfa1!D23,IF(OR(Sayfa1!C23="Seçiniz",Sayfa1!C23=""),"",Sayfa1!C23)),
IF($G$14="Ürün 2",IF(Sayfa1!E23="DİĞER",Sayfa1!F23,Sayfa1!E23),
IF($G$14="Ürün 3",IF(Sayfa1!G23="DİĞER",Sayfa1!H23,Sayfa1!G23),
IF($G$14="Ürün 4",IF(Sayfa1!I23="DİĞER",Sayfa1!J23,Sayfa1!I23),
IF($G$14="Ürün 5",IF(Sayfa1!K23="DİĞER",Sayfa1!L23,Sayfa1!K23),
IF($G$14="Ürün 6",IF(Sayfa1!M23="DİĞER",Sayfa1!N23,Sayfa1!M23))))))))</f>
        <v xml:space="preserve"> </v>
      </c>
      <c r="C37" s="888" t="str">
        <f>IF(OR($G$14="Seçiniz.",Sayfa1!C26="Seçiniz.")," ",
IF($G$14="Ürün 1",Sayfa1!C26,
IF($G$14="Ürün 2",Sayfa1!E26,
IF($G$14="Ürün 3",Sayfa1!G26,
IF($G$14="Ürün 4",Sayfa1!I26,
IF($G$14="Ürün 5",Sayfa1!K26,
IF($G$14="Ürün 6",Sayfa1!M26,)))))))</f>
        <v xml:space="preserve"> </v>
      </c>
      <c r="D37" s="889"/>
      <c r="E37" s="890" t="str">
        <f>IF($G$14="Seçiniz."," ",IF($G$14="Ürün 1",IF(OR(Sayfa1!C27="Seçiniz.",Sayfa1!C27=""),"",Sayfa1!C27),IF($G$14="Ürün 2",IF(OR(Sayfa1!E27="Seçiniz.",Sayfa1!E27=""),"",Sayfa1!E27),IF($G$14="Ürün 3",IF(OR(Sayfa1!G27="Seçiniz.",Sayfa1!G27=""),"",Sayfa1!G27),IF($G$14="Ürün 4",IF(OR(Sayfa1!I27="Seçiniz.",Sayfa1!I27=""),"",Sayfa1!I27),IF($G$14="Ürün 5",IF(OR(Sayfa1!K27="Seçiniz.",Sayfa1!K27=""),"",Sayfa1!K27),IF($G$14="Ürün 6",IF(OR(Sayfa1!M27="Seçiniz.",Sayfa1!M27=""),"",Sayfa1!M27))))))))</f>
        <v xml:space="preserve"> </v>
      </c>
      <c r="F37" s="891"/>
      <c r="G37" s="892" t="str">
        <f>IF(C40="YOK"," ",IF($G$14="Seçiniz."," ",IF($G$14="Ürün 1",IF(OR(Sayfa1!C30="Seçiniz.",Sayfa1!C30=""),"",Sayfa1!C30),IF($G$14="Ürün 2",IF(OR(Sayfa1!E30="Seçiniz.",Sayfa1!E30=""),"",Sayfa1!E30),IF($G$14="Ürün 3",IF(OR(Sayfa1!G30="Seçiniz.",Sayfa1!G30=""),"",Sayfa1!G30),IF($G$14="Ürün 4",IF(OR(Sayfa1!I30="Seçiniz.",Sayfa1!I30=""),"",Sayfa1!I30),IF($G$14="Ürün 5",IF(OR(Sayfa1!K30="Seçiniz.",Sayfa1!K30=""),"",Sayfa1!K30),IF($G$14="Ürün 6",IF(OR(Sayfa1!M30="Seçiniz.",Sayfa1!M30=""),"",Sayfa1!M30)))))))))</f>
        <v xml:space="preserve"> </v>
      </c>
      <c r="H37" s="893"/>
      <c r="I37" s="876"/>
      <c r="J37" s="877"/>
    </row>
    <row r="38" spans="2:10" ht="19.649999999999999" customHeight="1">
      <c r="B38" s="235" t="str">
        <f>IF($G$14="Seçiniz.", " ", IF($G$14="Ürün 1",IF(Sayfa1!C24="DİĞER",Sayfa1!D24,IF(OR(Sayfa1!C24="Seçiniz",Sayfa1!C24=""),"",Sayfa1!C24)),
    IF($G$14="Ürün 2",IF(Sayfa1!E24="DİĞER",Sayfa1!F24,IF(OR(Sayfa1!E24="Seçiniz",Sayfa1!E24=""),"",Sayfa1!E24)),
    IF($G$14="Ürün 3",IF(Sayfa1!G24="DİĞER",Sayfa1!H24,IF(OR(Sayfa1!G24="Seçiniz",Sayfa1!G24=""),"",Sayfa1!G24)),
    IF($G$14="Ürün 4",IF(Sayfa1!I24="DİĞER",Sayfa1!J24,IF(OR(Sayfa1!I24="Seçiniz",Sayfa1!I24=""),"",Sayfa1!I24)),
    IF($G$14="Ürün 5",IF(Sayfa1!K24="DİĞER",Sayfa1!L24,IF(OR(Sayfa1!K24="Seçiniz",Sayfa1!K24=""),"",Sayfa1!K24)),
    IF($G$14="Ürün 6", IF(Sayfa1!M24="DİĞER",Sayfa1!N24,IF(OR(Sayfa1!M24="Seçiniz",Sayfa1!M24=""),"",Sayfa1!M24)))))))))</f>
        <v xml:space="preserve"> </v>
      </c>
      <c r="C38" s="894" t="str">
        <f>IF($G$14="Seçiniz."," ",IF($G$14="Ürün 1",IF(Sayfa1!D26="","",Sayfa1!D26),IF($G$14="Ürün 2",IF(Sayfa1!F26="","",Sayfa1!F26),IF($G$14="Ürün 3",IF(Sayfa1!H26="","",Sayfa1!H26),IF($G$14="Ürün 4",IF(Sayfa1!J26="","",Sayfa1!J26),IF($G$14="Ürün 5",IF(Sayfa1!L26="","",Sayfa1!L26),IF($G$14="Ürün 6",IF(Sayfa1!N26="","",Sayfa1!N26))))))))</f>
        <v xml:space="preserve"> </v>
      </c>
      <c r="D38" s="895"/>
      <c r="E38" s="896" t="s">
        <v>591</v>
      </c>
      <c r="F38" s="897"/>
      <c r="G38" s="920" t="str">
        <f>IF(G14="Seçiniz."," ",IF(G14="Ürün 1",IF(Sayfa1!D30="","",Sayfa1!D30),IF(G14="Ürün 2",IF(Sayfa1!F30="","",Sayfa1!F30),IF(G14="Ürün 3",IF(Sayfa1!H30="","",Sayfa1!H30),IF(G14="Ürün 4",IF(Sayfa1!J30="","",Sayfa1!J30),IF(G14="Ürün 5",IF(Sayfa1!L30="","",Sayfa1!L30),IF(G14="Ürün 6",IF(Sayfa1!N30="","",Sayfa1!N30))))))))</f>
        <v xml:space="preserve"> </v>
      </c>
      <c r="H38" s="921"/>
      <c r="I38" s="878"/>
      <c r="J38" s="879"/>
    </row>
    <row r="39" spans="2:10" ht="19.649999999999999" customHeight="1">
      <c r="B39" s="236" t="str">
        <f>IF($G$14="Seçiniz."," ",IF($G$14="Ürün 1",IF(OR(Sayfa1!C25="Seçiniz.",Sayfa1!C25=""),"",CONCATENATE(Sayfa1!C25,"  ",Sayfa1!D25)),IF($G$14="Ürün 2",IF(OR(Sayfa1!E25="Seçiniz.",Sayfa1!E25=""),"",CONCATENATE(Sayfa1!E25,"  ",Sayfa1!F25)),IF($G$14="Ürün 3",IF(OR(Sayfa1!G25="Seçiniz.",Sayfa1!G25=""),"",CONCATENATE(Sayfa1!G25,"  ",Sayfa1!H25)),IF($G$14="Ürün 4",IF(OR(Sayfa1!I25="Seçiniz.",Sayfa1!I25=""),"",CONCATENATE(Sayfa1!I25,"  ",Sayfa1!J25)),IF($G$14="Ürün 5",IF(OR(Sayfa1!K25="Seçiniz.",Sayfa1!K25=""),"",CONCATENATE(Sayfa1!K25,"  ",Sayfa1!L25)),IF($G$14="Ürün 6",IF(OR(Sayfa1!M25="Seçiniz.",Sayfa1!M25=""),"",CONCATENATE(Sayfa1!M25,"  ",Sayfa1!N25)))))))))</f>
        <v xml:space="preserve"> </v>
      </c>
      <c r="C39" s="894"/>
      <c r="D39" s="895"/>
      <c r="E39" s="898" t="str">
        <f>IF($G$14="Seçiniz."," ",IF($G$14="Ürün 1",IF(OR(Sayfa1!C28="",Sayfa1!C28="Seçiniz."),"",IF(Sayfa1!C28="DİĞER",Sayfa1!D28,CONCATENATE(Sayfa1!C28,"/ ",Sayfa1!D28))),
IF($G$14="Ürün 2",IF(OR(Sayfa1!E28="",Sayfa1!E28="Seçiniz."),"",IF(Sayfa1!E28="DİĞER",Sayfa1!F28,CONCATENATE(Sayfa1!E28,"/ ",Sayfa1!F28))),
IF($G$14="Ürün 3",IF(OR(Sayfa1!G28="",Sayfa1!G28="Seçiniz."),"",IF(Sayfa1!G28="DİĞER",Sayfa1!H28,CONCATENATE(Sayfa1!G28,"/ ",Sayfa1!H28))),
IF($G$14="Ürün 4",IF(OR(Sayfa1!I28="",Sayfa1!I28="Seçiniz."),"",IF(Sayfa1!I28="DİĞER",Sayfa1!J28,CONCATENATE(Sayfa1!I28,"/ ",Sayfa1!J28))),
IF($G$14="Ürün 5",IF(OR(Sayfa1!K28="",Sayfa1!K28="Seçiniz."),"",IF(Sayfa1!K28="DİĞER",Sayfa1!L28,CONCATENATE(Sayfa1!K28,"/ ",Sayfa1!L28))),
IF($G$14="Ürün 6",IF(OR(Sayfa1!M28="",Sayfa1!M28="Seçiniz."),"",IF(Sayfa1!M28="DİĞER",Sayfa1!N28,CONCATENATE(Sayfa1!M28,"/ ",Sayfa1N28))))))))))</f>
        <v xml:space="preserve"> </v>
      </c>
      <c r="F39" s="899"/>
      <c r="G39" s="922"/>
      <c r="H39" s="923"/>
      <c r="I39" s="878"/>
      <c r="J39" s="879"/>
    </row>
    <row r="40" spans="2:10" ht="19.649999999999999" customHeight="1" thickBot="1">
      <c r="B40" s="184"/>
      <c r="C40" s="900"/>
      <c r="D40" s="901"/>
      <c r="E40" s="882" t="str">
        <f>IF($G$14="Seçiniz."," ",IF($G$14="Ürün 1",IF(OR(Sayfa1!C29="",Sayfa1!C29="Seçiniz."),"",IF(Sayfa1!C29="DİĞER",Sayfa1!D28,CONCATENATE(Sayfa1!C29,"/ ",Sayfa1!D29))),
IF($G$14="Ürün 2",IF(OR(Sayfa1!E29="",Sayfa1!E29="Seçiniz."),"",IF(Sayfa1!E29="DİĞER",Sayfa1!F29,CONCATENATE(Sayfa1!E29,"/ ",Sayfa1!F29))),
IF($G$14="Ürün 3",IF(OR(Sayfa1!G29="",Sayfa1!G29="Seçiniz."),"",IF(Sayfa1!G29="DİĞER",Sayfa1!H29,CONCATENATE(Sayfa1!G29,"/ ",Sayfa1!H29))),
IF($G$14="Ürün 4",IF(OR(Sayfa1!I29="",Sayfa1!I29="Seçiniz."),"",IF(Sayfa1!I29="DİĞER",Sayfa1!J29,CONCATENATE(Sayfa1!I29,"/ ",Sayfa1!J29))),
IF($G$14="Ürün 5",IF(OR(Sayfa1!K29="",Sayfa1!K29="Seçiniz."),"",IF(Sayfa1!K29="DİĞER",Sayfa1!L29,CONCATENATE(Sayfa1!K29,"/ ",Sayfa1!L29))),
IF($G$14="Ürün 6",IF(OR(Sayfa1!M29="",Sayfa1!M29="Seçiniz."),"",IF(Sayfa1!M29="DİĞER",Sayfa1!N29,CONCATENATE(Sayfa1!M29,"/ ",Sayfa1N29))))))))))</f>
        <v xml:space="preserve"> </v>
      </c>
      <c r="F40" s="883"/>
      <c r="G40" s="902"/>
      <c r="H40" s="903"/>
      <c r="I40" s="878"/>
      <c r="J40" s="879"/>
    </row>
    <row r="41" spans="2:10" ht="19.649999999999999" customHeight="1">
      <c r="B41" s="904"/>
      <c r="C41" s="905"/>
      <c r="D41" s="905"/>
      <c r="E41" s="905"/>
      <c r="F41" s="906"/>
      <c r="G41" s="884"/>
      <c r="H41" s="885"/>
      <c r="I41" s="878"/>
      <c r="J41" s="879"/>
    </row>
    <row r="42" spans="2:10" ht="19.649999999999999" customHeight="1">
      <c r="B42" s="907"/>
      <c r="C42" s="908"/>
      <c r="D42" s="908"/>
      <c r="E42" s="908"/>
      <c r="F42" s="909"/>
      <c r="G42" s="886"/>
      <c r="H42" s="887"/>
      <c r="I42" s="878"/>
      <c r="J42" s="879"/>
    </row>
    <row r="43" spans="2:10" ht="19.649999999999999" customHeight="1">
      <c r="B43" s="907"/>
      <c r="C43" s="908"/>
      <c r="D43" s="908"/>
      <c r="E43" s="908"/>
      <c r="F43" s="909"/>
      <c r="G43" s="870"/>
      <c r="H43" s="871"/>
      <c r="I43" s="878"/>
      <c r="J43" s="879"/>
    </row>
    <row r="44" spans="2:10" ht="19.649999999999999" customHeight="1">
      <c r="B44" s="907"/>
      <c r="C44" s="908"/>
      <c r="D44" s="908"/>
      <c r="E44" s="908"/>
      <c r="F44" s="909"/>
      <c r="G44" s="872"/>
      <c r="H44" s="873"/>
      <c r="I44" s="878"/>
      <c r="J44" s="879"/>
    </row>
    <row r="45" spans="2:10" ht="19.649999999999999" customHeight="1" thickBot="1">
      <c r="B45" s="907"/>
      <c r="C45" s="908"/>
      <c r="D45" s="908"/>
      <c r="E45" s="908"/>
      <c r="F45" s="909"/>
      <c r="G45" s="874"/>
      <c r="H45" s="875"/>
      <c r="I45" s="880"/>
      <c r="J45" s="881"/>
    </row>
    <row r="46" spans="2:10" ht="19.649999999999999" customHeight="1" thickBot="1">
      <c r="B46" s="910"/>
      <c r="C46" s="911"/>
      <c r="D46" s="911"/>
      <c r="E46" s="911"/>
      <c r="F46" s="912"/>
      <c r="G46" s="185"/>
      <c r="H46" s="185"/>
      <c r="I46" s="185"/>
      <c r="J46" s="186"/>
    </row>
    <row r="47" spans="2:10" ht="19.649999999999999" customHeight="1" thickBot="1">
      <c r="B47" s="838" t="s">
        <v>235</v>
      </c>
      <c r="C47" s="839"/>
      <c r="D47" s="839"/>
      <c r="E47" s="840"/>
      <c r="F47" s="791" t="s">
        <v>236</v>
      </c>
      <c r="G47" s="792"/>
      <c r="H47" s="792"/>
      <c r="I47" s="792"/>
      <c r="J47" s="793"/>
    </row>
    <row r="48" spans="2:10" ht="19.649999999999999" customHeight="1" thickBot="1">
      <c r="B48" s="841" t="s">
        <v>237</v>
      </c>
      <c r="C48" s="842"/>
      <c r="D48" s="842"/>
      <c r="E48" s="843"/>
      <c r="F48" s="844" t="s">
        <v>238</v>
      </c>
      <c r="G48" s="845"/>
      <c r="H48" s="845"/>
      <c r="I48" s="846" t="str">
        <f>IF($G$14="Seçiniz."," ",
IF($G$14="Ürün 1",IF(Sayfa1!C55="Diğer",Sayfa1!D55,IF(OR(Sayfa1!C55="Seçiniz.",Sayfa1!C55=""),"",CONCATENATE(Sayfa1!C55," ",Sayfa1!D55))),
IF($G$14="Ürün 2",IF(Sayfa1!E55="Diğer",Sayfa1!F55,IF(OR(Sayfa1!E55="Seçiniz.",Sayfa1!E55=""),"",CONCATENATE(Sayfa1!E55," ",Sayfa1!F55))),
IF($G$14="Ürün 3",IF(Sayfa1!G55="Diğer",Sayfa1!H55,IF(OR(Sayfa1!G55="Seçiniz.",Sayfa1!G55=""),"",CONCATENATE(Sayfa1!G55," ",Sayfa1!H55))),
IF($G$14="Ürün 4",IF(Sayfa1!I55="Diğer",Sayfa1!J55,IF(OR(Sayfa1!I55="Seçiniz.",Sayfa1!I55=""),"",CONCATENATE(Sayfa1!I55," ",Sayfa1!J55))),
IF($G$14="Ürün 5",IF(Sayfa1!K55="Diğer",Sayfa1!L55,IF(OR(Sayfa1!K55="Seçiniz.",Sayfa1!K55=""),"",CONCATENATE(Sayfa1!K55," ",Sayfa1!L55))),
IF($G$14="Ürün 6",IF(Sayfa1!M55="Diğer",Sayfa1!N55,IF(OR(Sayfa1!M55="Seçiniz.",Sayfa1!M55=""),"",CONCATENATE(Sayfa1!M55," ",Sayfa1!N55))),
" "
)))))))</f>
        <v xml:space="preserve"> </v>
      </c>
      <c r="J48" s="847"/>
    </row>
    <row r="49" spans="2:10" ht="19.649999999999999" customHeight="1" thickBot="1">
      <c r="B49" s="823"/>
      <c r="C49" s="824"/>
      <c r="D49" s="824"/>
      <c r="E49" s="825"/>
      <c r="F49" s="848" t="s">
        <v>239</v>
      </c>
      <c r="G49" s="849"/>
      <c r="H49" s="849"/>
      <c r="I49" s="850"/>
      <c r="J49" s="851"/>
    </row>
    <row r="50" spans="2:10" ht="19.649999999999999" customHeight="1">
      <c r="B50" s="774" t="s">
        <v>240</v>
      </c>
      <c r="C50" s="775"/>
      <c r="D50" s="775"/>
      <c r="E50" s="776"/>
      <c r="F50" s="777" t="s">
        <v>241</v>
      </c>
      <c r="G50" s="778"/>
      <c r="H50" s="779"/>
      <c r="I50" s="780" t="str">
        <f>IF($G$14="Seçiniz."," ",
IF($G$14="Ürün 1",IF(Sayfa1!C56="Diğer",Sayfa1!D56,IF(OR(Sayfa1!C56="Seçiniz.",Sayfa1!C56=""),"",Sayfa1!C56)),
IF($G$14="Ürün 2",IF(Sayfa1!E56="Diğer",Sayfa1!F56,IF(OR(Sayfa1!E56="Seçiniz.",Sayfa1!E56=""),"",Sayfa1!E56)),
IF($G$14="Ürün 3",IF(Sayfa1!G56="Diğer",Sayfa1!H56,IF(OR(Sayfa1!G56="Seçiniz.",Sayfa1!G56=""),"",Sayfa1!G56)),
IF($G$14="Ürün 4",IF(Sayfa1!I56="Diğer",Sayfa1!J56,IF(OR(Sayfa1!I56="Seçiniz.",Sayfa1!I56=""),"",Sayfa1!I56)),
IF($G$14="Ürün 5",IF(Sayfa1!K56="Diğer",Sayfa1!L56,IF(OR(Sayfa1!L56="Seçiniz.",Sayfa1!L56=""),"",Sayfa1!L56)),
IF($G$14="Ürün 6",IF(Sayfa1!M56="Diğer",Sayfa1!N56,IF(OR(Sayfa1!M56="Seçiniz.",Sayfa1!M56=""),"",Sayfa1!M56)),
" "
)))))))</f>
        <v xml:space="preserve"> </v>
      </c>
      <c r="J50" s="781"/>
    </row>
    <row r="51" spans="2:10" ht="19.649999999999999" customHeight="1">
      <c r="B51" s="854">
        <f>Sayfa1!D48</f>
        <v>0</v>
      </c>
      <c r="C51" s="855"/>
      <c r="D51" s="855"/>
      <c r="E51" s="856"/>
      <c r="F51" s="826" t="s">
        <v>493</v>
      </c>
      <c r="G51" s="827"/>
      <c r="H51" s="828"/>
      <c r="I51" s="852" t="str">
        <f>IF(G14="Seçiniz.","",IF(G14="Ürün 1",IF(OR(Sayfa1!C57="SEÇİNİZ.",Sayfa1!C57=""),"",CONCATENATE(Sayfa1!C57," ",Sayfa1!D57)),IF(G14="Ürün 2",IF(OR(Sayfa1!E57="SEÇİNİZ.",Sayfa1!E57=""),"",CONCATENATE(Sayfa1!E57," ",Sayfa1!F57)),IF(G14="Ürün 3",IF(OR(Sayfa1!G57="SEÇİNİZ.",Sayfa1!G57=""),"",CONCATENATE(Sayfa1!G57," ",Sayfa1!H57)),IF(G14="Ürün 4",IF(OR(Sayfa1!I57="SEÇİNİZ.",Sayfa1!I57=""),"",CONCATENATE(Sayfa1!I57," ",Sayfa1!J57)),IF(G14="Ürün 5",IF(OR(Sayfa1!K57="SEÇİNİZ.",Sayfa1!K57=""),"",CONCATENATE(Sayfa1!K57," ",Sayfa1!L57)),IF(G14="Ürün 6",IF(OR(Sayfa1!M57="SEÇİNİZ.",Sayfa1!M57=""),"",CONCATENATE(Sayfa1!M57," ",Sayfa1!N57)))))))))</f>
        <v/>
      </c>
      <c r="J51" s="853"/>
    </row>
    <row r="52" spans="2:10" ht="19.649999999999999" customHeight="1">
      <c r="B52" s="854"/>
      <c r="C52" s="855"/>
      <c r="D52" s="855"/>
      <c r="E52" s="856"/>
      <c r="F52" s="826" t="s">
        <v>242</v>
      </c>
      <c r="G52" s="827"/>
      <c r="H52" s="828"/>
      <c r="I52" s="829" t="str">
        <f>IF($G$14="Seçiniz."," ",
IF($G$14="Ürün 1",IF(Sayfa1!C58="Diğer",Sayfa1!D58,IF(OR(Sayfa1!C58="Seçiniz.",Sayfa1!C58=""),"",Sayfa1!C58)),
IF($G$14="Ürün 2",IF(Sayfa1!E58="Diğer",Sayfa1!F58,IF(OR(Sayfa1!E58="Seçiniz.",Sayfa1!E58=""),"",Sayfa1!E58)),
IF($G$14="Ürün 3",IF(Sayfa1!G58="Diğer",Sayfa1!H58,IF(OR(Sayfa1!G58="Seçiniz.",Sayfa1!G58=""),"",Sayfa1!G58)),
IF($G$14="Ürün 4",IF(Sayfa1!I58="Diğer",Sayfa1!J58,IF(OR(Sayfa1!I58="Seçiniz.",Sayfa1!I58=""),"",Sayfa1!I58)),
IF($G$14="Ürün 5",IF(Sayfa1!K58="Diğer",Sayfa1!L58,IF(OR(Sayfa1!K58="Seçiniz.",Sayfa1!K58=""),"",Sayfa1!K58)),
IF($G$14="Ürün 6",IF(Sayfa1!M58="Diğer",Sayfa1!N58,IF(OR(Sayfa1!M58="Seçiniz.",Sayfa1!M58=""),"",Sayfa1!M58)),
" "
)))))))</f>
        <v xml:space="preserve"> </v>
      </c>
      <c r="J52" s="830"/>
    </row>
    <row r="53" spans="2:10" ht="19.649999999999999" customHeight="1">
      <c r="B53" s="854"/>
      <c r="C53" s="855"/>
      <c r="D53" s="855"/>
      <c r="E53" s="856"/>
      <c r="F53" s="826" t="s">
        <v>243</v>
      </c>
      <c r="G53" s="827"/>
      <c r="H53" s="828"/>
      <c r="I53" s="831"/>
      <c r="J53" s="832"/>
    </row>
    <row r="54" spans="2:10" ht="19.649999999999999" customHeight="1" thickBot="1">
      <c r="B54" s="854"/>
      <c r="C54" s="855"/>
      <c r="D54" s="855"/>
      <c r="E54" s="856"/>
      <c r="F54" s="833" t="s">
        <v>244</v>
      </c>
      <c r="G54" s="834"/>
      <c r="H54" s="835"/>
      <c r="I54" s="836"/>
      <c r="J54" s="837"/>
    </row>
    <row r="55" spans="2:10" ht="19.649999999999999" customHeight="1" thickBot="1">
      <c r="B55" s="854"/>
      <c r="C55" s="855"/>
      <c r="D55" s="855"/>
      <c r="E55" s="856"/>
      <c r="F55" s="865" t="s">
        <v>714</v>
      </c>
      <c r="G55" s="866"/>
      <c r="H55" s="867"/>
      <c r="I55" s="868"/>
      <c r="J55" s="869"/>
    </row>
    <row r="56" spans="2:10" ht="19.649999999999999" customHeight="1" thickBot="1">
      <c r="B56" s="854"/>
      <c r="C56" s="855"/>
      <c r="D56" s="855"/>
      <c r="E56" s="856"/>
      <c r="F56" s="860" t="s">
        <v>245</v>
      </c>
      <c r="G56" s="861"/>
      <c r="H56" s="862"/>
      <c r="I56" s="863"/>
      <c r="J56" s="864"/>
    </row>
    <row r="57" spans="2:10" ht="19.649999999999999" customHeight="1" thickBot="1">
      <c r="B57" s="857"/>
      <c r="C57" s="858"/>
      <c r="D57" s="858"/>
      <c r="E57" s="859"/>
      <c r="F57" s="791" t="s">
        <v>246</v>
      </c>
      <c r="G57" s="792"/>
      <c r="H57" s="792"/>
      <c r="I57" s="792"/>
      <c r="J57" s="793"/>
    </row>
    <row r="58" spans="2:10" ht="19.649999999999999" customHeight="1">
      <c r="B58" s="191" t="s">
        <v>567</v>
      </c>
      <c r="C58" s="759" t="str">
        <f>IF($G$14="Seçiniz."," ",IF($G$14="Ürün 1",IF(OR(Sayfa1!C64="Seçiniz.",Sayfa1!C64=""),"",Sayfa1!C64),IF($G$14="Ürün 2",IF(OR(Sayfa1!E64="Seçiniz.",Sayfa1!E64=""),"",Sayfa1!E64),IF($G$14="Ürün 3",IF(OR(Sayfa1!G64="Seçiniz.",Sayfa1!G64=""),"",Sayfa1!G64),IF($G$14="Ürün 4",IF(OR(Sayfa1!I64="Seçiniz.",Sayfa1!I64=""),"",Sayfa1!I64),IF($G$14="Ürün 5",IF(OR(Sayfa1!K64="Seçiniz.",Sayfa1!K64=""),"",Sayfa1!K64),IF($G$14="Ürün 6",IF(OR(Sayfa1!M64="Seçiniz.",Sayfa1!M64=""),"",Sayfa1!M64))))))))</f>
        <v xml:space="preserve"> </v>
      </c>
      <c r="D58" s="759"/>
      <c r="E58" s="760"/>
      <c r="F58" s="761" t="str">
        <f>IF($G$14="Seçiniz."," ",IF($G$14="Ürün 1",IF(Sayfa1!C59="VAR",CONCATENATE(Sayfa1!C59," ",Sayfa1!D59),"YOK"),IF($G$14="Ürün 2",IF(Sayfa1!E59="VAR",CONCATENATE(Sayfa1!E59," ",Sayfa1!F59),"YOK"),IF($G$14="Ürün 3",IF(Sayfa1!G59="VAR",CONCATENATE(Sayfa1!G59," ",Sayfa1!H59),"YOK"),IF($G$14="Ürün 4",IF(Sayfa1!I59="VAR",CONCATENATE(Sayfa1!I59," ",Sayfa1!J59),"YOK"),IF($G$14="Ürün 5",IF(Sayfa1!K59="VAR",CONCATENATE(Sayfa1!K59," ",Sayfa1!L59),"YOK"),IF($G$14="Ürün 6",IF(Sayfa1!M59="VAR",CONCATENATE(Sayfa1!M59," ",Sayfa1!N59),"YOK"),)))))))</f>
        <v xml:space="preserve"> </v>
      </c>
      <c r="G58" s="762"/>
      <c r="H58" s="762"/>
      <c r="I58" s="762"/>
      <c r="J58" s="763"/>
    </row>
    <row r="59" spans="2:10" ht="19.649999999999999" customHeight="1">
      <c r="B59" s="192" t="s">
        <v>711</v>
      </c>
      <c r="C59" s="770" t="str">
        <f>IF($G$14="Seçiniz."," ",IF($G$14="Ürün 1",IF(OR(Sayfa1!C54="Seçiniz.",Sayfa1!C54=""),"",Sayfa1!C54),IF($G$14="Ürün 2",IF(OR(Sayfa1!E54="Seçiniz.",Sayfa1!E54=""),"",Sayfa1!E54),IF($G$14="Ürün 3",IF(OR(Sayfa1!G54="Seçiniz.",Sayfa1!G54=""),"",Sayfa1!G54),IF($G$14="Ürün 4",IF(OR(Sayfa1!I54="Seçiniz.",Sayfa1!I54=""),"",Sayfa1!I54),IF($G$14="Ürün 5",IF(OR(Sayfa1!K54="Seçiniz.",Sayfa1!K54=""),"",Sayfa1!K54),IF($G$14="Ürün 6",IF(OR(Sayfa1!M54="Seçiniz.",Sayfa1!M54=""),"",Sayfa1!M54))))))))</f>
        <v xml:space="preserve"> </v>
      </c>
      <c r="D59" s="770"/>
      <c r="E59" s="771"/>
      <c r="F59" s="764"/>
      <c r="G59" s="765"/>
      <c r="H59" s="765"/>
      <c r="I59" s="765"/>
      <c r="J59" s="766"/>
    </row>
    <row r="60" spans="2:10" ht="19.649999999999999" customHeight="1">
      <c r="B60" s="193" t="s">
        <v>248</v>
      </c>
      <c r="C60" s="772" t="s">
        <v>1129</v>
      </c>
      <c r="D60" s="772"/>
      <c r="E60" s="773"/>
      <c r="F60" s="764"/>
      <c r="G60" s="765"/>
      <c r="H60" s="765"/>
      <c r="I60" s="765"/>
      <c r="J60" s="766"/>
    </row>
    <row r="61" spans="2:10" ht="21" customHeight="1" thickBot="1">
      <c r="B61" s="193" t="s">
        <v>249</v>
      </c>
      <c r="C61" s="187" t="str">
        <f>IF($G$14="Seçiniz."," ",IF($G$14="Ürün 1",IF(Sayfa1!C48="Diğer",Sayfa1!D48,IF(OR(Sayfa1!C48="Seçiniz.",Sayfa1!C48=""),"",Sayfa1!C48)),IF($G$14="Ürün 2",IF(Sayfa1!E48="Diğer",Sayfa1!F48,IF(OR(Sayfa1!E48="Seçiniz.",Sayfa1!E48=""),"",Sayfa1!E48)),IF($G$14="Ürün 3",IF(Sayfa1!G48="Diğer",Sayfa1!H48,IF(OR(Sayfa1!G48="Seçiniz.",Sayfa1!G48=""),"",Sayfa1!G48)),IF($G$14="Ürün 4",IF(Sayfa1!I48="Diğer",Sayfa1!J48,IF(OR(Sayfa1!I48="Seçiniz.",Sayfa1!I48=""),"",Sayfa1!I48)),IF($G$14="Ürün 5",IF(Sayfa1!K48="Diğer",Sayfa1!L48,IF(OR(Sayfa1!K48="Seçiniz.",Sayfa1!K48=""),"",Sayfa1!K48)),IF($G$14="Ürün 6",IF(Sayfa1!M48="Diğer",Sayfa1!N48,IF(OR(Sayfa1!M48="Seçiniz.",Sayfa1!M48=""),"",Sayfa1!M48)))))))))</f>
        <v xml:space="preserve"> </v>
      </c>
      <c r="D61" s="188" t="s">
        <v>1130</v>
      </c>
      <c r="E61" s="189" t="str">
        <f>IF($G$14="Seçiniz."," ",IF($G$14="Ürün 1",IF(Sayfa1!C51="","",Sayfa1!C51),IF($G$14="Ürün 2",IF(Sayfa1!E51="","",Sayfa1!E51),IF($G$14="Ürün 3",IF(Sayfa1!G51="","",Sayfa1!G51),IF($G$14="Ürün 4",IF(Sayfa1!I51="","",Sayfa1!I51),IF($G$14="Ürün 5",IF(Sayfa1!K51="","",Sayfa1!K51),IF($G$14="Ürün 6",IF(Sayfa1!M51="","",Sayfa1!M51))))))))</f>
        <v xml:space="preserve"> </v>
      </c>
      <c r="F61" s="767"/>
      <c r="G61" s="768"/>
      <c r="H61" s="768"/>
      <c r="I61" s="768"/>
      <c r="J61" s="769"/>
    </row>
    <row r="62" spans="2:10" ht="19.649999999999999" customHeight="1" thickBot="1">
      <c r="B62" s="193" t="s">
        <v>251</v>
      </c>
      <c r="C62" s="815"/>
      <c r="D62" s="815"/>
      <c r="E62" s="816"/>
      <c r="F62" s="791" t="s">
        <v>252</v>
      </c>
      <c r="G62" s="792"/>
      <c r="H62" s="792"/>
      <c r="I62" s="792"/>
      <c r="J62" s="793"/>
    </row>
    <row r="63" spans="2:10" ht="19.649999999999999" customHeight="1">
      <c r="B63" s="192" t="s">
        <v>253</v>
      </c>
      <c r="C63" s="817" t="str">
        <f>IF($G$14="Seçiniz.","",IF($G$14="Ürün 1",IF(Sayfa1!C52="","",Sayfa1!C52),IF($G$14="Ürün 2",IF(Sayfa1!E52="","",Sayfa1!E52),IF($G$14="Ürün 3",IF(Sayfa1!G52="","",Sayfa1!G52),IF($G$14="Ürün 4",IF(Sayfa1!I52="","",Sayfa1!I52),IF($G$14="Ürün 5",IF(Sayfa1!K52="","",Sayfa1!K52),IF($G$14="Ürün 6",IF(Sayfa1!M52="","",Sayfa1!M52))))))))</f>
        <v/>
      </c>
      <c r="D63" s="818"/>
      <c r="E63" s="819"/>
      <c r="F63" s="794" t="str">
        <f>IF($G$14="Seçiniz."," ",IF($G$14="Ürün 1",IF(Sayfa1!C60="","",Sayfa1!C60),IF($G$14="Ürün 2",IF(Sayfa1!E60="","",Sayfa1!E60),IF($G$14="Ürün 3",IF(Sayfa1!G60="","",Sayfa1!G60),IF($G$14="Ürün 4",IF(Sayfa1!I60="","",Sayfa1!I60),IF($G$14="Ürün 5",IF(Sayfa1!K60="","",Sayfa1!K60),IF($G$14="Ürün 6",IF(Sayfa1!M60="","",Sayfa1!M60),)))))))</f>
        <v xml:space="preserve"> </v>
      </c>
      <c r="G63" s="795"/>
      <c r="H63" s="795"/>
      <c r="I63" s="795"/>
      <c r="J63" s="796"/>
    </row>
    <row r="64" spans="2:10" ht="19.649999999999999" customHeight="1" thickBot="1">
      <c r="B64" s="194" t="s">
        <v>254</v>
      </c>
      <c r="C64" s="820" t="str">
        <f>IF($G$14="Seçiniz."," ",IF($G$14="Ürün 1",CONCATENATE("+",Sayfa1!C50),IF($G$14="Ürün 2",CONCATENATE("+",Sayfa1!E50),IF($G$14="Ürün 3",CONCATENATE("+",Sayfa1!G50),IF($G$14="Ürün 4",CONCATENATE("+",Sayfa1!I50),IF($G$14="Ürün 5",CONCATENATE("+",Sayfa1!K50),IF($G$14="Ürün 6",CONCATENATE("+",Sayfa1!M50),)))))))</f>
        <v xml:space="preserve"> </v>
      </c>
      <c r="D64" s="821"/>
      <c r="E64" s="822"/>
      <c r="F64" s="797"/>
      <c r="G64" s="798"/>
      <c r="H64" s="798"/>
      <c r="I64" s="798"/>
      <c r="J64" s="799"/>
    </row>
    <row r="65" spans="1:10" ht="19.649999999999999" customHeight="1" thickBot="1">
      <c r="B65" s="791" t="s">
        <v>255</v>
      </c>
      <c r="C65" s="792"/>
      <c r="D65" s="792"/>
      <c r="E65" s="793"/>
      <c r="F65" s="797"/>
      <c r="G65" s="798"/>
      <c r="H65" s="798"/>
      <c r="I65" s="798"/>
      <c r="J65" s="799"/>
    </row>
    <row r="66" spans="1:10" ht="19.649999999999999" customHeight="1">
      <c r="B66" s="803" t="s">
        <v>256</v>
      </c>
      <c r="C66" s="804"/>
      <c r="D66" s="804"/>
      <c r="E66" s="805"/>
      <c r="F66" s="797"/>
      <c r="G66" s="798"/>
      <c r="H66" s="798"/>
      <c r="I66" s="798"/>
      <c r="J66" s="799"/>
    </row>
    <row r="67" spans="1:10" ht="19.649999999999999" customHeight="1" thickBot="1">
      <c r="B67" s="823" t="str">
        <f>IF($G$14="Seçiniz."," ",IF($G$14="Ürün 1",IF(Sayfa1!C5="","",Sayfa1!C5),IF($G$14="Ürün 2",IF(Sayfa1!E5="","",Sayfa1!E5),IF($G$14="Ürün 3",IF(Sayfa1!G5="","",Sayfa1!G5),IF($G$14="Ürün 4",IF(Sayfa1!I5="","",Sayfa1!I5),IF($G$14="Ürün 5",IF(Sayfa1!K5="","",Sayfa1!K5),IF($G$14="Ürün 6",IF(Sayfa1!M5="","",Sayfa1!M5),)))))))</f>
        <v xml:space="preserve"> </v>
      </c>
      <c r="C67" s="824"/>
      <c r="D67" s="824"/>
      <c r="E67" s="825"/>
      <c r="F67" s="800"/>
      <c r="G67" s="801"/>
      <c r="H67" s="801"/>
      <c r="I67" s="801"/>
      <c r="J67" s="802"/>
    </row>
    <row r="68" spans="1:10" ht="19.649999999999999" customHeight="1" thickBot="1">
      <c r="B68" s="803" t="s">
        <v>257</v>
      </c>
      <c r="C68" s="804"/>
      <c r="D68" s="804"/>
      <c r="E68" s="805"/>
      <c r="F68" s="791" t="s">
        <v>258</v>
      </c>
      <c r="G68" s="792"/>
      <c r="H68" s="792"/>
      <c r="I68" s="792"/>
      <c r="J68" s="793"/>
    </row>
    <row r="69" spans="1:10" ht="19.649999999999999" customHeight="1">
      <c r="B69" s="806" t="str">
        <f>IF($G$14="Seçiniz."," ",IF($G$14="Ürün 1",IF(Sayfa1!C49="","",Sayfa1!C49),IF($G$14="Ürün 2",IF(Sayfa1!E49="","",Sayfa1!E49),IF($G$14="Ürün 3",IF(Sayfa1!G49="","",Sayfa1!G49),IF($G$14="Ürün 4",IF(Sayfa1!I49="","",Sayfa1!I49),IF($G$14="Ürün 5",IF(Sayfa1!K49="","",Sayfa1!K49),IF($G$14="Ürün 6",IF(Sayfa1!M49="","",Sayfa1!M49),)))))))</f>
        <v xml:space="preserve"> </v>
      </c>
      <c r="C69" s="807"/>
      <c r="D69" s="807"/>
      <c r="E69" s="808"/>
      <c r="F69" s="782"/>
      <c r="G69" s="783"/>
      <c r="H69" s="783"/>
      <c r="I69" s="783"/>
      <c r="J69" s="784"/>
    </row>
    <row r="70" spans="1:10" ht="19.649999999999999" customHeight="1">
      <c r="B70" s="809"/>
      <c r="C70" s="810"/>
      <c r="D70" s="810"/>
      <c r="E70" s="811"/>
      <c r="F70" s="785"/>
      <c r="G70" s="786"/>
      <c r="H70" s="786"/>
      <c r="I70" s="786"/>
      <c r="J70" s="787"/>
    </row>
    <row r="71" spans="1:10" ht="19.649999999999999" customHeight="1" thickBot="1">
      <c r="A71" s="190" t="str">
        <f>RIGHT(I52,2)</f>
        <v xml:space="preserve"> </v>
      </c>
      <c r="B71" s="812"/>
      <c r="C71" s="813"/>
      <c r="D71" s="813"/>
      <c r="E71" s="814"/>
      <c r="F71" s="788"/>
      <c r="G71" s="789"/>
      <c r="H71" s="789"/>
      <c r="I71" s="789"/>
      <c r="J71" s="790"/>
    </row>
    <row r="72" spans="1:10" ht="15.9" customHeight="1"/>
  </sheetData>
  <mergeCells count="112">
    <mergeCell ref="F2:G2"/>
    <mergeCell ref="H2:J2"/>
    <mergeCell ref="F3:G3"/>
    <mergeCell ref="H3:J3"/>
    <mergeCell ref="F4:G4"/>
    <mergeCell ref="H4:J4"/>
    <mergeCell ref="G13:J13"/>
    <mergeCell ref="G14:J14"/>
    <mergeCell ref="F8:G8"/>
    <mergeCell ref="H8:J8"/>
    <mergeCell ref="F9:G9"/>
    <mergeCell ref="H9:J9"/>
    <mergeCell ref="F10:G10"/>
    <mergeCell ref="C14:F14"/>
    <mergeCell ref="B11:D12"/>
    <mergeCell ref="F11:G11"/>
    <mergeCell ref="F5:G5"/>
    <mergeCell ref="H5:J5"/>
    <mergeCell ref="F6:G6"/>
    <mergeCell ref="H6:J6"/>
    <mergeCell ref="F7:G7"/>
    <mergeCell ref="H7:J7"/>
    <mergeCell ref="C13:F13"/>
    <mergeCell ref="D30:D31"/>
    <mergeCell ref="B27:B31"/>
    <mergeCell ref="C15:F15"/>
    <mergeCell ref="G15:J15"/>
    <mergeCell ref="C16:F16"/>
    <mergeCell ref="G16:G17"/>
    <mergeCell ref="H16:H17"/>
    <mergeCell ref="I16:I17"/>
    <mergeCell ref="J16:J17"/>
    <mergeCell ref="C17:F17"/>
    <mergeCell ref="B23:C23"/>
    <mergeCell ref="E23:G23"/>
    <mergeCell ref="I23:J23"/>
    <mergeCell ref="D18:F18"/>
    <mergeCell ref="E24:J24"/>
    <mergeCell ref="B25:J25"/>
    <mergeCell ref="C19:J19"/>
    <mergeCell ref="B20:J21"/>
    <mergeCell ref="B22:C22"/>
    <mergeCell ref="E22:G22"/>
    <mergeCell ref="I22:J22"/>
    <mergeCell ref="B24:C24"/>
    <mergeCell ref="D27:D28"/>
    <mergeCell ref="F32:J34"/>
    <mergeCell ref="C36:D36"/>
    <mergeCell ref="E36:F36"/>
    <mergeCell ref="G36:H36"/>
    <mergeCell ref="I36:J36"/>
    <mergeCell ref="G38:H39"/>
    <mergeCell ref="C32:D32"/>
    <mergeCell ref="C34:D34"/>
    <mergeCell ref="C33:D33"/>
    <mergeCell ref="B35:J35"/>
    <mergeCell ref="G43:H45"/>
    <mergeCell ref="I37:J45"/>
    <mergeCell ref="E40:F40"/>
    <mergeCell ref="G41:H41"/>
    <mergeCell ref="G42:H42"/>
    <mergeCell ref="C37:D37"/>
    <mergeCell ref="E37:F37"/>
    <mergeCell ref="G37:H37"/>
    <mergeCell ref="C38:D38"/>
    <mergeCell ref="E38:F38"/>
    <mergeCell ref="C39:D39"/>
    <mergeCell ref="E39:F39"/>
    <mergeCell ref="C40:D40"/>
    <mergeCell ref="G40:H40"/>
    <mergeCell ref="B41:F46"/>
    <mergeCell ref="I54:J54"/>
    <mergeCell ref="B47:E47"/>
    <mergeCell ref="F47:J47"/>
    <mergeCell ref="B48:E48"/>
    <mergeCell ref="F48:H48"/>
    <mergeCell ref="I48:J48"/>
    <mergeCell ref="B49:E49"/>
    <mergeCell ref="F49:H49"/>
    <mergeCell ref="I49:J49"/>
    <mergeCell ref="F51:H51"/>
    <mergeCell ref="I51:J51"/>
    <mergeCell ref="B51:E57"/>
    <mergeCell ref="F56:H56"/>
    <mergeCell ref="I56:J56"/>
    <mergeCell ref="F57:J57"/>
    <mergeCell ref="F55:H55"/>
    <mergeCell ref="I55:J55"/>
    <mergeCell ref="C58:E58"/>
    <mergeCell ref="F58:J61"/>
    <mergeCell ref="C59:E59"/>
    <mergeCell ref="C60:E60"/>
    <mergeCell ref="B50:E50"/>
    <mergeCell ref="F50:H50"/>
    <mergeCell ref="I50:J50"/>
    <mergeCell ref="F69:J71"/>
    <mergeCell ref="F68:J68"/>
    <mergeCell ref="F63:J67"/>
    <mergeCell ref="F62:J62"/>
    <mergeCell ref="B68:E68"/>
    <mergeCell ref="B69:E71"/>
    <mergeCell ref="C62:E62"/>
    <mergeCell ref="C63:E63"/>
    <mergeCell ref="C64:E64"/>
    <mergeCell ref="B65:E65"/>
    <mergeCell ref="B66:E66"/>
    <mergeCell ref="B67:E67"/>
    <mergeCell ref="F52:H52"/>
    <mergeCell ref="I52:J52"/>
    <mergeCell ref="F53:H53"/>
    <mergeCell ref="I53:J53"/>
    <mergeCell ref="F54:H54"/>
  </mergeCells>
  <phoneticPr fontId="1" type="noConversion"/>
  <conditionalFormatting sqref="C32:C34">
    <cfRule type="containsText" dxfId="11" priority="24" operator="containsText" text="VAR">
      <formula>NOT(ISERROR(SEARCH("VAR",C32)))</formula>
    </cfRule>
  </conditionalFormatting>
  <conditionalFormatting sqref="E32:E34">
    <cfRule type="containsText" dxfId="10" priority="25" operator="containsText" text="VAR">
      <formula>NOT(ISERROR(SEARCH("VAR",E32)))</formula>
    </cfRule>
  </conditionalFormatting>
  <conditionalFormatting sqref="E27:J28 E30 F30:I31">
    <cfRule type="cellIs" dxfId="9" priority="18" operator="equal">
      <formula>0</formula>
    </cfRule>
  </conditionalFormatting>
  <conditionalFormatting sqref="B37:B39">
    <cfRule type="containsText" dxfId="8" priority="21" operator="containsText" text="VAR">
      <formula>NOT(ISERROR(SEARCH("VAR",B37)))</formula>
    </cfRule>
  </conditionalFormatting>
  <dataValidations xWindow="502" yWindow="760" count="10">
    <dataValidation type="list" allowBlank="1" showInputMessage="1" showErrorMessage="1" sqref="H8:J8" xr:uid="{A10175A4-740D-4860-A3B6-24C1B37E51E7}">
      <formula1>INDIRECT($F$1)</formula1>
    </dataValidation>
    <dataValidation type="list" allowBlank="1" showInputMessage="1" showErrorMessage="1" sqref="C60:E60" xr:uid="{308910EF-80A7-44AC-AA5C-7A0BB71B9D8A}">
      <formula1>"SEÇİNİZ.,FARKETMEZ,LİFTLİ"</formula1>
    </dataValidation>
    <dataValidation allowBlank="1" showInputMessage="1" showErrorMessage="1" prompt="Lütfen ürün seçimine göre Proforma'daki ürün birim fiyatını giriniz!" sqref="H10" xr:uid="{82D819FD-96CA-46E6-BE5E-3A7033098788}"/>
    <dataValidation allowBlank="1" showInputMessage="1" showErrorMessage="1" prompt="Nakliye birim fiyatını giriniz." sqref="H11" xr:uid="{F6CFD95D-CA5E-4818-807A-49DB007D938D}"/>
    <dataValidation allowBlank="1" showInputMessage="1" showErrorMessage="1" prompt="EĞER BASKI TİPİ İÇ+DIŞ BASKI ise İÇ VE DIŞ BASKI SIRASIYLA GELMİŞTİR. " sqref="E23:G23" xr:uid="{18CF47B2-A78C-472F-B006-2AD8E50EC411}"/>
    <dataValidation allowBlank="1" showInputMessage="1" showErrorMessage="1" prompt="Fatura unvanı giriniz." sqref="B67:E67" xr:uid="{C51EC175-C21A-4B5C-BBAE-537BBB19C82A}"/>
    <dataValidation allowBlank="1" showInputMessage="1" showErrorMessage="1" prompt="Fatura adresi giriniz." sqref="B69:E71" xr:uid="{6272D4C5-888F-4409-AF46-B0FB1EF3883F}"/>
    <dataValidation allowBlank="1" showInputMessage="1" showErrorMessage="1" prompt="Doldurunuz." sqref="B49:E49" xr:uid="{E22748A9-0BE2-42FA-BE36-F1DB0436AE97}"/>
    <dataValidation allowBlank="1" showInputMessage="1" showErrorMessage="1" prompt="Yetkili kişiyi lütfen yazınız." sqref="C62:E62" xr:uid="{15630353-6950-4414-BF75-4A0BD446F130}"/>
    <dataValidation type="list" allowBlank="1" showInputMessage="1" showErrorMessage="1" sqref="H23" xr:uid="{A229571C-7CE2-441C-94B0-0E30C5E1B601}">
      <formula1>"Seçiniz.,PANTONE,ORİJİNAL,RPT,PROVA,MÜŞTERİ NUMUNE, MÜŞTERİ GELECEK,MÜŞTERİ TEMSİLCİSİ"</formula1>
    </dataValidation>
  </dataValidations>
  <printOptions horizontalCentered="1" verticalCentered="1"/>
  <pageMargins left="0.25" right="0.25" top="0.75" bottom="0.75" header="0.3" footer="0.3"/>
  <pageSetup paperSize="9" scale="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7" r:id="rId4" name="Button 5">
              <controlPr defaultSize="0" print="0" autoFill="0" autoPict="0" macro="[0]!ExcelKaydet">
                <anchor moveWithCells="1" sizeWithCells="1">
                  <from>
                    <xdr:col>11</xdr:col>
                    <xdr:colOff>251460</xdr:colOff>
                    <xdr:row>1</xdr:row>
                    <xdr:rowOff>175260</xdr:rowOff>
                  </from>
                  <to>
                    <xdr:col>14</xdr:col>
                    <xdr:colOff>350520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58FFFC22-0B68-48AF-BE24-EA8EC1B108BF}">
            <xm:f>Sayfa1!$C$1="TÜRK LİRASI"</xm:f>
            <x14:dxf>
              <numFmt numFmtId="182" formatCode="&quot;₺&quot;#,##0.000"/>
            </x14:dxf>
          </x14:cfRule>
          <x14:cfRule type="expression" priority="6" id="{804CAB32-301F-4622-89E2-0DA178C30C2C}">
            <xm:f>Sayfa1!$C$1="£ STERLİN"</xm:f>
            <x14:dxf>
              <numFmt numFmtId="180" formatCode="[$£-809]#,##0.000"/>
            </x14:dxf>
          </x14:cfRule>
          <x14:cfRule type="expression" priority="7" id="{E2285DD5-E72B-4DDC-A146-AE5964D20ACB}">
            <xm:f>Sayfa1!$C$1="$ DOLAR"</xm:f>
            <x14:dxf>
              <numFmt numFmtId="181" formatCode="[$$-409]#,##0.000"/>
            </x14:dxf>
          </x14:cfRule>
          <x14:cfRule type="expression" priority="9" id="{06D15A62-46F4-4D96-8104-359B1C4CCCCD}">
            <xm:f>Sayfa1!$C$1="€ EURO"</xm:f>
            <x14:dxf>
              <numFmt numFmtId="179" formatCode="[$€-2]\ #,##0.000"/>
            </x14:dxf>
          </x14:cfRule>
          <xm:sqref>H10:H12</xm:sqref>
        </x14:conditionalFormatting>
        <x14:conditionalFormatting xmlns:xm="http://schemas.microsoft.com/office/excel/2006/main">
          <x14:cfRule type="expression" priority="1" id="{A095D4AC-AE82-41C2-8A4B-9ABE938E8772}">
            <xm:f>Sayfa1!$C$1="TÜRK LİRASI"</xm:f>
            <x14:dxf>
              <numFmt numFmtId="182" formatCode="&quot;₺&quot;#,##0.000"/>
            </x14:dxf>
          </x14:cfRule>
          <x14:cfRule type="expression" priority="2" id="{066E5A59-0E4B-4C4B-93CC-BDA1ACF5EDBE}">
            <xm:f>Sayfa1!$C$1="$ DOLAR"</xm:f>
            <x14:dxf>
              <numFmt numFmtId="181" formatCode="[$$-409]#,##0.000"/>
            </x14:dxf>
          </x14:cfRule>
          <x14:cfRule type="expression" priority="3" id="{2C6BA550-F6C0-40E8-9B50-71B0DF5FA76A}">
            <xm:f>Sayfa1!$C$1="£ STERLİN"</xm:f>
            <x14:dxf>
              <numFmt numFmtId="180" formatCode="[$£-809]#,##0.000"/>
            </x14:dxf>
          </x14:cfRule>
          <x14:cfRule type="expression" priority="4" id="{74D1F140-8942-48D4-B548-C8AB14FCCC86}">
            <xm:f>Sayfa1!$C$1="€ EURO"</xm:f>
            <x14:dxf>
              <numFmt numFmtId="179" formatCode="[$€-2]\ #,##0.000"/>
            </x14:dxf>
          </x14:cfRule>
          <xm:sqref>J10:J12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502" yWindow="760" count="3">
        <x14:dataValidation type="list" allowBlank="1" showInputMessage="1" showErrorMessage="1" xr:uid="{843A383A-8667-44F0-B3F7-A6697C66AD19}">
          <x14:formula1>
            <xm:f>'ÜRÜN ÖZELLİKLERİ'!$D$51:$D$56</xm:f>
          </x14:formula1>
          <xm:sqref>C18</xm:sqref>
        </x14:dataValidation>
        <x14:dataValidation type="list" allowBlank="1" showInputMessage="1" showErrorMessage="1" prompt="Lütfen ürün numarası seçiniz." xr:uid="{56EE7425-2CCA-45F7-97E8-1F529CF5DED5}">
          <x14:formula1>
            <xm:f>'ÜRÜN ÖZELLİKLERİ'!$A$51:$A$57</xm:f>
          </x14:formula1>
          <xm:sqref>G14:J14</xm:sqref>
        </x14:dataValidation>
        <x14:dataValidation type="list" allowBlank="1" showInputMessage="1" showErrorMessage="1" xr:uid="{F0C05536-79F2-442B-B6AF-EB608AA8EDFA}">
          <x14:formula1>
            <xm:f>Sayfa2!$J$2:$J$19</xm:f>
          </x14:formula1>
          <xm:sqref>H7:J7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6"/>
  <dimension ref="A1:A2"/>
  <sheetViews>
    <sheetView workbookViewId="0">
      <selection activeCell="C14" sqref="C14"/>
    </sheetView>
  </sheetViews>
  <sheetFormatPr defaultRowHeight="14.4"/>
  <cols>
    <col min="1" max="1" width="21" bestFit="1" customWidth="1"/>
  </cols>
  <sheetData>
    <row r="1" spans="1:1">
      <c r="A1" t="s">
        <v>33</v>
      </c>
    </row>
    <row r="2" spans="1:1">
      <c r="A2" t="s">
        <v>1127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7"/>
  <dimension ref="A1:X82"/>
  <sheetViews>
    <sheetView zoomScale="55" zoomScaleNormal="55" workbookViewId="0">
      <selection activeCell="P67" sqref="P67"/>
    </sheetView>
  </sheetViews>
  <sheetFormatPr defaultRowHeight="14.4"/>
  <cols>
    <col min="1" max="1" width="22.6640625" bestFit="1" customWidth="1"/>
    <col min="3" max="3" width="31.33203125" bestFit="1" customWidth="1"/>
    <col min="4" max="4" width="27.33203125" bestFit="1" customWidth="1"/>
    <col min="5" max="5" width="80.5546875" bestFit="1" customWidth="1"/>
    <col min="6" max="6" width="28" bestFit="1" customWidth="1"/>
    <col min="7" max="7" width="21.33203125" bestFit="1" customWidth="1"/>
    <col min="9" max="9" width="16.44140625" bestFit="1" customWidth="1"/>
    <col min="11" max="11" width="10.33203125" bestFit="1" customWidth="1"/>
    <col min="13" max="13" width="23.109375" customWidth="1"/>
    <col min="14" max="14" width="24.109375" bestFit="1" customWidth="1"/>
    <col min="15" max="15" width="26.6640625" bestFit="1" customWidth="1"/>
    <col min="16" max="16" width="36.6640625" bestFit="1" customWidth="1"/>
    <col min="17" max="17" width="43" bestFit="1" customWidth="1"/>
    <col min="18" max="18" width="36.44140625" bestFit="1" customWidth="1"/>
    <col min="20" max="20" width="56.5546875" customWidth="1"/>
    <col min="21" max="21" width="48.6640625" customWidth="1"/>
    <col min="22" max="22" width="9.6640625" bestFit="1" customWidth="1"/>
    <col min="24" max="24" width="18.6640625" customWidth="1"/>
  </cols>
  <sheetData>
    <row r="1" spans="1:24">
      <c r="A1" t="s">
        <v>33</v>
      </c>
      <c r="C1" t="s">
        <v>33</v>
      </c>
      <c r="E1" t="s">
        <v>33</v>
      </c>
      <c r="I1" t="s">
        <v>33</v>
      </c>
      <c r="K1" t="s">
        <v>33</v>
      </c>
      <c r="M1" t="s">
        <v>33</v>
      </c>
      <c r="O1" t="s">
        <v>33</v>
      </c>
      <c r="Q1" t="s">
        <v>33</v>
      </c>
      <c r="T1" t="s">
        <v>33</v>
      </c>
      <c r="V1" t="s">
        <v>33</v>
      </c>
      <c r="X1" t="s">
        <v>33</v>
      </c>
    </row>
    <row r="2" spans="1:24">
      <c r="A2" t="s">
        <v>56</v>
      </c>
      <c r="E2" t="s">
        <v>13</v>
      </c>
      <c r="F2" t="s">
        <v>479</v>
      </c>
      <c r="G2">
        <v>350</v>
      </c>
      <c r="I2" t="s">
        <v>15</v>
      </c>
      <c r="K2" t="s">
        <v>23</v>
      </c>
      <c r="M2" t="s">
        <v>25</v>
      </c>
      <c r="N2" t="s">
        <v>515</v>
      </c>
      <c r="O2" t="s">
        <v>1</v>
      </c>
      <c r="P2" t="s">
        <v>570</v>
      </c>
      <c r="Q2" t="s">
        <v>488</v>
      </c>
      <c r="R2" t="s">
        <v>343</v>
      </c>
      <c r="T2" t="s">
        <v>51</v>
      </c>
      <c r="V2" t="s">
        <v>34</v>
      </c>
      <c r="X2" t="s">
        <v>39</v>
      </c>
    </row>
    <row r="3" spans="1:24">
      <c r="A3" t="s">
        <v>55</v>
      </c>
      <c r="E3" t="s">
        <v>14</v>
      </c>
      <c r="F3" t="s">
        <v>480</v>
      </c>
      <c r="G3">
        <v>400</v>
      </c>
      <c r="I3" t="s">
        <v>22</v>
      </c>
      <c r="K3" t="s">
        <v>24</v>
      </c>
      <c r="M3" t="s">
        <v>33</v>
      </c>
      <c r="O3" t="s">
        <v>3</v>
      </c>
      <c r="P3" t="s">
        <v>123</v>
      </c>
      <c r="Q3" t="s">
        <v>298</v>
      </c>
      <c r="R3" t="s">
        <v>365</v>
      </c>
      <c r="T3" t="s">
        <v>29</v>
      </c>
      <c r="V3" t="s">
        <v>35</v>
      </c>
      <c r="X3" t="s">
        <v>40</v>
      </c>
    </row>
    <row r="4" spans="1:24">
      <c r="A4" t="s">
        <v>57</v>
      </c>
      <c r="G4">
        <v>450</v>
      </c>
      <c r="I4" t="s">
        <v>16</v>
      </c>
      <c r="M4" t="s">
        <v>481</v>
      </c>
      <c r="N4" t="s">
        <v>481</v>
      </c>
      <c r="O4" t="s">
        <v>77</v>
      </c>
      <c r="P4" t="s">
        <v>571</v>
      </c>
      <c r="Q4" t="s">
        <v>71</v>
      </c>
      <c r="R4" t="s">
        <v>344</v>
      </c>
      <c r="T4" t="s">
        <v>48</v>
      </c>
      <c r="X4" t="s">
        <v>58</v>
      </c>
    </row>
    <row r="5" spans="1:24">
      <c r="G5">
        <v>500</v>
      </c>
      <c r="I5" t="s">
        <v>17</v>
      </c>
      <c r="M5" t="s">
        <v>33</v>
      </c>
      <c r="O5" t="s">
        <v>79</v>
      </c>
      <c r="P5" t="s">
        <v>572</v>
      </c>
      <c r="Q5" t="s">
        <v>74</v>
      </c>
      <c r="R5" t="s">
        <v>345</v>
      </c>
      <c r="T5" t="s">
        <v>30</v>
      </c>
      <c r="X5" t="s">
        <v>59</v>
      </c>
    </row>
    <row r="6" spans="1:24">
      <c r="G6">
        <v>550</v>
      </c>
      <c r="I6" t="s">
        <v>18</v>
      </c>
      <c r="M6" t="s">
        <v>484</v>
      </c>
      <c r="N6" t="s">
        <v>484</v>
      </c>
      <c r="O6" t="s">
        <v>78</v>
      </c>
      <c r="P6" t="s">
        <v>573</v>
      </c>
      <c r="Q6" t="s">
        <v>72</v>
      </c>
      <c r="R6" t="s">
        <v>346</v>
      </c>
      <c r="T6" t="s">
        <v>49</v>
      </c>
      <c r="X6" t="s">
        <v>41</v>
      </c>
    </row>
    <row r="7" spans="1:24">
      <c r="G7">
        <v>600</v>
      </c>
      <c r="I7" t="s">
        <v>19</v>
      </c>
      <c r="M7" t="s">
        <v>33</v>
      </c>
      <c r="O7" t="s">
        <v>552</v>
      </c>
      <c r="P7" t="s">
        <v>497</v>
      </c>
      <c r="Q7" t="s">
        <v>73</v>
      </c>
      <c r="R7" t="s">
        <v>347</v>
      </c>
      <c r="T7" t="s">
        <v>50</v>
      </c>
      <c r="X7" t="s">
        <v>47</v>
      </c>
    </row>
    <row r="8" spans="1:24">
      <c r="E8" t="s">
        <v>281</v>
      </c>
      <c r="G8">
        <v>650</v>
      </c>
      <c r="I8" t="s">
        <v>20</v>
      </c>
      <c r="M8" t="s">
        <v>85</v>
      </c>
      <c r="N8" t="s">
        <v>124</v>
      </c>
      <c r="O8" t="s">
        <v>52</v>
      </c>
      <c r="P8" t="s">
        <v>342</v>
      </c>
      <c r="Q8" t="s">
        <v>75</v>
      </c>
      <c r="R8" t="s">
        <v>348</v>
      </c>
      <c r="T8" t="s">
        <v>31</v>
      </c>
      <c r="X8" t="s">
        <v>43</v>
      </c>
    </row>
    <row r="9" spans="1:24">
      <c r="E9" t="s">
        <v>507</v>
      </c>
      <c r="F9" t="s">
        <v>507</v>
      </c>
      <c r="I9" t="s">
        <v>21</v>
      </c>
      <c r="M9" t="s">
        <v>33</v>
      </c>
      <c r="Q9" t="s">
        <v>76</v>
      </c>
      <c r="R9" t="s">
        <v>349</v>
      </c>
      <c r="T9" t="s">
        <v>54</v>
      </c>
      <c r="X9" t="s">
        <v>44</v>
      </c>
    </row>
    <row r="10" spans="1:24">
      <c r="E10" t="s">
        <v>508</v>
      </c>
      <c r="F10" t="s">
        <v>124</v>
      </c>
      <c r="M10" t="s">
        <v>86</v>
      </c>
      <c r="N10" t="s">
        <v>501</v>
      </c>
      <c r="Q10" t="s">
        <v>84</v>
      </c>
      <c r="R10" s="153" t="s">
        <v>526</v>
      </c>
      <c r="T10" t="s">
        <v>53</v>
      </c>
      <c r="X10" t="s">
        <v>45</v>
      </c>
    </row>
    <row r="11" spans="1:24">
      <c r="E11" t="s">
        <v>481</v>
      </c>
      <c r="F11" t="s">
        <v>481</v>
      </c>
      <c r="M11" t="s">
        <v>33</v>
      </c>
      <c r="Q11" t="s">
        <v>32</v>
      </c>
      <c r="R11" s="153" t="s">
        <v>527</v>
      </c>
      <c r="T11" t="s">
        <v>52</v>
      </c>
      <c r="X11" t="s">
        <v>46</v>
      </c>
    </row>
    <row r="12" spans="1:24">
      <c r="E12" t="s">
        <v>484</v>
      </c>
      <c r="F12" t="s">
        <v>484</v>
      </c>
      <c r="M12" t="s">
        <v>702</v>
      </c>
      <c r="N12" t="s">
        <v>482</v>
      </c>
      <c r="Q12" t="s">
        <v>489</v>
      </c>
      <c r="R12" s="153" t="s">
        <v>528</v>
      </c>
      <c r="X12" t="s">
        <v>42</v>
      </c>
    </row>
    <row r="13" spans="1:24">
      <c r="E13" t="s">
        <v>51</v>
      </c>
      <c r="F13" t="s">
        <v>568</v>
      </c>
      <c r="M13" t="s">
        <v>33</v>
      </c>
      <c r="Q13" t="s">
        <v>520</v>
      </c>
      <c r="R13" s="153" t="s">
        <v>529</v>
      </c>
    </row>
    <row r="14" spans="1:24">
      <c r="E14" t="s">
        <v>52</v>
      </c>
      <c r="F14" t="s">
        <v>342</v>
      </c>
      <c r="M14" t="s">
        <v>87</v>
      </c>
      <c r="N14" t="s">
        <v>513</v>
      </c>
      <c r="Q14" t="s">
        <v>712</v>
      </c>
      <c r="R14" s="153" t="s">
        <v>713</v>
      </c>
    </row>
    <row r="15" spans="1:24">
      <c r="M15" t="s">
        <v>33</v>
      </c>
      <c r="Q15" t="s">
        <v>52</v>
      </c>
      <c r="R15" s="153" t="s">
        <v>342</v>
      </c>
    </row>
    <row r="16" spans="1:24">
      <c r="M16" t="s">
        <v>88</v>
      </c>
      <c r="N16" t="s">
        <v>516</v>
      </c>
      <c r="O16" t="s">
        <v>281</v>
      </c>
    </row>
    <row r="17" spans="3:21">
      <c r="M17" t="s">
        <v>33</v>
      </c>
      <c r="O17" t="s">
        <v>509</v>
      </c>
      <c r="P17" t="s">
        <v>511</v>
      </c>
    </row>
    <row r="18" spans="3:21">
      <c r="M18" t="s">
        <v>89</v>
      </c>
      <c r="N18" t="s">
        <v>517</v>
      </c>
      <c r="O18" t="s">
        <v>510</v>
      </c>
      <c r="P18" t="s">
        <v>512</v>
      </c>
    </row>
    <row r="19" spans="3:21">
      <c r="M19" t="s">
        <v>33</v>
      </c>
      <c r="O19" t="s">
        <v>524</v>
      </c>
      <c r="P19" t="s">
        <v>523</v>
      </c>
    </row>
    <row r="20" spans="3:21">
      <c r="C20" t="s">
        <v>281</v>
      </c>
      <c r="M20" t="s">
        <v>90</v>
      </c>
      <c r="N20" t="s">
        <v>518</v>
      </c>
      <c r="O20" t="s">
        <v>52</v>
      </c>
      <c r="P20" t="s">
        <v>342</v>
      </c>
      <c r="U20" t="s">
        <v>173</v>
      </c>
    </row>
    <row r="21" spans="3:21">
      <c r="C21" t="s">
        <v>60</v>
      </c>
      <c r="D21" t="s">
        <v>338</v>
      </c>
      <c r="E21" t="s">
        <v>281</v>
      </c>
      <c r="M21" t="s">
        <v>33</v>
      </c>
      <c r="T21" s="39" t="s">
        <v>315</v>
      </c>
      <c r="U21" s="315" t="s">
        <v>1113</v>
      </c>
    </row>
    <row r="22" spans="3:21">
      <c r="C22" t="s">
        <v>61</v>
      </c>
      <c r="D22" t="s">
        <v>339</v>
      </c>
      <c r="E22" t="s">
        <v>695</v>
      </c>
      <c r="F22" t="s">
        <v>698</v>
      </c>
      <c r="M22" t="s">
        <v>91</v>
      </c>
      <c r="N22" t="s">
        <v>483</v>
      </c>
      <c r="T22" s="39" t="s">
        <v>316</v>
      </c>
      <c r="U22" s="315" t="s">
        <v>1111</v>
      </c>
    </row>
    <row r="23" spans="3:21">
      <c r="C23" t="s">
        <v>26</v>
      </c>
      <c r="D23" t="s">
        <v>340</v>
      </c>
      <c r="E23" t="s">
        <v>696</v>
      </c>
      <c r="F23" t="s">
        <v>699</v>
      </c>
      <c r="M23" t="s">
        <v>33</v>
      </c>
      <c r="T23" s="39" t="s">
        <v>317</v>
      </c>
      <c r="U23" s="315" t="s">
        <v>1112</v>
      </c>
    </row>
    <row r="24" spans="3:21">
      <c r="C24" t="s">
        <v>65</v>
      </c>
      <c r="D24" t="s">
        <v>363</v>
      </c>
      <c r="E24" t="s">
        <v>697</v>
      </c>
      <c r="F24" t="s">
        <v>700</v>
      </c>
      <c r="M24" t="s">
        <v>52</v>
      </c>
      <c r="N24" t="s">
        <v>342</v>
      </c>
      <c r="T24" s="39" t="s">
        <v>318</v>
      </c>
      <c r="U24" s="315" t="s">
        <v>1118</v>
      </c>
    </row>
    <row r="25" spans="3:21">
      <c r="C25" t="s">
        <v>64</v>
      </c>
      <c r="D25" t="s">
        <v>364</v>
      </c>
      <c r="E25" t="s">
        <v>72</v>
      </c>
      <c r="F25" t="s">
        <v>346</v>
      </c>
      <c r="T25" s="39" t="s">
        <v>319</v>
      </c>
      <c r="U25" s="315" t="s">
        <v>1119</v>
      </c>
    </row>
    <row r="26" spans="3:21">
      <c r="C26" t="s">
        <v>66</v>
      </c>
      <c r="D26" t="s">
        <v>361</v>
      </c>
      <c r="E26" t="s">
        <v>73</v>
      </c>
      <c r="F26" t="s">
        <v>347</v>
      </c>
      <c r="T26" s="39" t="s">
        <v>320</v>
      </c>
      <c r="U26" s="315" t="s">
        <v>1120</v>
      </c>
    </row>
    <row r="27" spans="3:21">
      <c r="C27" t="s">
        <v>69</v>
      </c>
      <c r="D27" t="s">
        <v>362</v>
      </c>
      <c r="E27" t="s">
        <v>74</v>
      </c>
      <c r="F27" t="s">
        <v>345</v>
      </c>
      <c r="P27" t="s">
        <v>281</v>
      </c>
      <c r="T27" s="39" t="s">
        <v>321</v>
      </c>
      <c r="U27" s="315" t="s">
        <v>1121</v>
      </c>
    </row>
    <row r="28" spans="3:21">
      <c r="C28" t="s">
        <v>304</v>
      </c>
      <c r="D28" t="s">
        <v>341</v>
      </c>
      <c r="E28" t="s">
        <v>52</v>
      </c>
      <c r="F28" t="s">
        <v>342</v>
      </c>
      <c r="P28" t="s">
        <v>541</v>
      </c>
      <c r="Q28" t="s">
        <v>350</v>
      </c>
      <c r="T28" s="39" t="s">
        <v>322</v>
      </c>
      <c r="U28" s="315" t="s">
        <v>1122</v>
      </c>
    </row>
    <row r="29" spans="3:21">
      <c r="C29" t="s">
        <v>67</v>
      </c>
      <c r="D29" t="s">
        <v>499</v>
      </c>
      <c r="P29" t="s">
        <v>194</v>
      </c>
      <c r="Q29" t="s">
        <v>351</v>
      </c>
      <c r="T29" s="39" t="s">
        <v>323</v>
      </c>
      <c r="U29" s="315" t="s">
        <v>1123</v>
      </c>
    </row>
    <row r="30" spans="3:21">
      <c r="C30" t="s">
        <v>68</v>
      </c>
      <c r="D30" t="s">
        <v>500</v>
      </c>
      <c r="P30" t="s">
        <v>542</v>
      </c>
      <c r="Q30" t="s">
        <v>352</v>
      </c>
      <c r="T30" s="39" t="s">
        <v>324</v>
      </c>
      <c r="U30" s="315" t="s">
        <v>1124</v>
      </c>
    </row>
    <row r="31" spans="3:21">
      <c r="C31" t="s">
        <v>62</v>
      </c>
      <c r="D31" t="s">
        <v>494</v>
      </c>
      <c r="M31" t="s">
        <v>281</v>
      </c>
      <c r="P31" t="s">
        <v>543</v>
      </c>
      <c r="Q31" t="s">
        <v>353</v>
      </c>
      <c r="T31" s="39" t="s">
        <v>325</v>
      </c>
      <c r="U31" s="315" t="s">
        <v>1125</v>
      </c>
    </row>
    <row r="32" spans="3:21">
      <c r="C32" t="s">
        <v>63</v>
      </c>
      <c r="D32" t="s">
        <v>495</v>
      </c>
      <c r="G32" t="s">
        <v>174</v>
      </c>
      <c r="M32" t="s">
        <v>233</v>
      </c>
      <c r="P32" t="s">
        <v>551</v>
      </c>
      <c r="Q32" t="s">
        <v>360</v>
      </c>
      <c r="T32" s="39" t="s">
        <v>326</v>
      </c>
      <c r="U32" s="315" t="s">
        <v>1117</v>
      </c>
    </row>
    <row r="33" spans="1:21">
      <c r="C33" t="s">
        <v>52</v>
      </c>
      <c r="D33" t="s">
        <v>342</v>
      </c>
      <c r="G33" s="22" t="s">
        <v>268</v>
      </c>
      <c r="M33" t="s">
        <v>282</v>
      </c>
      <c r="P33" t="s">
        <v>545</v>
      </c>
      <c r="Q33" t="s">
        <v>355</v>
      </c>
      <c r="T33" s="39" t="s">
        <v>327</v>
      </c>
      <c r="U33" s="315" t="s">
        <v>1114</v>
      </c>
    </row>
    <row r="34" spans="1:21">
      <c r="G34" s="22" t="s">
        <v>269</v>
      </c>
      <c r="P34" t="s">
        <v>546</v>
      </c>
      <c r="Q34" t="s">
        <v>356</v>
      </c>
      <c r="T34" s="39" t="s">
        <v>328</v>
      </c>
      <c r="U34" s="315" t="s">
        <v>1115</v>
      </c>
    </row>
    <row r="35" spans="1:21">
      <c r="G35" s="22" t="s">
        <v>270</v>
      </c>
      <c r="P35" t="s">
        <v>547</v>
      </c>
      <c r="Q35" t="s">
        <v>478</v>
      </c>
      <c r="T35" s="39" t="s">
        <v>329</v>
      </c>
      <c r="U35" s="315" t="s">
        <v>1116</v>
      </c>
    </row>
    <row r="36" spans="1:21">
      <c r="M36" t="s">
        <v>33</v>
      </c>
      <c r="P36" t="s">
        <v>548</v>
      </c>
      <c r="Q36" t="s">
        <v>357</v>
      </c>
      <c r="T36" s="39" t="s">
        <v>330</v>
      </c>
      <c r="U36" s="39" t="s">
        <v>335</v>
      </c>
    </row>
    <row r="37" spans="1:21">
      <c r="M37" t="s">
        <v>88</v>
      </c>
      <c r="N37" t="s">
        <v>516</v>
      </c>
      <c r="P37" t="s">
        <v>550</v>
      </c>
      <c r="Q37" t="s">
        <v>359</v>
      </c>
      <c r="T37" s="39" t="s">
        <v>331</v>
      </c>
    </row>
    <row r="38" spans="1:21">
      <c r="M38" t="s">
        <v>722</v>
      </c>
      <c r="N38" t="s">
        <v>723</v>
      </c>
      <c r="P38" t="s">
        <v>549</v>
      </c>
      <c r="Q38" t="s">
        <v>358</v>
      </c>
      <c r="T38" s="39" t="s">
        <v>218</v>
      </c>
    </row>
    <row r="39" spans="1:21">
      <c r="M39" t="s">
        <v>724</v>
      </c>
      <c r="N39" t="s">
        <v>725</v>
      </c>
      <c r="O39" s="136" t="s">
        <v>575</v>
      </c>
      <c r="P39" t="s">
        <v>544</v>
      </c>
      <c r="Q39" t="s">
        <v>354</v>
      </c>
      <c r="T39" s="39" t="s">
        <v>332</v>
      </c>
    </row>
    <row r="40" spans="1:21">
      <c r="A40" t="s">
        <v>281</v>
      </c>
      <c r="C40" t="s">
        <v>281</v>
      </c>
      <c r="D40" t="s">
        <v>281</v>
      </c>
      <c r="G40" s="22" t="s">
        <v>281</v>
      </c>
      <c r="I40" t="s">
        <v>281</v>
      </c>
      <c r="K40" t="s">
        <v>281</v>
      </c>
      <c r="P40" t="s">
        <v>178</v>
      </c>
      <c r="Q40" t="s">
        <v>178</v>
      </c>
      <c r="T40" s="39" t="s">
        <v>333</v>
      </c>
      <c r="U40" s="315"/>
    </row>
    <row r="41" spans="1:21">
      <c r="A41" t="s">
        <v>229</v>
      </c>
      <c r="B41" t="s">
        <v>476</v>
      </c>
      <c r="C41" t="s">
        <v>172</v>
      </c>
      <c r="D41" t="s">
        <v>294</v>
      </c>
      <c r="G41" t="s">
        <v>703</v>
      </c>
      <c r="I41" t="s">
        <v>502</v>
      </c>
      <c r="K41" t="s">
        <v>492</v>
      </c>
      <c r="P41" t="s">
        <v>184</v>
      </c>
      <c r="Q41" t="s">
        <v>496</v>
      </c>
      <c r="T41" s="39" t="s">
        <v>334</v>
      </c>
      <c r="U41" s="315"/>
    </row>
    <row r="42" spans="1:21">
      <c r="A42" t="s">
        <v>498</v>
      </c>
      <c r="B42" t="s">
        <v>477</v>
      </c>
      <c r="C42" t="s">
        <v>174</v>
      </c>
      <c r="D42" t="s">
        <v>295</v>
      </c>
      <c r="G42" s="22">
        <v>1</v>
      </c>
      <c r="I42" t="s">
        <v>503</v>
      </c>
      <c r="K42">
        <v>25</v>
      </c>
      <c r="P42" t="s">
        <v>552</v>
      </c>
      <c r="Q42" t="s">
        <v>497</v>
      </c>
      <c r="T42" s="39" t="s">
        <v>335</v>
      </c>
    </row>
    <row r="43" spans="1:21">
      <c r="A43" t="s">
        <v>174</v>
      </c>
      <c r="D43" t="s">
        <v>296</v>
      </c>
      <c r="G43" s="22">
        <v>6</v>
      </c>
      <c r="K43">
        <v>50</v>
      </c>
      <c r="P43" t="s">
        <v>52</v>
      </c>
      <c r="Q43" t="s">
        <v>342</v>
      </c>
    </row>
    <row r="44" spans="1:21">
      <c r="D44" t="s">
        <v>297</v>
      </c>
      <c r="G44" s="22">
        <v>10</v>
      </c>
      <c r="K44">
        <v>75</v>
      </c>
    </row>
    <row r="45" spans="1:21">
      <c r="G45" s="22">
        <v>12</v>
      </c>
      <c r="I45" t="s">
        <v>281</v>
      </c>
      <c r="K45">
        <v>100</v>
      </c>
    </row>
    <row r="46" spans="1:21">
      <c r="G46" s="22">
        <v>20</v>
      </c>
      <c r="I46" t="s">
        <v>504</v>
      </c>
      <c r="K46">
        <v>125</v>
      </c>
    </row>
    <row r="47" spans="1:21">
      <c r="G47" s="22">
        <v>50</v>
      </c>
      <c r="I47" t="s">
        <v>505</v>
      </c>
      <c r="K47">
        <v>150</v>
      </c>
      <c r="P47" t="s">
        <v>281</v>
      </c>
    </row>
    <row r="48" spans="1:21">
      <c r="G48" s="22">
        <v>100</v>
      </c>
      <c r="K48">
        <v>175</v>
      </c>
      <c r="P48" t="s">
        <v>336</v>
      </c>
      <c r="Q48" t="s">
        <v>1106</v>
      </c>
    </row>
    <row r="49" spans="1:20">
      <c r="G49" s="148" t="s">
        <v>52</v>
      </c>
      <c r="K49">
        <v>200</v>
      </c>
      <c r="P49" t="s">
        <v>337</v>
      </c>
      <c r="Q49" t="s">
        <v>1107</v>
      </c>
    </row>
    <row r="50" spans="1:20">
      <c r="K50">
        <v>225</v>
      </c>
      <c r="P50" t="s">
        <v>599</v>
      </c>
      <c r="Q50" t="s">
        <v>683</v>
      </c>
    </row>
    <row r="51" spans="1:20">
      <c r="A51" t="s">
        <v>281</v>
      </c>
      <c r="B51" t="s">
        <v>281</v>
      </c>
      <c r="C51" t="s">
        <v>281</v>
      </c>
      <c r="D51" t="s">
        <v>281</v>
      </c>
      <c r="G51" t="s">
        <v>281</v>
      </c>
      <c r="K51">
        <v>250</v>
      </c>
    </row>
    <row r="52" spans="1:20">
      <c r="A52" t="s">
        <v>288</v>
      </c>
      <c r="B52" t="s">
        <v>283</v>
      </c>
      <c r="C52" t="s">
        <v>288</v>
      </c>
      <c r="D52" t="s">
        <v>305</v>
      </c>
      <c r="G52" t="s">
        <v>454</v>
      </c>
      <c r="K52">
        <v>275</v>
      </c>
    </row>
    <row r="53" spans="1:20">
      <c r="A53" t="str">
        <f>IF(Sayfa1!C2="Ürün 2","Ürün 2",IF(Sayfa1!C2="Ürün 3","Ürün 2",IF(Sayfa1!C2="Ürün 4","Ürün 2",IF(Sayfa1!C2="Ürün 5","Ürün 2",IF(Sayfa1!C2="Ürün 6","Ürün 2","")))))</f>
        <v/>
      </c>
      <c r="B53" t="s">
        <v>284</v>
      </c>
      <c r="C53" t="s">
        <v>285</v>
      </c>
      <c r="D53" t="s">
        <v>306</v>
      </c>
      <c r="G53" t="s">
        <v>502</v>
      </c>
      <c r="K53">
        <v>300</v>
      </c>
      <c r="P53" t="s">
        <v>281</v>
      </c>
      <c r="T53" t="s">
        <v>281</v>
      </c>
    </row>
    <row r="54" spans="1:20">
      <c r="A54" t="str">
        <f>IF(Sayfa1!C2="Ürün 3","Ürün 3",IF(Sayfa1!C2="Ürün 4","Ürün 3",IF(Sayfa1!C2="Ürün 5","Ürün 3",IF(Sayfa1!C2="Ürün 6","Ürün 3",""))))</f>
        <v/>
      </c>
      <c r="C54" t="s">
        <v>289</v>
      </c>
      <c r="D54" t="s">
        <v>307</v>
      </c>
      <c r="G54" t="s">
        <v>503</v>
      </c>
      <c r="K54" t="s">
        <v>52</v>
      </c>
      <c r="P54" t="s">
        <v>541</v>
      </c>
      <c r="Q54" t="s">
        <v>350</v>
      </c>
      <c r="T54" s="313">
        <v>0.05</v>
      </c>
    </row>
    <row r="55" spans="1:20">
      <c r="A55" t="str">
        <f>IF(Sayfa1!C2="Ürün 4","Ürün 4",IF(Sayfa1!C2="Ürün 5","Ürün 4",IF(Sayfa1!C2="Ürün 6","Ürün 4","")))</f>
        <v/>
      </c>
      <c r="C55" t="s">
        <v>290</v>
      </c>
      <c r="D55" t="s">
        <v>310</v>
      </c>
      <c r="G55" t="s">
        <v>455</v>
      </c>
      <c r="P55" t="s">
        <v>194</v>
      </c>
      <c r="Q55" t="s">
        <v>351</v>
      </c>
      <c r="T55" s="313">
        <v>0.1</v>
      </c>
    </row>
    <row r="56" spans="1:20">
      <c r="A56" t="str">
        <f>IF(Sayfa1!C2="Ürün 5","Ürün 5",IF(Sayfa1!C2="Ürün 6","Ürün 5",""))</f>
        <v/>
      </c>
      <c r="C56" t="s">
        <v>291</v>
      </c>
      <c r="D56" t="s">
        <v>309</v>
      </c>
      <c r="G56" t="s">
        <v>456</v>
      </c>
      <c r="O56" s="136" t="s">
        <v>574</v>
      </c>
      <c r="P56" t="s">
        <v>542</v>
      </c>
      <c r="Q56" t="s">
        <v>352</v>
      </c>
      <c r="T56" s="313">
        <v>0.15</v>
      </c>
    </row>
    <row r="57" spans="1:20">
      <c r="A57" t="str">
        <f>IF(Sayfa1!C2="Ürün 6","Ürün 6","")</f>
        <v/>
      </c>
      <c r="C57" t="s">
        <v>292</v>
      </c>
      <c r="G57" t="s">
        <v>457</v>
      </c>
      <c r="P57" t="s">
        <v>543</v>
      </c>
      <c r="Q57" t="s">
        <v>353</v>
      </c>
      <c r="T57" s="313">
        <v>0.2</v>
      </c>
    </row>
    <row r="58" spans="1:20">
      <c r="G58" t="s">
        <v>52</v>
      </c>
      <c r="P58" t="s">
        <v>551</v>
      </c>
      <c r="Q58" t="s">
        <v>360</v>
      </c>
      <c r="T58" s="313">
        <v>0.25</v>
      </c>
    </row>
    <row r="59" spans="1:20">
      <c r="P59" t="s">
        <v>545</v>
      </c>
      <c r="Q59" t="s">
        <v>355</v>
      </c>
      <c r="T59" s="313">
        <v>0.3</v>
      </c>
    </row>
    <row r="60" spans="1:20">
      <c r="P60" t="s">
        <v>546</v>
      </c>
      <c r="Q60" t="s">
        <v>356</v>
      </c>
      <c r="T60" s="313">
        <v>0.35</v>
      </c>
    </row>
    <row r="61" spans="1:20">
      <c r="P61" t="s">
        <v>547</v>
      </c>
      <c r="Q61" t="s">
        <v>478</v>
      </c>
      <c r="T61" s="313">
        <v>0.4</v>
      </c>
    </row>
    <row r="62" spans="1:20">
      <c r="P62" t="s">
        <v>548</v>
      </c>
      <c r="Q62" t="s">
        <v>357</v>
      </c>
      <c r="T62" s="313">
        <v>0.45</v>
      </c>
    </row>
    <row r="63" spans="1:20">
      <c r="P63" t="s">
        <v>550</v>
      </c>
      <c r="Q63" t="s">
        <v>359</v>
      </c>
      <c r="T63" s="313">
        <v>0.5</v>
      </c>
    </row>
    <row r="64" spans="1:20">
      <c r="P64" t="s">
        <v>549</v>
      </c>
      <c r="Q64" t="s">
        <v>358</v>
      </c>
      <c r="T64" s="314" t="s">
        <v>52</v>
      </c>
    </row>
    <row r="65" spans="1:17">
      <c r="P65" t="s">
        <v>544</v>
      </c>
      <c r="Q65" t="s">
        <v>354</v>
      </c>
    </row>
    <row r="66" spans="1:17">
      <c r="P66" t="s">
        <v>178</v>
      </c>
      <c r="Q66" t="s">
        <v>178</v>
      </c>
    </row>
    <row r="67" spans="1:17">
      <c r="P67" t="s">
        <v>184</v>
      </c>
      <c r="Q67" t="s">
        <v>496</v>
      </c>
    </row>
    <row r="68" spans="1:17">
      <c r="P68" t="s">
        <v>727</v>
      </c>
      <c r="Q68" t="s">
        <v>728</v>
      </c>
    </row>
    <row r="69" spans="1:17">
      <c r="P69" t="s">
        <v>1128</v>
      </c>
      <c r="Q69" t="s">
        <v>1128</v>
      </c>
    </row>
    <row r="70" spans="1:17">
      <c r="P70" t="s">
        <v>52</v>
      </c>
      <c r="Q70" t="s">
        <v>342</v>
      </c>
    </row>
    <row r="73" spans="1:17">
      <c r="A73" s="16" t="str">
        <f>IF('Proforma Invoice'!M7="Seçiniz.","",IF('Proforma Invoice'!M7="Ürün 1",'Quotation Sheet'!E85,'Quotation Sheet'!E85))</f>
        <v/>
      </c>
      <c r="B73" t="str">
        <f>IF('Proforma Invoice'!M7="Seçiniz.","",IF('Proforma Invoice'!M7="Ürün 2",'Quotation Sheet'!F85,""))</f>
        <v/>
      </c>
      <c r="C73" t="s">
        <v>598</v>
      </c>
      <c r="N73" t="s">
        <v>281</v>
      </c>
    </row>
    <row r="74" spans="1:17">
      <c r="A74" s="16" t="str">
        <f>IF('Proforma Invoice'!M7="Seçiniz.","",IF('Proforma Invoice'!M7="Ürün 1",'Quotation Sheet'!E91,""))</f>
        <v/>
      </c>
      <c r="B74" t="str">
        <f>IF('Proforma Invoice'!M7="Seçiniz.","",IF('Proforma Invoice'!M7="Ürün 2",'Quotation Sheet'!F91,""))</f>
        <v/>
      </c>
      <c r="C74" t="s">
        <v>281</v>
      </c>
      <c r="N74" t="s">
        <v>549</v>
      </c>
    </row>
    <row r="75" spans="1:17">
      <c r="A75" s="16" t="str">
        <f>IF('Proforma Invoice'!M7="Seçiniz.","",IF('Proforma Invoice'!M7="Ürün 1",'Quotation Sheet'!E97,""))</f>
        <v/>
      </c>
      <c r="B75" t="str">
        <f>IF('Proforma Invoice'!M7="Seçiniz.","",IF('Proforma Invoice'!M7="Ürün 2",'Quotation Sheet'!F97,""))</f>
        <v/>
      </c>
      <c r="C75" t="s">
        <v>688</v>
      </c>
      <c r="D75" t="s">
        <v>684</v>
      </c>
      <c r="N75" t="s">
        <v>544</v>
      </c>
      <c r="O75" t="s">
        <v>358</v>
      </c>
    </row>
    <row r="76" spans="1:17">
      <c r="A76" s="16" t="str">
        <f>IF('Proforma Invoice'!M7="Seçiniz.","",IF('Proforma Invoice'!M7="Ürün 1",'Quotation Sheet'!E103,""))</f>
        <v/>
      </c>
      <c r="B76" t="str">
        <f>IF('Proforma Invoice'!M7="Seçiniz.","",IF('Proforma Invoice'!M7="Ürün 2",'Quotation Sheet'!F103,""))</f>
        <v/>
      </c>
      <c r="C76" t="s">
        <v>198</v>
      </c>
      <c r="D76" t="s">
        <v>685</v>
      </c>
      <c r="E76" s="149" t="s">
        <v>567</v>
      </c>
      <c r="N76" t="s">
        <v>178</v>
      </c>
      <c r="O76" t="s">
        <v>354</v>
      </c>
    </row>
    <row r="77" spans="1:17">
      <c r="A77" s="16" t="str">
        <f>IF('Proforma Invoice'!M7="Seçiniz.","",IF('Proforma Invoice'!M7="Ürün 1",'Quotation Sheet'!E109,""))</f>
        <v/>
      </c>
      <c r="B77" t="str">
        <f>IF('Proforma Invoice'!M7="Seçiniz.","",IF('Proforma Invoice'!M7="Ürün 2",'Quotation Sheet'!F109,""))</f>
        <v/>
      </c>
      <c r="C77" t="s">
        <v>729</v>
      </c>
      <c r="D77" t="s">
        <v>730</v>
      </c>
      <c r="E77" t="s">
        <v>281</v>
      </c>
      <c r="N77" t="s">
        <v>184</v>
      </c>
      <c r="O77" t="s">
        <v>178</v>
      </c>
    </row>
    <row r="78" spans="1:17">
      <c r="C78" t="s">
        <v>193</v>
      </c>
      <c r="D78" t="s">
        <v>731</v>
      </c>
      <c r="E78" t="s">
        <v>721</v>
      </c>
      <c r="N78" t="s">
        <v>552</v>
      </c>
      <c r="O78" t="s">
        <v>496</v>
      </c>
    </row>
    <row r="79" spans="1:17">
      <c r="C79" t="s">
        <v>689</v>
      </c>
      <c r="D79" t="s">
        <v>686</v>
      </c>
      <c r="E79" t="s">
        <v>720</v>
      </c>
      <c r="N79" t="s">
        <v>52</v>
      </c>
      <c r="O79" t="s">
        <v>497</v>
      </c>
    </row>
    <row r="80" spans="1:17">
      <c r="C80" t="s">
        <v>52</v>
      </c>
      <c r="D80" t="s">
        <v>342</v>
      </c>
      <c r="E80" t="s">
        <v>710</v>
      </c>
      <c r="O80" t="s">
        <v>342</v>
      </c>
    </row>
    <row r="81" spans="5:5">
      <c r="E81" t="s">
        <v>719</v>
      </c>
    </row>
    <row r="82" spans="5:5">
      <c r="E82" t="s">
        <v>718</v>
      </c>
    </row>
  </sheetData>
  <sortState xmlns:xlrd2="http://schemas.microsoft.com/office/spreadsheetml/2017/richdata2" ref="T2:T9">
    <sortCondition ref="T2:T9"/>
  </sortState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8A24-18B6-4C1C-BE22-98987453163F}">
  <sheetPr codeName="Sayfa5"/>
  <dimension ref="A1:AU151"/>
  <sheetViews>
    <sheetView zoomScale="70" zoomScaleNormal="70" workbookViewId="0">
      <selection activeCell="B25" sqref="B25"/>
    </sheetView>
  </sheetViews>
  <sheetFormatPr defaultRowHeight="14.4"/>
  <cols>
    <col min="2" max="2" width="21.33203125" customWidth="1"/>
    <col min="6" max="6" width="14.33203125" customWidth="1"/>
    <col min="8" max="8" width="22.109375" customWidth="1"/>
    <col min="10" max="10" width="21.33203125" customWidth="1"/>
    <col min="14" max="14" width="14.33203125" customWidth="1"/>
    <col min="18" max="18" width="21.33203125" customWidth="1"/>
    <col min="22" max="22" width="14.33203125" customWidth="1"/>
    <col min="26" max="26" width="21.33203125" customWidth="1"/>
    <col min="30" max="30" width="14.33203125" customWidth="1"/>
    <col min="34" max="34" width="21.33203125" customWidth="1"/>
    <col min="38" max="38" width="14.33203125" customWidth="1"/>
    <col min="42" max="42" width="21.33203125" customWidth="1"/>
    <col min="46" max="46" width="14.33203125" customWidth="1"/>
  </cols>
  <sheetData>
    <row r="1" spans="1:47">
      <c r="A1" s="719" t="s">
        <v>92</v>
      </c>
      <c r="B1" s="719"/>
      <c r="C1" s="719"/>
      <c r="D1" s="719"/>
      <c r="E1" s="719"/>
      <c r="F1" t="e">
        <f>IF(G1="SEÇİNİZ",0,"B"&amp;MATCH(1,E2:E1815,0)+1&amp;":"&amp;"B"&amp;MATCH(LARGE(E2:E1815,1),E2:E1815,0)+1)</f>
        <v>#N/A</v>
      </c>
      <c r="G1" t="str">
        <f>'Proforma Invoice'!M7</f>
        <v>Seçiniz.</v>
      </c>
      <c r="I1" s="719" t="s">
        <v>93</v>
      </c>
      <c r="J1" s="719"/>
      <c r="K1" s="719"/>
      <c r="L1" s="719"/>
      <c r="M1" s="719"/>
      <c r="N1" t="e">
        <f>IF(O1="SEÇİNİZ",0,"B"&amp;MATCH(1,M2:M1815,0)+1&amp;":"&amp;"B"&amp;MATCH(LARGE(M2:M1815,1),M2:M1815,0)+1)</f>
        <v>#N/A</v>
      </c>
      <c r="O1" t="str">
        <f>'Proforma Invoice'!O7</f>
        <v>Seçiniz.</v>
      </c>
      <c r="Q1" s="719" t="s">
        <v>94</v>
      </c>
      <c r="R1" s="719"/>
      <c r="S1" s="719"/>
      <c r="T1" s="719"/>
      <c r="U1" s="719"/>
      <c r="V1" t="e">
        <f>IF(W1="SEÇİNİZ",0,"B"&amp;MATCH(1,U2:U1815,0)+1&amp;":"&amp;"B"&amp;MATCH(LARGE(U2:U1815,1),U2:U1815,0)+1)</f>
        <v>#N/A</v>
      </c>
      <c r="W1" t="str">
        <f>'Proforma Invoice'!Q7</f>
        <v>Seçiniz.</v>
      </c>
      <c r="Y1" s="719" t="s">
        <v>95</v>
      </c>
      <c r="Z1" s="719"/>
      <c r="AA1" s="719"/>
      <c r="AB1" s="719"/>
      <c r="AC1" s="719"/>
      <c r="AD1" t="e">
        <f>IF(AE1="SEÇİNİZ",0,"B"&amp;MATCH(1,AC2:AC1815,0)+1&amp;":"&amp;"B"&amp;MATCH(LARGE(AC2:AC1815,1),AC2:AC1815,0)+1)</f>
        <v>#N/A</v>
      </c>
      <c r="AE1" t="str">
        <f>'Proforma Invoice'!S7</f>
        <v>Seçiniz.</v>
      </c>
      <c r="AG1" s="719" t="s">
        <v>96</v>
      </c>
      <c r="AH1" s="719"/>
      <c r="AI1" s="719"/>
      <c r="AJ1" s="719"/>
      <c r="AK1" s="719"/>
      <c r="AL1" t="e">
        <f>IF(AM1="SEÇİNİZ",0,"B"&amp;MATCH(1,AK2:AK1815,0)+1&amp;":"&amp;"B"&amp;MATCH(LARGE(AK2:AK1815,1),AK2:AK1815,0)+1)</f>
        <v>#N/A</v>
      </c>
      <c r="AM1" t="str">
        <f>'Proforma Invoice'!U7</f>
        <v>Seçiniz.</v>
      </c>
      <c r="AP1" s="719" t="s">
        <v>97</v>
      </c>
      <c r="AQ1" s="719"/>
      <c r="AR1" s="719"/>
      <c r="AS1" s="719"/>
      <c r="AT1" t="e">
        <f>IF(AU1="SEÇİNİZ",0,"B"&amp;MATCH(1,AS2:AS1815,0)+1&amp;":"&amp;"B"&amp;MATCH(LARGE(AS2:AS1815,1),AS2:AS1815,0)+1)</f>
        <v>#N/A</v>
      </c>
      <c r="AU1" t="str">
        <f>'Proforma Invoice'!W7</f>
        <v>Seçiniz.</v>
      </c>
    </row>
    <row r="2" spans="1:47">
      <c r="A2" t="s">
        <v>92</v>
      </c>
      <c r="B2" s="320">
        <f>'Quotation Sheet'!E85</f>
        <v>0</v>
      </c>
      <c r="C2">
        <v>1</v>
      </c>
      <c r="D2">
        <f>IF($G$1='OPSİYON SORGU'!A2,1,0)</f>
        <v>0</v>
      </c>
      <c r="E2">
        <f>+IF(D2=1,1,0)</f>
        <v>0</v>
      </c>
      <c r="I2" t="s">
        <v>92</v>
      </c>
      <c r="J2" s="320">
        <f>'Quotation Sheet'!E85</f>
        <v>0</v>
      </c>
      <c r="K2">
        <v>1</v>
      </c>
      <c r="L2">
        <f>IF($O$1='OPSİYON SORGU'!I2,1,0)</f>
        <v>0</v>
      </c>
      <c r="M2">
        <f>+IF(L2=1,1,0)</f>
        <v>0</v>
      </c>
      <c r="Q2" t="s">
        <v>92</v>
      </c>
      <c r="R2" s="320">
        <f>'Quotation Sheet'!E85</f>
        <v>0</v>
      </c>
      <c r="S2">
        <v>1</v>
      </c>
      <c r="T2">
        <f>IF($W$1='OPSİYON SORGU'!Q2,1,0)</f>
        <v>0</v>
      </c>
      <c r="U2">
        <f>+IF(T2=1,1,0)</f>
        <v>0</v>
      </c>
      <c r="Y2" t="s">
        <v>92</v>
      </c>
      <c r="Z2" s="320">
        <f>'Quotation Sheet'!E85</f>
        <v>0</v>
      </c>
      <c r="AA2">
        <v>1</v>
      </c>
      <c r="AB2">
        <f>IF($AE$1='OPSİYON SORGU'!Y2,1,0)</f>
        <v>0</v>
      </c>
      <c r="AC2">
        <f>+IF(AB2=1,1,0)</f>
        <v>0</v>
      </c>
      <c r="AG2" t="s">
        <v>92</v>
      </c>
      <c r="AH2" s="320">
        <f>'Quotation Sheet'!E85</f>
        <v>0</v>
      </c>
      <c r="AI2">
        <v>1</v>
      </c>
      <c r="AJ2">
        <f>IF($AM$1='OPSİYON SORGU'!AG2,1,0)</f>
        <v>0</v>
      </c>
      <c r="AK2">
        <f>+IF(AJ2=1,1,0)</f>
        <v>0</v>
      </c>
      <c r="AO2" t="s">
        <v>92</v>
      </c>
      <c r="AP2" s="320">
        <f>'Quotation Sheet'!E85</f>
        <v>0</v>
      </c>
      <c r="AQ2">
        <v>1</v>
      </c>
      <c r="AR2">
        <f>IF($AU$1='OPSİYON SORGU'!AO2,1,0)</f>
        <v>0</v>
      </c>
      <c r="AS2">
        <f>+IF(AR2=1,1,0)</f>
        <v>0</v>
      </c>
    </row>
    <row r="3" spans="1:47">
      <c r="A3" t="s">
        <v>92</v>
      </c>
      <c r="B3" s="320">
        <f>'Quotation Sheet'!E86</f>
        <v>0</v>
      </c>
      <c r="C3">
        <v>2</v>
      </c>
      <c r="D3">
        <f>IF($G$1='OPSİYON SORGU'!A3,1,0)</f>
        <v>0</v>
      </c>
      <c r="E3">
        <f>IF(B3=0,0,+IF(D3=0,0,E2+1))</f>
        <v>0</v>
      </c>
      <c r="I3" t="s">
        <v>92</v>
      </c>
      <c r="J3" s="320">
        <f>'Quotation Sheet'!E86</f>
        <v>0</v>
      </c>
      <c r="K3">
        <v>2</v>
      </c>
      <c r="L3">
        <f>IF($O$1='OPSİYON SORGU'!I3,1,0)</f>
        <v>0</v>
      </c>
      <c r="M3">
        <f>+IF(L3=0,0,M2+1)</f>
        <v>0</v>
      </c>
      <c r="Q3" t="s">
        <v>92</v>
      </c>
      <c r="R3" s="320">
        <f>'Quotation Sheet'!E86</f>
        <v>0</v>
      </c>
      <c r="S3">
        <v>2</v>
      </c>
      <c r="T3">
        <f>IF($W$1='OPSİYON SORGU'!Q3,1,0)</f>
        <v>0</v>
      </c>
      <c r="U3">
        <f>+IF(T3=0,0,U2+1)</f>
        <v>0</v>
      </c>
      <c r="Y3" t="s">
        <v>92</v>
      </c>
      <c r="Z3" s="320">
        <f>'Quotation Sheet'!E86</f>
        <v>0</v>
      </c>
      <c r="AA3">
        <v>2</v>
      </c>
      <c r="AB3">
        <f>IF($AE$1='OPSİYON SORGU'!Y3,1,0)</f>
        <v>0</v>
      </c>
      <c r="AC3">
        <f>+IF(AB3=0,0,AC2+1)</f>
        <v>0</v>
      </c>
      <c r="AG3" t="s">
        <v>92</v>
      </c>
      <c r="AH3" s="320">
        <f>'Quotation Sheet'!E86</f>
        <v>0</v>
      </c>
      <c r="AI3">
        <v>2</v>
      </c>
      <c r="AJ3">
        <f>IF($AM$1='OPSİYON SORGU'!AG3,1,0)</f>
        <v>0</v>
      </c>
      <c r="AK3">
        <f>+IF(AJ3=0,0,AK2+1)</f>
        <v>0</v>
      </c>
      <c r="AO3" t="s">
        <v>92</v>
      </c>
      <c r="AP3" s="320">
        <f>'Quotation Sheet'!E86</f>
        <v>0</v>
      </c>
      <c r="AQ3">
        <v>2</v>
      </c>
      <c r="AR3">
        <f>IF($AU$1='OPSİYON SORGU'!AO3,1,0)</f>
        <v>0</v>
      </c>
      <c r="AS3">
        <f>+IF(AR3=0,0,AS2+1)</f>
        <v>0</v>
      </c>
    </row>
    <row r="4" spans="1:47">
      <c r="A4" t="s">
        <v>92</v>
      </c>
      <c r="B4" s="320">
        <f>'Quotation Sheet'!E87</f>
        <v>0</v>
      </c>
      <c r="C4">
        <v>3</v>
      </c>
      <c r="D4">
        <f>IF($G$1='OPSİYON SORGU'!A4,1,0)</f>
        <v>0</v>
      </c>
      <c r="E4">
        <f t="shared" ref="E4:E67" si="0">+IF(D4=0,0,E3+1)</f>
        <v>0</v>
      </c>
      <c r="I4" t="s">
        <v>92</v>
      </c>
      <c r="J4" s="320">
        <f>'Quotation Sheet'!E87</f>
        <v>0</v>
      </c>
      <c r="K4">
        <v>3</v>
      </c>
      <c r="L4">
        <f>IF($O$1='OPSİYON SORGU'!I4,1,0)</f>
        <v>0</v>
      </c>
      <c r="M4">
        <f t="shared" ref="M4:M67" si="1">+IF(L4=0,0,M3+1)</f>
        <v>0</v>
      </c>
      <c r="Q4" t="s">
        <v>92</v>
      </c>
      <c r="R4" s="320">
        <f>'Quotation Sheet'!E87</f>
        <v>0</v>
      </c>
      <c r="S4">
        <v>3</v>
      </c>
      <c r="T4">
        <f>IF($W$1='OPSİYON SORGU'!Q4,1,0)</f>
        <v>0</v>
      </c>
      <c r="U4">
        <f t="shared" ref="U4:U67" si="2">+IF(T4=0,0,U3+1)</f>
        <v>0</v>
      </c>
      <c r="Y4" t="s">
        <v>92</v>
      </c>
      <c r="Z4" s="320">
        <f>'Quotation Sheet'!E87</f>
        <v>0</v>
      </c>
      <c r="AA4">
        <v>3</v>
      </c>
      <c r="AB4">
        <f>IF($AE$1='OPSİYON SORGU'!Y4,1,0)</f>
        <v>0</v>
      </c>
      <c r="AC4">
        <f t="shared" ref="AC4:AC67" si="3">+IF(AB4=0,0,AC3+1)</f>
        <v>0</v>
      </c>
      <c r="AG4" t="s">
        <v>92</v>
      </c>
      <c r="AH4" s="320">
        <f>'Quotation Sheet'!E87</f>
        <v>0</v>
      </c>
      <c r="AI4">
        <v>3</v>
      </c>
      <c r="AJ4">
        <f>IF($AM$1='OPSİYON SORGU'!AG4,1,0)</f>
        <v>0</v>
      </c>
      <c r="AK4">
        <f t="shared" ref="AK4:AK67" si="4">+IF(AJ4=0,0,AK3+1)</f>
        <v>0</v>
      </c>
      <c r="AO4" t="s">
        <v>92</v>
      </c>
      <c r="AP4" s="320">
        <f>'Quotation Sheet'!E87</f>
        <v>0</v>
      </c>
      <c r="AQ4">
        <v>3</v>
      </c>
      <c r="AR4">
        <f>IF($AU$1='OPSİYON SORGU'!AO4,1,0)</f>
        <v>0</v>
      </c>
      <c r="AS4">
        <f t="shared" ref="AS4:AS67" si="5">+IF(AR4=0,0,AS3+1)</f>
        <v>0</v>
      </c>
    </row>
    <row r="5" spans="1:47">
      <c r="A5" t="s">
        <v>92</v>
      </c>
      <c r="B5" s="320">
        <f>'Quotation Sheet'!E88</f>
        <v>0</v>
      </c>
      <c r="C5">
        <v>4</v>
      </c>
      <c r="D5">
        <f>IF($G$1='OPSİYON SORGU'!A5,1,0)</f>
        <v>0</v>
      </c>
      <c r="E5">
        <f t="shared" si="0"/>
        <v>0</v>
      </c>
      <c r="I5" t="s">
        <v>92</v>
      </c>
      <c r="J5" s="320">
        <f>'Quotation Sheet'!E88</f>
        <v>0</v>
      </c>
      <c r="K5">
        <v>4</v>
      </c>
      <c r="L5">
        <f>IF($O$1='OPSİYON SORGU'!I5,1,0)</f>
        <v>0</v>
      </c>
      <c r="M5">
        <f t="shared" si="1"/>
        <v>0</v>
      </c>
      <c r="Q5" t="s">
        <v>92</v>
      </c>
      <c r="R5" s="320">
        <f>'Quotation Sheet'!E88</f>
        <v>0</v>
      </c>
      <c r="S5">
        <v>4</v>
      </c>
      <c r="T5">
        <f>IF($W$1='OPSİYON SORGU'!Q5,1,0)</f>
        <v>0</v>
      </c>
      <c r="U5">
        <f t="shared" si="2"/>
        <v>0</v>
      </c>
      <c r="Y5" t="s">
        <v>92</v>
      </c>
      <c r="Z5" s="320">
        <f>'Quotation Sheet'!E88</f>
        <v>0</v>
      </c>
      <c r="AA5">
        <v>4</v>
      </c>
      <c r="AB5">
        <f>IF($AE$1='OPSİYON SORGU'!Y5,1,0)</f>
        <v>0</v>
      </c>
      <c r="AC5">
        <f t="shared" si="3"/>
        <v>0</v>
      </c>
      <c r="AG5" t="s">
        <v>92</v>
      </c>
      <c r="AH5" s="320">
        <f>'Quotation Sheet'!E88</f>
        <v>0</v>
      </c>
      <c r="AI5">
        <v>4</v>
      </c>
      <c r="AJ5">
        <f>IF($AM$1='OPSİYON SORGU'!AG5,1,0)</f>
        <v>0</v>
      </c>
      <c r="AK5">
        <f t="shared" si="4"/>
        <v>0</v>
      </c>
      <c r="AO5" t="s">
        <v>92</v>
      </c>
      <c r="AP5" s="320">
        <f>'Quotation Sheet'!E88</f>
        <v>0</v>
      </c>
      <c r="AQ5">
        <v>4</v>
      </c>
      <c r="AR5">
        <f>IF($AU$1='OPSİYON SORGU'!AO5,1,0)</f>
        <v>0</v>
      </c>
      <c r="AS5">
        <f t="shared" si="5"/>
        <v>0</v>
      </c>
    </row>
    <row r="6" spans="1:47">
      <c r="A6" t="s">
        <v>92</v>
      </c>
      <c r="B6" s="320">
        <f>'Quotation Sheet'!E89</f>
        <v>0</v>
      </c>
      <c r="C6">
        <v>5</v>
      </c>
      <c r="D6">
        <f>IF($G$1='OPSİYON SORGU'!A6,1,0)</f>
        <v>0</v>
      </c>
      <c r="E6">
        <f t="shared" si="0"/>
        <v>0</v>
      </c>
      <c r="I6" t="s">
        <v>92</v>
      </c>
      <c r="J6" s="320">
        <f>'Quotation Sheet'!E89</f>
        <v>0</v>
      </c>
      <c r="K6">
        <v>5</v>
      </c>
      <c r="L6">
        <f>IF($O$1='OPSİYON SORGU'!I6,1,0)</f>
        <v>0</v>
      </c>
      <c r="M6">
        <f t="shared" si="1"/>
        <v>0</v>
      </c>
      <c r="Q6" t="s">
        <v>92</v>
      </c>
      <c r="R6" s="320">
        <f>'Quotation Sheet'!E89</f>
        <v>0</v>
      </c>
      <c r="S6">
        <v>5</v>
      </c>
      <c r="T6">
        <f>IF($W$1='OPSİYON SORGU'!Q6,1,0)</f>
        <v>0</v>
      </c>
      <c r="U6">
        <f t="shared" si="2"/>
        <v>0</v>
      </c>
      <c r="Y6" t="s">
        <v>92</v>
      </c>
      <c r="Z6" s="320">
        <f>'Quotation Sheet'!E89</f>
        <v>0</v>
      </c>
      <c r="AA6">
        <v>5</v>
      </c>
      <c r="AB6">
        <f>IF($AE$1='OPSİYON SORGU'!Y6,1,0)</f>
        <v>0</v>
      </c>
      <c r="AC6">
        <f t="shared" si="3"/>
        <v>0</v>
      </c>
      <c r="AG6" t="s">
        <v>92</v>
      </c>
      <c r="AH6" s="320">
        <f>'Quotation Sheet'!E89</f>
        <v>0</v>
      </c>
      <c r="AI6">
        <v>5</v>
      </c>
      <c r="AJ6">
        <f>IF($AM$1='OPSİYON SORGU'!AG6,1,0)</f>
        <v>0</v>
      </c>
      <c r="AK6">
        <f t="shared" si="4"/>
        <v>0</v>
      </c>
      <c r="AO6" t="s">
        <v>92</v>
      </c>
      <c r="AP6" s="320">
        <f>'Quotation Sheet'!E89</f>
        <v>0</v>
      </c>
      <c r="AQ6">
        <v>5</v>
      </c>
      <c r="AR6">
        <f>IF($AU$1='OPSİYON SORGU'!AO6,1,0)</f>
        <v>0</v>
      </c>
      <c r="AS6">
        <f t="shared" si="5"/>
        <v>0</v>
      </c>
    </row>
    <row r="7" spans="1:47">
      <c r="A7" t="s">
        <v>92</v>
      </c>
      <c r="B7" s="320">
        <f>'Quotation Sheet'!E91</f>
        <v>0</v>
      </c>
      <c r="C7">
        <v>6</v>
      </c>
      <c r="D7">
        <f>IF($G$1='OPSİYON SORGU'!A7,1,0)</f>
        <v>0</v>
      </c>
      <c r="E7">
        <f t="shared" si="0"/>
        <v>0</v>
      </c>
      <c r="I7" t="s">
        <v>92</v>
      </c>
      <c r="J7" s="320">
        <f>'Quotation Sheet'!E91</f>
        <v>0</v>
      </c>
      <c r="K7">
        <v>6</v>
      </c>
      <c r="L7">
        <f>IF($O$1='OPSİYON SORGU'!I7,1,0)</f>
        <v>0</v>
      </c>
      <c r="M7">
        <f t="shared" si="1"/>
        <v>0</v>
      </c>
      <c r="Q7" t="s">
        <v>92</v>
      </c>
      <c r="R7" s="320">
        <f>'Quotation Sheet'!E91</f>
        <v>0</v>
      </c>
      <c r="S7">
        <v>6</v>
      </c>
      <c r="T7">
        <f>IF($W$1='OPSİYON SORGU'!Q7,1,0)</f>
        <v>0</v>
      </c>
      <c r="U7">
        <f t="shared" si="2"/>
        <v>0</v>
      </c>
      <c r="Y7" t="s">
        <v>92</v>
      </c>
      <c r="Z7" s="320">
        <f>'Quotation Sheet'!E91</f>
        <v>0</v>
      </c>
      <c r="AA7">
        <v>6</v>
      </c>
      <c r="AB7">
        <f>IF($AE$1='OPSİYON SORGU'!Y7,1,0)</f>
        <v>0</v>
      </c>
      <c r="AC7">
        <f t="shared" si="3"/>
        <v>0</v>
      </c>
      <c r="AG7" t="s">
        <v>92</v>
      </c>
      <c r="AH7" s="320">
        <f>'Quotation Sheet'!E91</f>
        <v>0</v>
      </c>
      <c r="AI7">
        <v>6</v>
      </c>
      <c r="AJ7">
        <f>IF($AM$1='OPSİYON SORGU'!AG7,1,0)</f>
        <v>0</v>
      </c>
      <c r="AK7">
        <f t="shared" si="4"/>
        <v>0</v>
      </c>
      <c r="AO7" t="s">
        <v>92</v>
      </c>
      <c r="AP7" s="320">
        <f>'Quotation Sheet'!E91</f>
        <v>0</v>
      </c>
      <c r="AQ7">
        <v>6</v>
      </c>
      <c r="AR7">
        <f>IF($AU$1='OPSİYON SORGU'!AO7,1,0)</f>
        <v>0</v>
      </c>
      <c r="AS7">
        <f t="shared" si="5"/>
        <v>0</v>
      </c>
    </row>
    <row r="8" spans="1:47">
      <c r="A8" t="s">
        <v>92</v>
      </c>
      <c r="B8" s="320">
        <f>'Quotation Sheet'!E92</f>
        <v>0</v>
      </c>
      <c r="C8">
        <v>7</v>
      </c>
      <c r="D8">
        <f>IF($G$1='OPSİYON SORGU'!A8,1,0)</f>
        <v>0</v>
      </c>
      <c r="E8">
        <f t="shared" si="0"/>
        <v>0</v>
      </c>
      <c r="I8" t="s">
        <v>92</v>
      </c>
      <c r="J8" s="320">
        <f>'Quotation Sheet'!E92</f>
        <v>0</v>
      </c>
      <c r="K8">
        <v>7</v>
      </c>
      <c r="L8">
        <f>IF($O$1='OPSİYON SORGU'!I8,1,0)</f>
        <v>0</v>
      </c>
      <c r="M8">
        <f t="shared" si="1"/>
        <v>0</v>
      </c>
      <c r="Q8" t="s">
        <v>92</v>
      </c>
      <c r="R8" s="320">
        <f>'Quotation Sheet'!E92</f>
        <v>0</v>
      </c>
      <c r="S8">
        <v>7</v>
      </c>
      <c r="T8">
        <f>IF($W$1='OPSİYON SORGU'!Q8,1,0)</f>
        <v>0</v>
      </c>
      <c r="U8">
        <f t="shared" si="2"/>
        <v>0</v>
      </c>
      <c r="Y8" t="s">
        <v>92</v>
      </c>
      <c r="Z8" s="320">
        <f>'Quotation Sheet'!E92</f>
        <v>0</v>
      </c>
      <c r="AA8">
        <v>7</v>
      </c>
      <c r="AB8">
        <f>IF($AE$1='OPSİYON SORGU'!Y8,1,0)</f>
        <v>0</v>
      </c>
      <c r="AC8">
        <f t="shared" si="3"/>
        <v>0</v>
      </c>
      <c r="AG8" t="s">
        <v>92</v>
      </c>
      <c r="AH8" s="320">
        <f>'Quotation Sheet'!E92</f>
        <v>0</v>
      </c>
      <c r="AI8">
        <v>7</v>
      </c>
      <c r="AJ8">
        <f>IF($AM$1='OPSİYON SORGU'!AG8,1,0)</f>
        <v>0</v>
      </c>
      <c r="AK8">
        <f t="shared" si="4"/>
        <v>0</v>
      </c>
      <c r="AO8" t="s">
        <v>92</v>
      </c>
      <c r="AP8" s="320">
        <f>'Quotation Sheet'!E92</f>
        <v>0</v>
      </c>
      <c r="AQ8">
        <v>7</v>
      </c>
      <c r="AR8">
        <f>IF($AU$1='OPSİYON SORGU'!AO8,1,0)</f>
        <v>0</v>
      </c>
      <c r="AS8">
        <f t="shared" si="5"/>
        <v>0</v>
      </c>
    </row>
    <row r="9" spans="1:47">
      <c r="A9" t="s">
        <v>92</v>
      </c>
      <c r="B9" s="320">
        <f>'Quotation Sheet'!E93</f>
        <v>0</v>
      </c>
      <c r="C9">
        <v>8</v>
      </c>
      <c r="D9">
        <f>IF($G$1='OPSİYON SORGU'!A9,1,0)</f>
        <v>0</v>
      </c>
      <c r="E9">
        <f t="shared" si="0"/>
        <v>0</v>
      </c>
      <c r="I9" t="s">
        <v>92</v>
      </c>
      <c r="J9" s="320">
        <f>'Quotation Sheet'!E93</f>
        <v>0</v>
      </c>
      <c r="K9">
        <v>8</v>
      </c>
      <c r="L9">
        <f>IF($O$1='OPSİYON SORGU'!I9,1,0)</f>
        <v>0</v>
      </c>
      <c r="M9">
        <f t="shared" si="1"/>
        <v>0</v>
      </c>
      <c r="Q9" t="s">
        <v>92</v>
      </c>
      <c r="R9" s="320">
        <f>'Quotation Sheet'!E93</f>
        <v>0</v>
      </c>
      <c r="S9">
        <v>8</v>
      </c>
      <c r="T9">
        <f>IF($W$1='OPSİYON SORGU'!Q9,1,0)</f>
        <v>0</v>
      </c>
      <c r="U9">
        <f t="shared" si="2"/>
        <v>0</v>
      </c>
      <c r="Y9" t="s">
        <v>92</v>
      </c>
      <c r="Z9" s="320">
        <f>'Quotation Sheet'!E93</f>
        <v>0</v>
      </c>
      <c r="AA9">
        <v>8</v>
      </c>
      <c r="AB9">
        <f>IF($AE$1='OPSİYON SORGU'!Y9,1,0)</f>
        <v>0</v>
      </c>
      <c r="AC9">
        <f t="shared" si="3"/>
        <v>0</v>
      </c>
      <c r="AG9" t="s">
        <v>92</v>
      </c>
      <c r="AH9" s="320">
        <f>'Quotation Sheet'!E93</f>
        <v>0</v>
      </c>
      <c r="AI9">
        <v>8</v>
      </c>
      <c r="AJ9">
        <f>IF($AM$1='OPSİYON SORGU'!AG9,1,0)</f>
        <v>0</v>
      </c>
      <c r="AK9">
        <f t="shared" si="4"/>
        <v>0</v>
      </c>
      <c r="AO9" t="s">
        <v>92</v>
      </c>
      <c r="AP9" s="320">
        <f>'Quotation Sheet'!E93</f>
        <v>0</v>
      </c>
      <c r="AQ9">
        <v>8</v>
      </c>
      <c r="AR9">
        <f>IF($AU$1='OPSİYON SORGU'!AO9,1,0)</f>
        <v>0</v>
      </c>
      <c r="AS9">
        <f t="shared" si="5"/>
        <v>0</v>
      </c>
    </row>
    <row r="10" spans="1:47">
      <c r="A10" t="s">
        <v>92</v>
      </c>
      <c r="B10" s="320">
        <f>'Quotation Sheet'!E94</f>
        <v>0</v>
      </c>
      <c r="C10">
        <v>9</v>
      </c>
      <c r="D10">
        <f>IF($G$1='OPSİYON SORGU'!A10,1,0)</f>
        <v>0</v>
      </c>
      <c r="E10">
        <f t="shared" si="0"/>
        <v>0</v>
      </c>
      <c r="I10" t="s">
        <v>92</v>
      </c>
      <c r="J10" s="320">
        <f>'Quotation Sheet'!E94</f>
        <v>0</v>
      </c>
      <c r="K10">
        <v>9</v>
      </c>
      <c r="L10">
        <f>IF($O$1='OPSİYON SORGU'!I10,1,0)</f>
        <v>0</v>
      </c>
      <c r="M10">
        <f t="shared" si="1"/>
        <v>0</v>
      </c>
      <c r="Q10" t="s">
        <v>92</v>
      </c>
      <c r="R10" s="320">
        <f>'Quotation Sheet'!E94</f>
        <v>0</v>
      </c>
      <c r="S10">
        <v>9</v>
      </c>
      <c r="T10">
        <f>IF($W$1='OPSİYON SORGU'!Q10,1,0)</f>
        <v>0</v>
      </c>
      <c r="U10">
        <f t="shared" si="2"/>
        <v>0</v>
      </c>
      <c r="Y10" t="s">
        <v>92</v>
      </c>
      <c r="Z10" s="320">
        <f>'Quotation Sheet'!E94</f>
        <v>0</v>
      </c>
      <c r="AA10">
        <v>9</v>
      </c>
      <c r="AB10">
        <f>IF($AE$1='OPSİYON SORGU'!Y10,1,0)</f>
        <v>0</v>
      </c>
      <c r="AC10">
        <f t="shared" si="3"/>
        <v>0</v>
      </c>
      <c r="AG10" t="s">
        <v>92</v>
      </c>
      <c r="AH10" s="320">
        <f>'Quotation Sheet'!E94</f>
        <v>0</v>
      </c>
      <c r="AI10">
        <v>9</v>
      </c>
      <c r="AJ10">
        <f>IF($AM$1='OPSİYON SORGU'!AG10,1,0)</f>
        <v>0</v>
      </c>
      <c r="AK10">
        <f t="shared" si="4"/>
        <v>0</v>
      </c>
      <c r="AO10" t="s">
        <v>92</v>
      </c>
      <c r="AP10" s="320">
        <f>'Quotation Sheet'!E94</f>
        <v>0</v>
      </c>
      <c r="AQ10">
        <v>9</v>
      </c>
      <c r="AR10">
        <f>IF($AU$1='OPSİYON SORGU'!AO10,1,0)</f>
        <v>0</v>
      </c>
      <c r="AS10">
        <f t="shared" si="5"/>
        <v>0</v>
      </c>
    </row>
    <row r="11" spans="1:47">
      <c r="A11" t="s">
        <v>92</v>
      </c>
      <c r="B11" s="320">
        <f>'Quotation Sheet'!E95</f>
        <v>0</v>
      </c>
      <c r="C11">
        <v>10</v>
      </c>
      <c r="D11">
        <f>IF($G$1='OPSİYON SORGU'!A11,1,0)</f>
        <v>0</v>
      </c>
      <c r="E11">
        <f t="shared" si="0"/>
        <v>0</v>
      </c>
      <c r="I11" t="s">
        <v>92</v>
      </c>
      <c r="J11" s="320">
        <f>'Quotation Sheet'!E95</f>
        <v>0</v>
      </c>
      <c r="K11">
        <v>10</v>
      </c>
      <c r="L11">
        <f>IF($O$1='OPSİYON SORGU'!I11,1,0)</f>
        <v>0</v>
      </c>
      <c r="M11">
        <f t="shared" si="1"/>
        <v>0</v>
      </c>
      <c r="Q11" t="s">
        <v>92</v>
      </c>
      <c r="R11" s="320">
        <f>'Quotation Sheet'!E95</f>
        <v>0</v>
      </c>
      <c r="S11">
        <v>10</v>
      </c>
      <c r="T11">
        <f>IF($W$1='OPSİYON SORGU'!Q11,1,0)</f>
        <v>0</v>
      </c>
      <c r="U11">
        <f t="shared" si="2"/>
        <v>0</v>
      </c>
      <c r="Y11" t="s">
        <v>92</v>
      </c>
      <c r="Z11" s="320">
        <f>'Quotation Sheet'!E95</f>
        <v>0</v>
      </c>
      <c r="AA11">
        <v>10</v>
      </c>
      <c r="AB11">
        <f>IF($AE$1='OPSİYON SORGU'!Y11,1,0)</f>
        <v>0</v>
      </c>
      <c r="AC11">
        <f t="shared" si="3"/>
        <v>0</v>
      </c>
      <c r="AG11" t="s">
        <v>92</v>
      </c>
      <c r="AH11" s="320">
        <f>'Quotation Sheet'!E95</f>
        <v>0</v>
      </c>
      <c r="AI11">
        <v>10</v>
      </c>
      <c r="AJ11">
        <f>IF($AM$1='OPSİYON SORGU'!AG11,1,0)</f>
        <v>0</v>
      </c>
      <c r="AK11">
        <f t="shared" si="4"/>
        <v>0</v>
      </c>
      <c r="AO11" t="s">
        <v>92</v>
      </c>
      <c r="AP11" s="320">
        <f>'Quotation Sheet'!E95</f>
        <v>0</v>
      </c>
      <c r="AQ11">
        <v>10</v>
      </c>
      <c r="AR11">
        <f>IF($AU$1='OPSİYON SORGU'!AO11,1,0)</f>
        <v>0</v>
      </c>
      <c r="AS11">
        <f t="shared" si="5"/>
        <v>0</v>
      </c>
    </row>
    <row r="12" spans="1:47">
      <c r="A12" t="s">
        <v>92</v>
      </c>
      <c r="B12" s="320">
        <f>'Quotation Sheet'!E97</f>
        <v>0</v>
      </c>
      <c r="C12">
        <v>11</v>
      </c>
      <c r="D12">
        <f>IF($G$1='OPSİYON SORGU'!A12,1,0)</f>
        <v>0</v>
      </c>
      <c r="E12">
        <f t="shared" si="0"/>
        <v>0</v>
      </c>
      <c r="I12" t="s">
        <v>92</v>
      </c>
      <c r="J12" s="320">
        <f>'Quotation Sheet'!E97</f>
        <v>0</v>
      </c>
      <c r="K12">
        <v>11</v>
      </c>
      <c r="L12">
        <f>IF($O$1='OPSİYON SORGU'!I12,1,0)</f>
        <v>0</v>
      </c>
      <c r="M12">
        <f t="shared" si="1"/>
        <v>0</v>
      </c>
      <c r="Q12" t="s">
        <v>92</v>
      </c>
      <c r="R12" s="320">
        <f>'Quotation Sheet'!E97</f>
        <v>0</v>
      </c>
      <c r="S12">
        <v>11</v>
      </c>
      <c r="T12">
        <f>IF($W$1='OPSİYON SORGU'!Q12,1,0)</f>
        <v>0</v>
      </c>
      <c r="U12">
        <f t="shared" si="2"/>
        <v>0</v>
      </c>
      <c r="Y12" t="s">
        <v>92</v>
      </c>
      <c r="Z12" s="320">
        <f>'Quotation Sheet'!E97</f>
        <v>0</v>
      </c>
      <c r="AA12">
        <v>11</v>
      </c>
      <c r="AB12">
        <f>IF($AE$1='OPSİYON SORGU'!Y12,1,0)</f>
        <v>0</v>
      </c>
      <c r="AC12">
        <f t="shared" si="3"/>
        <v>0</v>
      </c>
      <c r="AG12" t="s">
        <v>92</v>
      </c>
      <c r="AH12" s="320">
        <f>'Quotation Sheet'!E97</f>
        <v>0</v>
      </c>
      <c r="AI12">
        <v>11</v>
      </c>
      <c r="AJ12">
        <f>IF($AM$1='OPSİYON SORGU'!AG12,1,0)</f>
        <v>0</v>
      </c>
      <c r="AK12">
        <f t="shared" si="4"/>
        <v>0</v>
      </c>
      <c r="AO12" t="s">
        <v>92</v>
      </c>
      <c r="AP12" s="320">
        <f>'Quotation Sheet'!E97</f>
        <v>0</v>
      </c>
      <c r="AQ12">
        <v>11</v>
      </c>
      <c r="AR12">
        <f>IF($AU$1='OPSİYON SORGU'!AO12,1,0)</f>
        <v>0</v>
      </c>
      <c r="AS12">
        <f t="shared" si="5"/>
        <v>0</v>
      </c>
    </row>
    <row r="13" spans="1:47">
      <c r="A13" t="s">
        <v>92</v>
      </c>
      <c r="B13" s="320">
        <f>'Quotation Sheet'!E98</f>
        <v>0</v>
      </c>
      <c r="C13">
        <v>12</v>
      </c>
      <c r="D13">
        <f>IF($G$1='OPSİYON SORGU'!A13,1,0)</f>
        <v>0</v>
      </c>
      <c r="E13">
        <f t="shared" si="0"/>
        <v>0</v>
      </c>
      <c r="I13" t="s">
        <v>92</v>
      </c>
      <c r="J13" s="320">
        <f>'Quotation Sheet'!E98</f>
        <v>0</v>
      </c>
      <c r="K13">
        <v>12</v>
      </c>
      <c r="L13">
        <f>IF($O$1='OPSİYON SORGU'!I13,1,0)</f>
        <v>0</v>
      </c>
      <c r="M13">
        <f t="shared" si="1"/>
        <v>0</v>
      </c>
      <c r="Q13" t="s">
        <v>92</v>
      </c>
      <c r="R13" s="320">
        <f>'Quotation Sheet'!E98</f>
        <v>0</v>
      </c>
      <c r="S13">
        <v>12</v>
      </c>
      <c r="T13">
        <f>IF($W$1='OPSİYON SORGU'!Q13,1,0)</f>
        <v>0</v>
      </c>
      <c r="U13">
        <f t="shared" si="2"/>
        <v>0</v>
      </c>
      <c r="Y13" t="s">
        <v>92</v>
      </c>
      <c r="Z13" s="320">
        <f>'Quotation Sheet'!E98</f>
        <v>0</v>
      </c>
      <c r="AA13">
        <v>12</v>
      </c>
      <c r="AB13">
        <f>IF($AE$1='OPSİYON SORGU'!Y13,1,0)</f>
        <v>0</v>
      </c>
      <c r="AC13">
        <f t="shared" si="3"/>
        <v>0</v>
      </c>
      <c r="AG13" t="s">
        <v>92</v>
      </c>
      <c r="AH13" s="320">
        <f>'Quotation Sheet'!E98</f>
        <v>0</v>
      </c>
      <c r="AI13">
        <v>12</v>
      </c>
      <c r="AJ13">
        <f>IF($AM$1='OPSİYON SORGU'!AG13,1,0)</f>
        <v>0</v>
      </c>
      <c r="AK13">
        <f t="shared" si="4"/>
        <v>0</v>
      </c>
      <c r="AO13" t="s">
        <v>92</v>
      </c>
      <c r="AP13" s="320">
        <f>'Quotation Sheet'!E98</f>
        <v>0</v>
      </c>
      <c r="AQ13">
        <v>12</v>
      </c>
      <c r="AR13">
        <f>IF($AU$1='OPSİYON SORGU'!AO13,1,0)</f>
        <v>0</v>
      </c>
      <c r="AS13">
        <f t="shared" si="5"/>
        <v>0</v>
      </c>
    </row>
    <row r="14" spans="1:47">
      <c r="A14" t="s">
        <v>92</v>
      </c>
      <c r="B14" s="320">
        <f>'Quotation Sheet'!E99</f>
        <v>0</v>
      </c>
      <c r="C14">
        <v>13</v>
      </c>
      <c r="D14">
        <f>IF($G$1='OPSİYON SORGU'!A14,1,0)</f>
        <v>0</v>
      </c>
      <c r="E14">
        <f t="shared" si="0"/>
        <v>0</v>
      </c>
      <c r="I14" t="s">
        <v>92</v>
      </c>
      <c r="J14" s="320">
        <f>'Quotation Sheet'!E99</f>
        <v>0</v>
      </c>
      <c r="K14">
        <v>13</v>
      </c>
      <c r="L14">
        <f>IF($O$1='OPSİYON SORGU'!I14,1,0)</f>
        <v>0</v>
      </c>
      <c r="M14">
        <f t="shared" si="1"/>
        <v>0</v>
      </c>
      <c r="Q14" t="s">
        <v>92</v>
      </c>
      <c r="R14" s="320">
        <f>'Quotation Sheet'!E99</f>
        <v>0</v>
      </c>
      <c r="S14">
        <v>13</v>
      </c>
      <c r="T14">
        <f>IF($W$1='OPSİYON SORGU'!Q14,1,0)</f>
        <v>0</v>
      </c>
      <c r="U14">
        <f t="shared" si="2"/>
        <v>0</v>
      </c>
      <c r="Y14" t="s">
        <v>92</v>
      </c>
      <c r="Z14" s="320">
        <f>'Quotation Sheet'!E99</f>
        <v>0</v>
      </c>
      <c r="AA14">
        <v>13</v>
      </c>
      <c r="AB14">
        <f>IF($AE$1='OPSİYON SORGU'!Y14,1,0)</f>
        <v>0</v>
      </c>
      <c r="AC14">
        <f t="shared" si="3"/>
        <v>0</v>
      </c>
      <c r="AG14" t="s">
        <v>92</v>
      </c>
      <c r="AH14" s="320">
        <f>'Quotation Sheet'!E99</f>
        <v>0</v>
      </c>
      <c r="AI14">
        <v>13</v>
      </c>
      <c r="AJ14">
        <f>IF($AM$1='OPSİYON SORGU'!AG14,1,0)</f>
        <v>0</v>
      </c>
      <c r="AK14">
        <f t="shared" si="4"/>
        <v>0</v>
      </c>
      <c r="AO14" t="s">
        <v>92</v>
      </c>
      <c r="AP14" s="320">
        <f>'Quotation Sheet'!E99</f>
        <v>0</v>
      </c>
      <c r="AQ14">
        <v>13</v>
      </c>
      <c r="AR14">
        <f>IF($AU$1='OPSİYON SORGU'!AO14,1,0)</f>
        <v>0</v>
      </c>
      <c r="AS14">
        <f t="shared" si="5"/>
        <v>0</v>
      </c>
    </row>
    <row r="15" spans="1:47">
      <c r="A15" t="s">
        <v>92</v>
      </c>
      <c r="B15" s="320">
        <f>'Quotation Sheet'!E100</f>
        <v>0</v>
      </c>
      <c r="C15">
        <v>14</v>
      </c>
      <c r="D15">
        <f>IF($G$1='OPSİYON SORGU'!A15,1,0)</f>
        <v>0</v>
      </c>
      <c r="E15">
        <f t="shared" si="0"/>
        <v>0</v>
      </c>
      <c r="I15" t="s">
        <v>92</v>
      </c>
      <c r="J15" s="320">
        <f>'Quotation Sheet'!E100</f>
        <v>0</v>
      </c>
      <c r="K15">
        <v>14</v>
      </c>
      <c r="L15">
        <f>IF($O$1='OPSİYON SORGU'!I15,1,0)</f>
        <v>0</v>
      </c>
      <c r="M15">
        <f t="shared" si="1"/>
        <v>0</v>
      </c>
      <c r="Q15" t="s">
        <v>92</v>
      </c>
      <c r="R15" s="320">
        <f>'Quotation Sheet'!E100</f>
        <v>0</v>
      </c>
      <c r="S15">
        <v>14</v>
      </c>
      <c r="T15">
        <f>IF($W$1='OPSİYON SORGU'!Q15,1,0)</f>
        <v>0</v>
      </c>
      <c r="U15">
        <f t="shared" si="2"/>
        <v>0</v>
      </c>
      <c r="Y15" t="s">
        <v>92</v>
      </c>
      <c r="Z15" s="320">
        <f>'Quotation Sheet'!E100</f>
        <v>0</v>
      </c>
      <c r="AA15">
        <v>14</v>
      </c>
      <c r="AB15">
        <f>IF($AE$1='OPSİYON SORGU'!Y15,1,0)</f>
        <v>0</v>
      </c>
      <c r="AC15">
        <f t="shared" si="3"/>
        <v>0</v>
      </c>
      <c r="AG15" t="s">
        <v>92</v>
      </c>
      <c r="AH15" s="320">
        <f>'Quotation Sheet'!E100</f>
        <v>0</v>
      </c>
      <c r="AI15">
        <v>14</v>
      </c>
      <c r="AJ15">
        <f>IF($AM$1='OPSİYON SORGU'!AG15,1,0)</f>
        <v>0</v>
      </c>
      <c r="AK15">
        <f t="shared" si="4"/>
        <v>0</v>
      </c>
      <c r="AO15" t="s">
        <v>92</v>
      </c>
      <c r="AP15" s="320">
        <f>'Quotation Sheet'!E100</f>
        <v>0</v>
      </c>
      <c r="AQ15">
        <v>14</v>
      </c>
      <c r="AR15">
        <f>IF($AU$1='OPSİYON SORGU'!AO15,1,0)</f>
        <v>0</v>
      </c>
      <c r="AS15">
        <f t="shared" si="5"/>
        <v>0</v>
      </c>
    </row>
    <row r="16" spans="1:47">
      <c r="A16" t="s">
        <v>92</v>
      </c>
      <c r="B16" s="320">
        <f>'Quotation Sheet'!E101</f>
        <v>0</v>
      </c>
      <c r="C16">
        <v>15</v>
      </c>
      <c r="D16">
        <f>IF($G$1='OPSİYON SORGU'!A16,1,0)</f>
        <v>0</v>
      </c>
      <c r="E16">
        <f t="shared" si="0"/>
        <v>0</v>
      </c>
      <c r="I16" t="s">
        <v>92</v>
      </c>
      <c r="J16" s="320">
        <f>'Quotation Sheet'!E101</f>
        <v>0</v>
      </c>
      <c r="K16">
        <v>15</v>
      </c>
      <c r="L16">
        <f>IF($O$1='OPSİYON SORGU'!I16,1,0)</f>
        <v>0</v>
      </c>
      <c r="M16">
        <f t="shared" si="1"/>
        <v>0</v>
      </c>
      <c r="Q16" t="s">
        <v>92</v>
      </c>
      <c r="R16" s="320">
        <f>'Quotation Sheet'!E101</f>
        <v>0</v>
      </c>
      <c r="S16">
        <v>15</v>
      </c>
      <c r="T16">
        <f>IF($W$1='OPSİYON SORGU'!Q16,1,0)</f>
        <v>0</v>
      </c>
      <c r="U16">
        <f t="shared" si="2"/>
        <v>0</v>
      </c>
      <c r="Y16" t="s">
        <v>92</v>
      </c>
      <c r="Z16" s="320">
        <f>'Quotation Sheet'!E101</f>
        <v>0</v>
      </c>
      <c r="AA16">
        <v>15</v>
      </c>
      <c r="AB16">
        <f>IF($AE$1='OPSİYON SORGU'!Y16,1,0)</f>
        <v>0</v>
      </c>
      <c r="AC16">
        <f t="shared" si="3"/>
        <v>0</v>
      </c>
      <c r="AG16" t="s">
        <v>92</v>
      </c>
      <c r="AH16" s="320">
        <f>'Quotation Sheet'!E101</f>
        <v>0</v>
      </c>
      <c r="AI16">
        <v>15</v>
      </c>
      <c r="AJ16">
        <f>IF($AM$1='OPSİYON SORGU'!AG16,1,0)</f>
        <v>0</v>
      </c>
      <c r="AK16">
        <f t="shared" si="4"/>
        <v>0</v>
      </c>
      <c r="AO16" t="s">
        <v>92</v>
      </c>
      <c r="AP16" s="320">
        <f>'Quotation Sheet'!E101</f>
        <v>0</v>
      </c>
      <c r="AQ16">
        <v>15</v>
      </c>
      <c r="AR16">
        <f>IF($AU$1='OPSİYON SORGU'!AO16,1,0)</f>
        <v>0</v>
      </c>
      <c r="AS16">
        <f t="shared" si="5"/>
        <v>0</v>
      </c>
    </row>
    <row r="17" spans="1:45">
      <c r="A17" t="s">
        <v>92</v>
      </c>
      <c r="B17" s="320">
        <f>'Quotation Sheet'!E103</f>
        <v>0</v>
      </c>
      <c r="C17">
        <v>16</v>
      </c>
      <c r="D17">
        <f>IF($G$1='OPSİYON SORGU'!A17,1,0)</f>
        <v>0</v>
      </c>
      <c r="E17">
        <f t="shared" si="0"/>
        <v>0</v>
      </c>
      <c r="I17" t="s">
        <v>92</v>
      </c>
      <c r="J17" s="320">
        <f>'Quotation Sheet'!E103</f>
        <v>0</v>
      </c>
      <c r="K17">
        <v>16</v>
      </c>
      <c r="L17">
        <f>IF($O$1='OPSİYON SORGU'!I17,1,0)</f>
        <v>0</v>
      </c>
      <c r="M17">
        <f t="shared" si="1"/>
        <v>0</v>
      </c>
      <c r="Q17" t="s">
        <v>92</v>
      </c>
      <c r="R17" s="320">
        <f>'Quotation Sheet'!E103</f>
        <v>0</v>
      </c>
      <c r="S17">
        <v>16</v>
      </c>
      <c r="T17">
        <f>IF($W$1='OPSİYON SORGU'!Q17,1,0)</f>
        <v>0</v>
      </c>
      <c r="U17">
        <f t="shared" si="2"/>
        <v>0</v>
      </c>
      <c r="Y17" t="s">
        <v>92</v>
      </c>
      <c r="Z17" s="320">
        <f>'Quotation Sheet'!E103</f>
        <v>0</v>
      </c>
      <c r="AA17">
        <v>16</v>
      </c>
      <c r="AB17">
        <f>IF($AE$1='OPSİYON SORGU'!Y17,1,0)</f>
        <v>0</v>
      </c>
      <c r="AC17">
        <f t="shared" si="3"/>
        <v>0</v>
      </c>
      <c r="AG17" t="s">
        <v>92</v>
      </c>
      <c r="AH17" s="320">
        <f>'Quotation Sheet'!E103</f>
        <v>0</v>
      </c>
      <c r="AI17">
        <v>16</v>
      </c>
      <c r="AJ17">
        <f>IF($AM$1='OPSİYON SORGU'!AG17,1,0)</f>
        <v>0</v>
      </c>
      <c r="AK17">
        <f t="shared" si="4"/>
        <v>0</v>
      </c>
      <c r="AO17" t="s">
        <v>92</v>
      </c>
      <c r="AP17" s="320">
        <f>'Quotation Sheet'!E103</f>
        <v>0</v>
      </c>
      <c r="AQ17">
        <v>16</v>
      </c>
      <c r="AR17">
        <f>IF($AU$1='OPSİYON SORGU'!AO17,1,0)</f>
        <v>0</v>
      </c>
      <c r="AS17">
        <f t="shared" si="5"/>
        <v>0</v>
      </c>
    </row>
    <row r="18" spans="1:45">
      <c r="A18" t="s">
        <v>92</v>
      </c>
      <c r="B18" s="320">
        <f>'Quotation Sheet'!E104</f>
        <v>0</v>
      </c>
      <c r="C18">
        <v>17</v>
      </c>
      <c r="D18">
        <f>IF($G$1='OPSİYON SORGU'!A18,1,0)</f>
        <v>0</v>
      </c>
      <c r="E18">
        <f t="shared" si="0"/>
        <v>0</v>
      </c>
      <c r="I18" t="s">
        <v>92</v>
      </c>
      <c r="J18" s="320">
        <f>'Quotation Sheet'!E104</f>
        <v>0</v>
      </c>
      <c r="K18">
        <v>17</v>
      </c>
      <c r="L18">
        <f>IF($O$1='OPSİYON SORGU'!I18,1,0)</f>
        <v>0</v>
      </c>
      <c r="M18">
        <f t="shared" si="1"/>
        <v>0</v>
      </c>
      <c r="Q18" t="s">
        <v>92</v>
      </c>
      <c r="R18" s="320">
        <f>'Quotation Sheet'!E104</f>
        <v>0</v>
      </c>
      <c r="S18">
        <v>17</v>
      </c>
      <c r="T18">
        <f>IF($W$1='OPSİYON SORGU'!Q18,1,0)</f>
        <v>0</v>
      </c>
      <c r="U18">
        <f t="shared" si="2"/>
        <v>0</v>
      </c>
      <c r="Y18" t="s">
        <v>92</v>
      </c>
      <c r="Z18" s="320">
        <f>'Quotation Sheet'!E104</f>
        <v>0</v>
      </c>
      <c r="AA18">
        <v>17</v>
      </c>
      <c r="AB18">
        <f>IF($AE$1='OPSİYON SORGU'!Y18,1,0)</f>
        <v>0</v>
      </c>
      <c r="AC18">
        <f t="shared" si="3"/>
        <v>0</v>
      </c>
      <c r="AG18" t="s">
        <v>92</v>
      </c>
      <c r="AH18" s="320">
        <f>'Quotation Sheet'!E104</f>
        <v>0</v>
      </c>
      <c r="AI18">
        <v>17</v>
      </c>
      <c r="AJ18">
        <f>IF($AM$1='OPSİYON SORGU'!AG18,1,0)</f>
        <v>0</v>
      </c>
      <c r="AK18">
        <f t="shared" si="4"/>
        <v>0</v>
      </c>
      <c r="AO18" t="s">
        <v>92</v>
      </c>
      <c r="AP18" s="320">
        <f>'Quotation Sheet'!E104</f>
        <v>0</v>
      </c>
      <c r="AQ18">
        <v>17</v>
      </c>
      <c r="AR18">
        <f>IF($AU$1='OPSİYON SORGU'!AO18,1,0)</f>
        <v>0</v>
      </c>
      <c r="AS18">
        <f t="shared" si="5"/>
        <v>0</v>
      </c>
    </row>
    <row r="19" spans="1:45">
      <c r="A19" t="s">
        <v>92</v>
      </c>
      <c r="B19" s="320">
        <f>'Quotation Sheet'!E105</f>
        <v>0</v>
      </c>
      <c r="C19">
        <v>18</v>
      </c>
      <c r="D19">
        <f>IF($G$1='OPSİYON SORGU'!A19,1,0)</f>
        <v>0</v>
      </c>
      <c r="E19">
        <f t="shared" si="0"/>
        <v>0</v>
      </c>
      <c r="I19" t="s">
        <v>92</v>
      </c>
      <c r="J19" s="320">
        <f>'Quotation Sheet'!E105</f>
        <v>0</v>
      </c>
      <c r="K19">
        <v>18</v>
      </c>
      <c r="L19">
        <f>IF($O$1='OPSİYON SORGU'!I19,1,0)</f>
        <v>0</v>
      </c>
      <c r="M19">
        <f t="shared" si="1"/>
        <v>0</v>
      </c>
      <c r="Q19" t="s">
        <v>92</v>
      </c>
      <c r="R19" s="320">
        <f>'Quotation Sheet'!E105</f>
        <v>0</v>
      </c>
      <c r="S19">
        <v>18</v>
      </c>
      <c r="T19">
        <f>IF($W$1='OPSİYON SORGU'!Q19,1,0)</f>
        <v>0</v>
      </c>
      <c r="U19">
        <f t="shared" si="2"/>
        <v>0</v>
      </c>
      <c r="Y19" t="s">
        <v>92</v>
      </c>
      <c r="Z19" s="320">
        <f>'Quotation Sheet'!E105</f>
        <v>0</v>
      </c>
      <c r="AA19">
        <v>18</v>
      </c>
      <c r="AB19">
        <f>IF($AE$1='OPSİYON SORGU'!Y19,1,0)</f>
        <v>0</v>
      </c>
      <c r="AC19">
        <f t="shared" si="3"/>
        <v>0</v>
      </c>
      <c r="AG19" t="s">
        <v>92</v>
      </c>
      <c r="AH19" s="320">
        <f>'Quotation Sheet'!E105</f>
        <v>0</v>
      </c>
      <c r="AI19">
        <v>18</v>
      </c>
      <c r="AJ19">
        <f>IF($AM$1='OPSİYON SORGU'!AG19,1,0)</f>
        <v>0</v>
      </c>
      <c r="AK19">
        <f t="shared" si="4"/>
        <v>0</v>
      </c>
      <c r="AO19" t="s">
        <v>92</v>
      </c>
      <c r="AP19" s="320">
        <f>'Quotation Sheet'!E105</f>
        <v>0</v>
      </c>
      <c r="AQ19">
        <v>18</v>
      </c>
      <c r="AR19">
        <f>IF($AU$1='OPSİYON SORGU'!AO19,1,0)</f>
        <v>0</v>
      </c>
      <c r="AS19">
        <f t="shared" si="5"/>
        <v>0</v>
      </c>
    </row>
    <row r="20" spans="1:45">
      <c r="A20" t="s">
        <v>92</v>
      </c>
      <c r="B20" s="320">
        <f>'Quotation Sheet'!E106</f>
        <v>0</v>
      </c>
      <c r="C20">
        <v>19</v>
      </c>
      <c r="D20">
        <f>IF($G$1='OPSİYON SORGU'!A20,1,0)</f>
        <v>0</v>
      </c>
      <c r="E20">
        <f t="shared" si="0"/>
        <v>0</v>
      </c>
      <c r="I20" t="s">
        <v>92</v>
      </c>
      <c r="J20" s="320">
        <f>'Quotation Sheet'!E106</f>
        <v>0</v>
      </c>
      <c r="K20">
        <v>19</v>
      </c>
      <c r="L20">
        <f>IF($O$1='OPSİYON SORGU'!I20,1,0)</f>
        <v>0</v>
      </c>
      <c r="M20">
        <f t="shared" si="1"/>
        <v>0</v>
      </c>
      <c r="Q20" t="s">
        <v>92</v>
      </c>
      <c r="R20" s="320">
        <f>'Quotation Sheet'!E106</f>
        <v>0</v>
      </c>
      <c r="S20">
        <v>19</v>
      </c>
      <c r="T20">
        <f>IF($W$1='OPSİYON SORGU'!Q20,1,0)</f>
        <v>0</v>
      </c>
      <c r="U20">
        <f t="shared" si="2"/>
        <v>0</v>
      </c>
      <c r="Y20" t="s">
        <v>92</v>
      </c>
      <c r="Z20" s="320">
        <f>'Quotation Sheet'!E106</f>
        <v>0</v>
      </c>
      <c r="AA20">
        <v>19</v>
      </c>
      <c r="AB20">
        <f>IF($AE$1='OPSİYON SORGU'!Y20,1,0)</f>
        <v>0</v>
      </c>
      <c r="AC20">
        <f t="shared" si="3"/>
        <v>0</v>
      </c>
      <c r="AG20" t="s">
        <v>92</v>
      </c>
      <c r="AH20" s="320">
        <f>'Quotation Sheet'!E106</f>
        <v>0</v>
      </c>
      <c r="AI20">
        <v>19</v>
      </c>
      <c r="AJ20">
        <f>IF($AM$1='OPSİYON SORGU'!AG20,1,0)</f>
        <v>0</v>
      </c>
      <c r="AK20">
        <f t="shared" si="4"/>
        <v>0</v>
      </c>
      <c r="AO20" t="s">
        <v>92</v>
      </c>
      <c r="AP20" s="320">
        <f>'Quotation Sheet'!E106</f>
        <v>0</v>
      </c>
      <c r="AQ20">
        <v>19</v>
      </c>
      <c r="AR20">
        <f>IF($AU$1='OPSİYON SORGU'!AO20,1,0)</f>
        <v>0</v>
      </c>
      <c r="AS20">
        <f t="shared" si="5"/>
        <v>0</v>
      </c>
    </row>
    <row r="21" spans="1:45">
      <c r="A21" t="s">
        <v>92</v>
      </c>
      <c r="B21" s="320">
        <f>'Quotation Sheet'!E107</f>
        <v>0</v>
      </c>
      <c r="C21">
        <v>20</v>
      </c>
      <c r="D21">
        <f>IF($G$1='OPSİYON SORGU'!A21,1,0)</f>
        <v>0</v>
      </c>
      <c r="E21">
        <f t="shared" si="0"/>
        <v>0</v>
      </c>
      <c r="I21" t="s">
        <v>92</v>
      </c>
      <c r="J21" s="320">
        <f>'Quotation Sheet'!E107</f>
        <v>0</v>
      </c>
      <c r="K21">
        <v>20</v>
      </c>
      <c r="L21">
        <f>IF($O$1='OPSİYON SORGU'!I21,1,0)</f>
        <v>0</v>
      </c>
      <c r="M21">
        <f t="shared" si="1"/>
        <v>0</v>
      </c>
      <c r="Q21" t="s">
        <v>92</v>
      </c>
      <c r="R21" s="320">
        <f>'Quotation Sheet'!E107</f>
        <v>0</v>
      </c>
      <c r="S21">
        <v>20</v>
      </c>
      <c r="T21">
        <f>IF($W$1='OPSİYON SORGU'!Q21,1,0)</f>
        <v>0</v>
      </c>
      <c r="U21">
        <f t="shared" si="2"/>
        <v>0</v>
      </c>
      <c r="Y21" t="s">
        <v>92</v>
      </c>
      <c r="Z21" s="320">
        <f>'Quotation Sheet'!E107</f>
        <v>0</v>
      </c>
      <c r="AA21">
        <v>20</v>
      </c>
      <c r="AB21">
        <f>IF($AE$1='OPSİYON SORGU'!Y21,1,0)</f>
        <v>0</v>
      </c>
      <c r="AC21">
        <f t="shared" si="3"/>
        <v>0</v>
      </c>
      <c r="AG21" t="s">
        <v>92</v>
      </c>
      <c r="AH21" s="320">
        <f>'Quotation Sheet'!E107</f>
        <v>0</v>
      </c>
      <c r="AI21">
        <v>20</v>
      </c>
      <c r="AJ21">
        <f>IF($AM$1='OPSİYON SORGU'!AG21,1,0)</f>
        <v>0</v>
      </c>
      <c r="AK21">
        <f t="shared" si="4"/>
        <v>0</v>
      </c>
      <c r="AO21" t="s">
        <v>92</v>
      </c>
      <c r="AP21" s="320">
        <f>'Quotation Sheet'!E107</f>
        <v>0</v>
      </c>
      <c r="AQ21">
        <v>20</v>
      </c>
      <c r="AR21">
        <f>IF($AU$1='OPSİYON SORGU'!AO21,1,0)</f>
        <v>0</v>
      </c>
      <c r="AS21">
        <f t="shared" si="5"/>
        <v>0</v>
      </c>
    </row>
    <row r="22" spans="1:45">
      <c r="A22" t="s">
        <v>92</v>
      </c>
      <c r="B22" s="320">
        <f>'Quotation Sheet'!E109</f>
        <v>0</v>
      </c>
      <c r="C22">
        <v>21</v>
      </c>
      <c r="D22">
        <f>IF($G$1='OPSİYON SORGU'!A22,1,0)</f>
        <v>0</v>
      </c>
      <c r="E22">
        <f t="shared" si="0"/>
        <v>0</v>
      </c>
      <c r="I22" t="s">
        <v>92</v>
      </c>
      <c r="J22" s="320">
        <f>'Quotation Sheet'!E109</f>
        <v>0</v>
      </c>
      <c r="K22">
        <v>21</v>
      </c>
      <c r="L22">
        <f>IF($O$1='OPSİYON SORGU'!I22,1,0)</f>
        <v>0</v>
      </c>
      <c r="M22">
        <f t="shared" si="1"/>
        <v>0</v>
      </c>
      <c r="Q22" t="s">
        <v>92</v>
      </c>
      <c r="R22" s="320">
        <f>'Quotation Sheet'!E109</f>
        <v>0</v>
      </c>
      <c r="S22">
        <v>21</v>
      </c>
      <c r="T22">
        <f>IF($W$1='OPSİYON SORGU'!Q22,1,0)</f>
        <v>0</v>
      </c>
      <c r="U22">
        <f t="shared" si="2"/>
        <v>0</v>
      </c>
      <c r="Y22" t="s">
        <v>92</v>
      </c>
      <c r="Z22" s="320">
        <f>'Quotation Sheet'!E109</f>
        <v>0</v>
      </c>
      <c r="AA22">
        <v>21</v>
      </c>
      <c r="AB22">
        <f>IF($AE$1='OPSİYON SORGU'!Y22,1,0)</f>
        <v>0</v>
      </c>
      <c r="AC22">
        <f t="shared" si="3"/>
        <v>0</v>
      </c>
      <c r="AG22" t="s">
        <v>92</v>
      </c>
      <c r="AH22" s="320">
        <f>'Quotation Sheet'!E109</f>
        <v>0</v>
      </c>
      <c r="AI22">
        <v>21</v>
      </c>
      <c r="AJ22">
        <f>IF($AM$1='OPSİYON SORGU'!AG22,1,0)</f>
        <v>0</v>
      </c>
      <c r="AK22">
        <f t="shared" si="4"/>
        <v>0</v>
      </c>
      <c r="AO22" t="s">
        <v>92</v>
      </c>
      <c r="AP22" s="320">
        <f>'Quotation Sheet'!E109</f>
        <v>0</v>
      </c>
      <c r="AQ22">
        <v>21</v>
      </c>
      <c r="AR22">
        <f>IF($AU$1='OPSİYON SORGU'!AO22,1,0)</f>
        <v>0</v>
      </c>
      <c r="AS22">
        <f t="shared" si="5"/>
        <v>0</v>
      </c>
    </row>
    <row r="23" spans="1:45">
      <c r="A23" t="s">
        <v>92</v>
      </c>
      <c r="B23" s="320">
        <f>'Quotation Sheet'!E110</f>
        <v>0</v>
      </c>
      <c r="C23">
        <v>22</v>
      </c>
      <c r="D23">
        <f>IF($G$1='OPSİYON SORGU'!A23,1,0)</f>
        <v>0</v>
      </c>
      <c r="E23">
        <f t="shared" si="0"/>
        <v>0</v>
      </c>
      <c r="I23" t="s">
        <v>92</v>
      </c>
      <c r="J23" s="320">
        <f>'Quotation Sheet'!E110</f>
        <v>0</v>
      </c>
      <c r="K23">
        <v>22</v>
      </c>
      <c r="L23">
        <f>IF($O$1='OPSİYON SORGU'!I23,1,0)</f>
        <v>0</v>
      </c>
      <c r="M23">
        <f t="shared" si="1"/>
        <v>0</v>
      </c>
      <c r="Q23" t="s">
        <v>92</v>
      </c>
      <c r="R23" s="320">
        <f>'Quotation Sheet'!E110</f>
        <v>0</v>
      </c>
      <c r="S23">
        <v>22</v>
      </c>
      <c r="T23">
        <f>IF($W$1='OPSİYON SORGU'!Q23,1,0)</f>
        <v>0</v>
      </c>
      <c r="U23">
        <f t="shared" si="2"/>
        <v>0</v>
      </c>
      <c r="Y23" t="s">
        <v>92</v>
      </c>
      <c r="Z23" s="320">
        <f>'Quotation Sheet'!E110</f>
        <v>0</v>
      </c>
      <c r="AA23">
        <v>22</v>
      </c>
      <c r="AB23">
        <f>IF($AE$1='OPSİYON SORGU'!Y23,1,0)</f>
        <v>0</v>
      </c>
      <c r="AC23">
        <f t="shared" si="3"/>
        <v>0</v>
      </c>
      <c r="AG23" t="s">
        <v>92</v>
      </c>
      <c r="AH23" s="320">
        <f>'Quotation Sheet'!E110</f>
        <v>0</v>
      </c>
      <c r="AI23">
        <v>22</v>
      </c>
      <c r="AJ23">
        <f>IF($AM$1='OPSİYON SORGU'!AG23,1,0)</f>
        <v>0</v>
      </c>
      <c r="AK23">
        <f t="shared" si="4"/>
        <v>0</v>
      </c>
      <c r="AO23" t="s">
        <v>92</v>
      </c>
      <c r="AP23" s="320">
        <f>'Quotation Sheet'!E110</f>
        <v>0</v>
      </c>
      <c r="AQ23">
        <v>22</v>
      </c>
      <c r="AR23">
        <f>IF($AU$1='OPSİYON SORGU'!AO23,1,0)</f>
        <v>0</v>
      </c>
      <c r="AS23">
        <f t="shared" si="5"/>
        <v>0</v>
      </c>
    </row>
    <row r="24" spans="1:45">
      <c r="A24" t="s">
        <v>92</v>
      </c>
      <c r="B24" s="320">
        <f>'Quotation Sheet'!E111</f>
        <v>0</v>
      </c>
      <c r="C24">
        <v>23</v>
      </c>
      <c r="D24">
        <f>IF($G$1='OPSİYON SORGU'!A24,1,0)</f>
        <v>0</v>
      </c>
      <c r="E24">
        <f t="shared" si="0"/>
        <v>0</v>
      </c>
      <c r="I24" t="s">
        <v>92</v>
      </c>
      <c r="J24" s="320">
        <f>'Quotation Sheet'!E111</f>
        <v>0</v>
      </c>
      <c r="K24">
        <v>23</v>
      </c>
      <c r="L24">
        <f>IF($O$1='OPSİYON SORGU'!I24,1,0)</f>
        <v>0</v>
      </c>
      <c r="M24">
        <f t="shared" si="1"/>
        <v>0</v>
      </c>
      <c r="Q24" t="s">
        <v>92</v>
      </c>
      <c r="R24" s="320">
        <f>'Quotation Sheet'!E111</f>
        <v>0</v>
      </c>
      <c r="S24">
        <v>23</v>
      </c>
      <c r="T24">
        <f>IF($W$1='OPSİYON SORGU'!Q24,1,0)</f>
        <v>0</v>
      </c>
      <c r="U24">
        <f t="shared" si="2"/>
        <v>0</v>
      </c>
      <c r="Y24" t="s">
        <v>92</v>
      </c>
      <c r="Z24" s="320">
        <f>'Quotation Sheet'!E111</f>
        <v>0</v>
      </c>
      <c r="AA24">
        <v>23</v>
      </c>
      <c r="AB24">
        <f>IF($AE$1='OPSİYON SORGU'!Y24,1,0)</f>
        <v>0</v>
      </c>
      <c r="AC24">
        <f t="shared" si="3"/>
        <v>0</v>
      </c>
      <c r="AG24" t="s">
        <v>92</v>
      </c>
      <c r="AH24" s="320">
        <f>'Quotation Sheet'!E111</f>
        <v>0</v>
      </c>
      <c r="AI24">
        <v>23</v>
      </c>
      <c r="AJ24">
        <f>IF($AM$1='OPSİYON SORGU'!AG24,1,0)</f>
        <v>0</v>
      </c>
      <c r="AK24">
        <f t="shared" si="4"/>
        <v>0</v>
      </c>
      <c r="AO24" t="s">
        <v>92</v>
      </c>
      <c r="AP24" s="320">
        <f>'Quotation Sheet'!E111</f>
        <v>0</v>
      </c>
      <c r="AQ24">
        <v>23</v>
      </c>
      <c r="AR24">
        <f>IF($AU$1='OPSİYON SORGU'!AO24,1,0)</f>
        <v>0</v>
      </c>
      <c r="AS24">
        <f t="shared" si="5"/>
        <v>0</v>
      </c>
    </row>
    <row r="25" spans="1:45">
      <c r="A25" t="s">
        <v>92</v>
      </c>
      <c r="B25" s="320">
        <f>'Quotation Sheet'!E112</f>
        <v>0</v>
      </c>
      <c r="C25">
        <v>24</v>
      </c>
      <c r="D25">
        <f>IF($G$1='OPSİYON SORGU'!A25,1,0)</f>
        <v>0</v>
      </c>
      <c r="E25">
        <f t="shared" si="0"/>
        <v>0</v>
      </c>
      <c r="I25" t="s">
        <v>92</v>
      </c>
      <c r="J25" s="320">
        <f>'Quotation Sheet'!E112</f>
        <v>0</v>
      </c>
      <c r="K25">
        <v>24</v>
      </c>
      <c r="L25">
        <f>IF($O$1='OPSİYON SORGU'!I25,1,0)</f>
        <v>0</v>
      </c>
      <c r="M25">
        <f t="shared" si="1"/>
        <v>0</v>
      </c>
      <c r="Q25" t="s">
        <v>92</v>
      </c>
      <c r="R25" s="320">
        <f>'Quotation Sheet'!E112</f>
        <v>0</v>
      </c>
      <c r="S25">
        <v>24</v>
      </c>
      <c r="T25">
        <f>IF($W$1='OPSİYON SORGU'!Q25,1,0)</f>
        <v>0</v>
      </c>
      <c r="U25">
        <f t="shared" si="2"/>
        <v>0</v>
      </c>
      <c r="Y25" t="s">
        <v>92</v>
      </c>
      <c r="Z25" s="320">
        <f>'Quotation Sheet'!E112</f>
        <v>0</v>
      </c>
      <c r="AA25">
        <v>24</v>
      </c>
      <c r="AB25">
        <f>IF($AE$1='OPSİYON SORGU'!Y25,1,0)</f>
        <v>0</v>
      </c>
      <c r="AC25">
        <f t="shared" si="3"/>
        <v>0</v>
      </c>
      <c r="AG25" t="s">
        <v>92</v>
      </c>
      <c r="AH25" s="320">
        <f>'Quotation Sheet'!E112</f>
        <v>0</v>
      </c>
      <c r="AI25">
        <v>24</v>
      </c>
      <c r="AJ25">
        <f>IF($AM$1='OPSİYON SORGU'!AG25,1,0)</f>
        <v>0</v>
      </c>
      <c r="AK25">
        <f t="shared" si="4"/>
        <v>0</v>
      </c>
      <c r="AO25" t="s">
        <v>92</v>
      </c>
      <c r="AP25" s="320">
        <f>'Quotation Sheet'!E112</f>
        <v>0</v>
      </c>
      <c r="AQ25">
        <v>24</v>
      </c>
      <c r="AR25">
        <f>IF($AU$1='OPSİYON SORGU'!AO25,1,0)</f>
        <v>0</v>
      </c>
      <c r="AS25">
        <f t="shared" si="5"/>
        <v>0</v>
      </c>
    </row>
    <row r="26" spans="1:45">
      <c r="A26" t="s">
        <v>92</v>
      </c>
      <c r="B26" s="320">
        <f>'Quotation Sheet'!E113</f>
        <v>0</v>
      </c>
      <c r="C26">
        <v>25</v>
      </c>
      <c r="D26">
        <f>IF($G$1='OPSİYON SORGU'!A26,1,0)</f>
        <v>0</v>
      </c>
      <c r="E26">
        <f t="shared" si="0"/>
        <v>0</v>
      </c>
      <c r="I26" t="s">
        <v>92</v>
      </c>
      <c r="J26" s="320">
        <f>'Quotation Sheet'!E113</f>
        <v>0</v>
      </c>
      <c r="K26">
        <v>25</v>
      </c>
      <c r="L26">
        <f>IF($O$1='OPSİYON SORGU'!I26,1,0)</f>
        <v>0</v>
      </c>
      <c r="M26">
        <f t="shared" si="1"/>
        <v>0</v>
      </c>
      <c r="Q26" t="s">
        <v>92</v>
      </c>
      <c r="R26" s="320">
        <f>'Quotation Sheet'!E113</f>
        <v>0</v>
      </c>
      <c r="S26">
        <v>25</v>
      </c>
      <c r="T26">
        <f>IF($W$1='OPSİYON SORGU'!Q26,1,0)</f>
        <v>0</v>
      </c>
      <c r="U26">
        <f t="shared" si="2"/>
        <v>0</v>
      </c>
      <c r="Y26" t="s">
        <v>92</v>
      </c>
      <c r="Z26" s="320">
        <f>'Quotation Sheet'!E113</f>
        <v>0</v>
      </c>
      <c r="AA26">
        <v>25</v>
      </c>
      <c r="AB26">
        <f>IF($AE$1='OPSİYON SORGU'!Y26,1,0)</f>
        <v>0</v>
      </c>
      <c r="AC26">
        <f t="shared" si="3"/>
        <v>0</v>
      </c>
      <c r="AG26" t="s">
        <v>92</v>
      </c>
      <c r="AH26" s="320">
        <f>'Quotation Sheet'!E113</f>
        <v>0</v>
      </c>
      <c r="AI26">
        <v>25</v>
      </c>
      <c r="AJ26">
        <f>IF($AM$1='OPSİYON SORGU'!AG26,1,0)</f>
        <v>0</v>
      </c>
      <c r="AK26">
        <f t="shared" si="4"/>
        <v>0</v>
      </c>
      <c r="AO26" t="s">
        <v>92</v>
      </c>
      <c r="AP26" s="320">
        <f>'Quotation Sheet'!E113</f>
        <v>0</v>
      </c>
      <c r="AQ26">
        <v>25</v>
      </c>
      <c r="AR26">
        <f>IF($AU$1='OPSİYON SORGU'!AO26,1,0)</f>
        <v>0</v>
      </c>
      <c r="AS26">
        <f t="shared" si="5"/>
        <v>0</v>
      </c>
    </row>
    <row r="27" spans="1:45">
      <c r="A27" t="s">
        <v>93</v>
      </c>
      <c r="B27" s="320">
        <f>'Quotation Sheet'!F85</f>
        <v>0</v>
      </c>
      <c r="C27">
        <v>26</v>
      </c>
      <c r="D27">
        <f>IF($G$1='OPSİYON SORGU'!A27,1,0)</f>
        <v>0</v>
      </c>
      <c r="E27">
        <f t="shared" si="0"/>
        <v>0</v>
      </c>
      <c r="I27" t="s">
        <v>93</v>
      </c>
      <c r="J27" s="320">
        <f>'Quotation Sheet'!F85</f>
        <v>0</v>
      </c>
      <c r="K27">
        <v>26</v>
      </c>
      <c r="L27">
        <f>IF($O$1='OPSİYON SORGU'!I27,1,0)</f>
        <v>0</v>
      </c>
      <c r="M27">
        <f t="shared" si="1"/>
        <v>0</v>
      </c>
      <c r="Q27" t="s">
        <v>93</v>
      </c>
      <c r="R27" s="320">
        <f>'Quotation Sheet'!F85</f>
        <v>0</v>
      </c>
      <c r="S27">
        <v>26</v>
      </c>
      <c r="T27">
        <f>IF($W$1='OPSİYON SORGU'!Q27,1,0)</f>
        <v>0</v>
      </c>
      <c r="U27">
        <f t="shared" si="2"/>
        <v>0</v>
      </c>
      <c r="Y27" t="s">
        <v>93</v>
      </c>
      <c r="Z27" s="320">
        <f>'Quotation Sheet'!F85</f>
        <v>0</v>
      </c>
      <c r="AA27">
        <v>26</v>
      </c>
      <c r="AB27">
        <f>IF($AE$1='OPSİYON SORGU'!Y27,1,0)</f>
        <v>0</v>
      </c>
      <c r="AC27">
        <f t="shared" si="3"/>
        <v>0</v>
      </c>
      <c r="AG27" t="s">
        <v>93</v>
      </c>
      <c r="AH27" s="320">
        <f>'Quotation Sheet'!F85</f>
        <v>0</v>
      </c>
      <c r="AI27">
        <v>26</v>
      </c>
      <c r="AJ27">
        <f>IF($AM$1='OPSİYON SORGU'!AG27,1,0)</f>
        <v>0</v>
      </c>
      <c r="AK27">
        <f t="shared" si="4"/>
        <v>0</v>
      </c>
      <c r="AO27" t="s">
        <v>93</v>
      </c>
      <c r="AP27" s="320">
        <f>'Quotation Sheet'!F85</f>
        <v>0</v>
      </c>
      <c r="AQ27">
        <v>26</v>
      </c>
      <c r="AR27">
        <f>IF($AU$1='OPSİYON SORGU'!AO27,1,0)</f>
        <v>0</v>
      </c>
      <c r="AS27">
        <f t="shared" si="5"/>
        <v>0</v>
      </c>
    </row>
    <row r="28" spans="1:45">
      <c r="A28" t="s">
        <v>93</v>
      </c>
      <c r="B28" s="320">
        <f>'Quotation Sheet'!F86</f>
        <v>0</v>
      </c>
      <c r="C28">
        <v>27</v>
      </c>
      <c r="D28">
        <f>IF($G$1='OPSİYON SORGU'!A28,1,0)</f>
        <v>0</v>
      </c>
      <c r="E28">
        <f t="shared" si="0"/>
        <v>0</v>
      </c>
      <c r="I28" t="s">
        <v>93</v>
      </c>
      <c r="J28" s="320">
        <f>'Quotation Sheet'!F86</f>
        <v>0</v>
      </c>
      <c r="K28">
        <v>27</v>
      </c>
      <c r="L28">
        <f>IF($O$1='OPSİYON SORGU'!I28,1,0)</f>
        <v>0</v>
      </c>
      <c r="M28">
        <f t="shared" si="1"/>
        <v>0</v>
      </c>
      <c r="Q28" t="s">
        <v>93</v>
      </c>
      <c r="R28" s="320">
        <f>'Quotation Sheet'!F86</f>
        <v>0</v>
      </c>
      <c r="S28">
        <v>27</v>
      </c>
      <c r="T28">
        <f>IF($W$1='OPSİYON SORGU'!Q28,1,0)</f>
        <v>0</v>
      </c>
      <c r="U28">
        <f t="shared" si="2"/>
        <v>0</v>
      </c>
      <c r="Y28" t="s">
        <v>93</v>
      </c>
      <c r="Z28" s="320">
        <f>'Quotation Sheet'!F86</f>
        <v>0</v>
      </c>
      <c r="AA28">
        <v>27</v>
      </c>
      <c r="AB28">
        <f>IF($AE$1='OPSİYON SORGU'!Y28,1,0)</f>
        <v>0</v>
      </c>
      <c r="AC28">
        <f t="shared" si="3"/>
        <v>0</v>
      </c>
      <c r="AG28" t="s">
        <v>93</v>
      </c>
      <c r="AH28" s="320">
        <f>'Quotation Sheet'!F86</f>
        <v>0</v>
      </c>
      <c r="AI28">
        <v>27</v>
      </c>
      <c r="AJ28">
        <f>IF($AM$1='OPSİYON SORGU'!AG28,1,0)</f>
        <v>0</v>
      </c>
      <c r="AK28">
        <f t="shared" si="4"/>
        <v>0</v>
      </c>
      <c r="AO28" t="s">
        <v>93</v>
      </c>
      <c r="AP28" s="320">
        <f>'Quotation Sheet'!F86</f>
        <v>0</v>
      </c>
      <c r="AQ28">
        <v>27</v>
      </c>
      <c r="AR28">
        <f>IF($AU$1='OPSİYON SORGU'!AO28,1,0)</f>
        <v>0</v>
      </c>
      <c r="AS28">
        <f t="shared" si="5"/>
        <v>0</v>
      </c>
    </row>
    <row r="29" spans="1:45">
      <c r="A29" t="s">
        <v>93</v>
      </c>
      <c r="B29" s="320">
        <f>'Quotation Sheet'!F87</f>
        <v>0</v>
      </c>
      <c r="C29">
        <v>28</v>
      </c>
      <c r="D29">
        <f>IF($G$1='OPSİYON SORGU'!A29,1,0)</f>
        <v>0</v>
      </c>
      <c r="E29">
        <f t="shared" si="0"/>
        <v>0</v>
      </c>
      <c r="I29" t="s">
        <v>93</v>
      </c>
      <c r="J29" s="320">
        <f>'Quotation Sheet'!F87</f>
        <v>0</v>
      </c>
      <c r="K29">
        <v>28</v>
      </c>
      <c r="L29">
        <f>IF($O$1='OPSİYON SORGU'!I29,1,0)</f>
        <v>0</v>
      </c>
      <c r="M29">
        <f t="shared" si="1"/>
        <v>0</v>
      </c>
      <c r="Q29" t="s">
        <v>93</v>
      </c>
      <c r="R29" s="320">
        <f>'Quotation Sheet'!F87</f>
        <v>0</v>
      </c>
      <c r="S29">
        <v>28</v>
      </c>
      <c r="T29">
        <f>IF($W$1='OPSİYON SORGU'!Q29,1,0)</f>
        <v>0</v>
      </c>
      <c r="U29">
        <f t="shared" si="2"/>
        <v>0</v>
      </c>
      <c r="Y29" t="s">
        <v>93</v>
      </c>
      <c r="Z29" s="320">
        <f>'Quotation Sheet'!F87</f>
        <v>0</v>
      </c>
      <c r="AA29">
        <v>28</v>
      </c>
      <c r="AB29">
        <f>IF($AE$1='OPSİYON SORGU'!Y29,1,0)</f>
        <v>0</v>
      </c>
      <c r="AC29">
        <f t="shared" si="3"/>
        <v>0</v>
      </c>
      <c r="AG29" t="s">
        <v>93</v>
      </c>
      <c r="AH29" s="320">
        <f>'Quotation Sheet'!F87</f>
        <v>0</v>
      </c>
      <c r="AI29">
        <v>28</v>
      </c>
      <c r="AJ29">
        <f>IF($AM$1='OPSİYON SORGU'!AG29,1,0)</f>
        <v>0</v>
      </c>
      <c r="AK29">
        <f t="shared" si="4"/>
        <v>0</v>
      </c>
      <c r="AO29" t="s">
        <v>93</v>
      </c>
      <c r="AP29" s="320">
        <f>'Quotation Sheet'!F87</f>
        <v>0</v>
      </c>
      <c r="AQ29">
        <v>28</v>
      </c>
      <c r="AR29">
        <f>IF($AU$1='OPSİYON SORGU'!AO29,1,0)</f>
        <v>0</v>
      </c>
      <c r="AS29">
        <f t="shared" si="5"/>
        <v>0</v>
      </c>
    </row>
    <row r="30" spans="1:45">
      <c r="A30" t="s">
        <v>93</v>
      </c>
      <c r="B30" s="320">
        <f>'Quotation Sheet'!F88</f>
        <v>0</v>
      </c>
      <c r="C30">
        <v>29</v>
      </c>
      <c r="D30">
        <f>IF($G$1='OPSİYON SORGU'!A30,1,0)</f>
        <v>0</v>
      </c>
      <c r="E30">
        <f t="shared" si="0"/>
        <v>0</v>
      </c>
      <c r="I30" t="s">
        <v>93</v>
      </c>
      <c r="J30" s="320">
        <f>'Quotation Sheet'!F88</f>
        <v>0</v>
      </c>
      <c r="K30">
        <v>29</v>
      </c>
      <c r="L30">
        <f>IF($O$1='OPSİYON SORGU'!I30,1,0)</f>
        <v>0</v>
      </c>
      <c r="M30">
        <f t="shared" si="1"/>
        <v>0</v>
      </c>
      <c r="Q30" t="s">
        <v>93</v>
      </c>
      <c r="R30" s="320">
        <f>'Quotation Sheet'!F88</f>
        <v>0</v>
      </c>
      <c r="S30">
        <v>29</v>
      </c>
      <c r="T30">
        <f>IF($W$1='OPSİYON SORGU'!Q30,1,0)</f>
        <v>0</v>
      </c>
      <c r="U30">
        <f t="shared" si="2"/>
        <v>0</v>
      </c>
      <c r="Y30" t="s">
        <v>93</v>
      </c>
      <c r="Z30" s="320">
        <f>'Quotation Sheet'!F88</f>
        <v>0</v>
      </c>
      <c r="AA30">
        <v>29</v>
      </c>
      <c r="AB30">
        <f>IF($AE$1='OPSİYON SORGU'!Y30,1,0)</f>
        <v>0</v>
      </c>
      <c r="AC30">
        <f t="shared" si="3"/>
        <v>0</v>
      </c>
      <c r="AG30" t="s">
        <v>93</v>
      </c>
      <c r="AH30" s="320">
        <f>'Quotation Sheet'!F88</f>
        <v>0</v>
      </c>
      <c r="AI30">
        <v>29</v>
      </c>
      <c r="AJ30">
        <f>IF($AM$1='OPSİYON SORGU'!AG30,1,0)</f>
        <v>0</v>
      </c>
      <c r="AK30">
        <f t="shared" si="4"/>
        <v>0</v>
      </c>
      <c r="AO30" t="s">
        <v>93</v>
      </c>
      <c r="AP30" s="320">
        <f>'Quotation Sheet'!F88</f>
        <v>0</v>
      </c>
      <c r="AQ30">
        <v>29</v>
      </c>
      <c r="AR30">
        <f>IF($AU$1='OPSİYON SORGU'!AO30,1,0)</f>
        <v>0</v>
      </c>
      <c r="AS30">
        <f t="shared" si="5"/>
        <v>0</v>
      </c>
    </row>
    <row r="31" spans="1:45">
      <c r="A31" t="s">
        <v>93</v>
      </c>
      <c r="B31" s="320">
        <f>'Quotation Sheet'!F89</f>
        <v>0</v>
      </c>
      <c r="C31">
        <v>30</v>
      </c>
      <c r="D31">
        <f>IF($G$1='OPSİYON SORGU'!A31,1,0)</f>
        <v>0</v>
      </c>
      <c r="E31">
        <f t="shared" si="0"/>
        <v>0</v>
      </c>
      <c r="I31" t="s">
        <v>93</v>
      </c>
      <c r="J31" s="320">
        <f>'Quotation Sheet'!F89</f>
        <v>0</v>
      </c>
      <c r="K31">
        <v>30</v>
      </c>
      <c r="L31">
        <f>IF($O$1='OPSİYON SORGU'!I31,1,0)</f>
        <v>0</v>
      </c>
      <c r="M31">
        <f t="shared" si="1"/>
        <v>0</v>
      </c>
      <c r="Q31" t="s">
        <v>93</v>
      </c>
      <c r="R31" s="320">
        <f>'Quotation Sheet'!F89</f>
        <v>0</v>
      </c>
      <c r="S31">
        <v>30</v>
      </c>
      <c r="T31">
        <f>IF($W$1='OPSİYON SORGU'!Q31,1,0)</f>
        <v>0</v>
      </c>
      <c r="U31">
        <f t="shared" si="2"/>
        <v>0</v>
      </c>
      <c r="Y31" t="s">
        <v>93</v>
      </c>
      <c r="Z31" s="320">
        <f>'Quotation Sheet'!F89</f>
        <v>0</v>
      </c>
      <c r="AA31">
        <v>30</v>
      </c>
      <c r="AB31">
        <f>IF($AE$1='OPSİYON SORGU'!Y31,1,0)</f>
        <v>0</v>
      </c>
      <c r="AC31">
        <f t="shared" si="3"/>
        <v>0</v>
      </c>
      <c r="AG31" t="s">
        <v>93</v>
      </c>
      <c r="AH31" s="320">
        <f>'Quotation Sheet'!F89</f>
        <v>0</v>
      </c>
      <c r="AI31">
        <v>30</v>
      </c>
      <c r="AJ31">
        <f>IF($AM$1='OPSİYON SORGU'!AG31,1,0)</f>
        <v>0</v>
      </c>
      <c r="AK31">
        <f t="shared" si="4"/>
        <v>0</v>
      </c>
      <c r="AO31" t="s">
        <v>93</v>
      </c>
      <c r="AP31" s="320">
        <f>'Quotation Sheet'!F89</f>
        <v>0</v>
      </c>
      <c r="AQ31">
        <v>30</v>
      </c>
      <c r="AR31">
        <f>IF($AU$1='OPSİYON SORGU'!AO31,1,0)</f>
        <v>0</v>
      </c>
      <c r="AS31">
        <f t="shared" si="5"/>
        <v>0</v>
      </c>
    </row>
    <row r="32" spans="1:45">
      <c r="A32" t="s">
        <v>93</v>
      </c>
      <c r="B32" s="320">
        <f>'Quotation Sheet'!F91</f>
        <v>0</v>
      </c>
      <c r="C32">
        <v>31</v>
      </c>
      <c r="D32">
        <f>IF($G$1='OPSİYON SORGU'!A32,1,0)</f>
        <v>0</v>
      </c>
      <c r="E32">
        <f t="shared" si="0"/>
        <v>0</v>
      </c>
      <c r="I32" t="s">
        <v>93</v>
      </c>
      <c r="J32" s="320">
        <f>'Quotation Sheet'!F91</f>
        <v>0</v>
      </c>
      <c r="K32">
        <v>31</v>
      </c>
      <c r="L32">
        <f>IF($O$1='OPSİYON SORGU'!I32,1,0)</f>
        <v>0</v>
      </c>
      <c r="M32">
        <f t="shared" si="1"/>
        <v>0</v>
      </c>
      <c r="Q32" t="s">
        <v>93</v>
      </c>
      <c r="R32" s="320">
        <f>'Quotation Sheet'!F91</f>
        <v>0</v>
      </c>
      <c r="S32">
        <v>31</v>
      </c>
      <c r="T32">
        <f>IF($W$1='OPSİYON SORGU'!Q32,1,0)</f>
        <v>0</v>
      </c>
      <c r="U32">
        <f t="shared" si="2"/>
        <v>0</v>
      </c>
      <c r="Y32" t="s">
        <v>93</v>
      </c>
      <c r="Z32" s="320">
        <f>'Quotation Sheet'!F91</f>
        <v>0</v>
      </c>
      <c r="AA32">
        <v>31</v>
      </c>
      <c r="AB32">
        <f>IF($AE$1='OPSİYON SORGU'!Y32,1,0)</f>
        <v>0</v>
      </c>
      <c r="AC32">
        <f t="shared" si="3"/>
        <v>0</v>
      </c>
      <c r="AG32" t="s">
        <v>93</v>
      </c>
      <c r="AH32" s="320">
        <f>'Quotation Sheet'!F91</f>
        <v>0</v>
      </c>
      <c r="AI32">
        <v>31</v>
      </c>
      <c r="AJ32">
        <f>IF($AM$1='OPSİYON SORGU'!AG32,1,0)</f>
        <v>0</v>
      </c>
      <c r="AK32">
        <f t="shared" si="4"/>
        <v>0</v>
      </c>
      <c r="AO32" t="s">
        <v>93</v>
      </c>
      <c r="AP32" s="320">
        <f>'Quotation Sheet'!F91</f>
        <v>0</v>
      </c>
      <c r="AQ32">
        <v>31</v>
      </c>
      <c r="AR32">
        <f>IF($AU$1='OPSİYON SORGU'!AO32,1,0)</f>
        <v>0</v>
      </c>
      <c r="AS32">
        <f t="shared" si="5"/>
        <v>0</v>
      </c>
    </row>
    <row r="33" spans="1:45">
      <c r="A33" t="s">
        <v>93</v>
      </c>
      <c r="B33" s="320">
        <f>'Quotation Sheet'!F92</f>
        <v>0</v>
      </c>
      <c r="C33">
        <v>32</v>
      </c>
      <c r="D33">
        <f>IF($G$1='OPSİYON SORGU'!A33,1,0)</f>
        <v>0</v>
      </c>
      <c r="E33">
        <f t="shared" si="0"/>
        <v>0</v>
      </c>
      <c r="I33" t="s">
        <v>93</v>
      </c>
      <c r="J33" s="320">
        <f>'Quotation Sheet'!F92</f>
        <v>0</v>
      </c>
      <c r="K33">
        <v>32</v>
      </c>
      <c r="L33">
        <f>IF($O$1='OPSİYON SORGU'!I33,1,0)</f>
        <v>0</v>
      </c>
      <c r="M33">
        <f t="shared" si="1"/>
        <v>0</v>
      </c>
      <c r="Q33" t="s">
        <v>93</v>
      </c>
      <c r="R33" s="320">
        <f>'Quotation Sheet'!F92</f>
        <v>0</v>
      </c>
      <c r="S33">
        <v>32</v>
      </c>
      <c r="T33">
        <f>IF($W$1='OPSİYON SORGU'!Q33,1,0)</f>
        <v>0</v>
      </c>
      <c r="U33">
        <f t="shared" si="2"/>
        <v>0</v>
      </c>
      <c r="Y33" t="s">
        <v>93</v>
      </c>
      <c r="Z33" s="320">
        <f>'Quotation Sheet'!F92</f>
        <v>0</v>
      </c>
      <c r="AA33">
        <v>32</v>
      </c>
      <c r="AB33">
        <f>IF($AE$1='OPSİYON SORGU'!Y33,1,0)</f>
        <v>0</v>
      </c>
      <c r="AC33">
        <f t="shared" si="3"/>
        <v>0</v>
      </c>
      <c r="AG33" t="s">
        <v>93</v>
      </c>
      <c r="AH33" s="320">
        <f>'Quotation Sheet'!F92</f>
        <v>0</v>
      </c>
      <c r="AI33">
        <v>32</v>
      </c>
      <c r="AJ33">
        <f>IF($AM$1='OPSİYON SORGU'!AG33,1,0)</f>
        <v>0</v>
      </c>
      <c r="AK33">
        <f t="shared" si="4"/>
        <v>0</v>
      </c>
      <c r="AO33" t="s">
        <v>93</v>
      </c>
      <c r="AP33" s="320">
        <f>'Quotation Sheet'!F92</f>
        <v>0</v>
      </c>
      <c r="AQ33">
        <v>32</v>
      </c>
      <c r="AR33">
        <f>IF($AU$1='OPSİYON SORGU'!AO33,1,0)</f>
        <v>0</v>
      </c>
      <c r="AS33">
        <f t="shared" si="5"/>
        <v>0</v>
      </c>
    </row>
    <row r="34" spans="1:45">
      <c r="A34" t="s">
        <v>93</v>
      </c>
      <c r="B34" s="320">
        <f>'Quotation Sheet'!F93</f>
        <v>0</v>
      </c>
      <c r="C34">
        <v>33</v>
      </c>
      <c r="D34">
        <f>IF($G$1='OPSİYON SORGU'!A34,1,0)</f>
        <v>0</v>
      </c>
      <c r="E34">
        <f t="shared" si="0"/>
        <v>0</v>
      </c>
      <c r="I34" t="s">
        <v>93</v>
      </c>
      <c r="J34" s="320">
        <f>'Quotation Sheet'!F93</f>
        <v>0</v>
      </c>
      <c r="K34">
        <v>33</v>
      </c>
      <c r="L34">
        <f>IF($O$1='OPSİYON SORGU'!I34,1,0)</f>
        <v>0</v>
      </c>
      <c r="M34">
        <f t="shared" si="1"/>
        <v>0</v>
      </c>
      <c r="Q34" t="s">
        <v>93</v>
      </c>
      <c r="R34" s="320">
        <f>'Quotation Sheet'!F93</f>
        <v>0</v>
      </c>
      <c r="S34">
        <v>33</v>
      </c>
      <c r="T34">
        <f>IF($W$1='OPSİYON SORGU'!Q34,1,0)</f>
        <v>0</v>
      </c>
      <c r="U34">
        <f t="shared" si="2"/>
        <v>0</v>
      </c>
      <c r="Y34" t="s">
        <v>93</v>
      </c>
      <c r="Z34" s="320">
        <f>'Quotation Sheet'!F93</f>
        <v>0</v>
      </c>
      <c r="AA34">
        <v>33</v>
      </c>
      <c r="AB34">
        <f>IF($AE$1='OPSİYON SORGU'!Y34,1,0)</f>
        <v>0</v>
      </c>
      <c r="AC34">
        <f t="shared" si="3"/>
        <v>0</v>
      </c>
      <c r="AG34" t="s">
        <v>93</v>
      </c>
      <c r="AH34" s="320">
        <f>'Quotation Sheet'!F93</f>
        <v>0</v>
      </c>
      <c r="AI34">
        <v>33</v>
      </c>
      <c r="AJ34">
        <f>IF($AM$1='OPSİYON SORGU'!AG34,1,0)</f>
        <v>0</v>
      </c>
      <c r="AK34">
        <f t="shared" si="4"/>
        <v>0</v>
      </c>
      <c r="AO34" t="s">
        <v>93</v>
      </c>
      <c r="AP34" s="320">
        <f>'Quotation Sheet'!F93</f>
        <v>0</v>
      </c>
      <c r="AQ34">
        <v>33</v>
      </c>
      <c r="AR34">
        <f>IF($AU$1='OPSİYON SORGU'!AO34,1,0)</f>
        <v>0</v>
      </c>
      <c r="AS34">
        <f t="shared" si="5"/>
        <v>0</v>
      </c>
    </row>
    <row r="35" spans="1:45">
      <c r="A35" t="s">
        <v>93</v>
      </c>
      <c r="B35" s="320">
        <f>'Quotation Sheet'!F94</f>
        <v>0</v>
      </c>
      <c r="C35">
        <v>34</v>
      </c>
      <c r="D35">
        <f>IF($G$1='OPSİYON SORGU'!A35,1,0)</f>
        <v>0</v>
      </c>
      <c r="E35">
        <f t="shared" si="0"/>
        <v>0</v>
      </c>
      <c r="I35" t="s">
        <v>93</v>
      </c>
      <c r="J35" s="320">
        <f>'Quotation Sheet'!F94</f>
        <v>0</v>
      </c>
      <c r="K35">
        <v>34</v>
      </c>
      <c r="L35">
        <f>IF($O$1='OPSİYON SORGU'!I35,1,0)</f>
        <v>0</v>
      </c>
      <c r="M35">
        <f t="shared" si="1"/>
        <v>0</v>
      </c>
      <c r="Q35" t="s">
        <v>93</v>
      </c>
      <c r="R35" s="320">
        <f>'Quotation Sheet'!F94</f>
        <v>0</v>
      </c>
      <c r="S35">
        <v>34</v>
      </c>
      <c r="T35">
        <f>IF($W$1='OPSİYON SORGU'!Q35,1,0)</f>
        <v>0</v>
      </c>
      <c r="U35">
        <f t="shared" si="2"/>
        <v>0</v>
      </c>
      <c r="Y35" t="s">
        <v>93</v>
      </c>
      <c r="Z35" s="320">
        <f>'Quotation Sheet'!F94</f>
        <v>0</v>
      </c>
      <c r="AA35">
        <v>34</v>
      </c>
      <c r="AB35">
        <f>IF($AE$1='OPSİYON SORGU'!Y35,1,0)</f>
        <v>0</v>
      </c>
      <c r="AC35">
        <f t="shared" si="3"/>
        <v>0</v>
      </c>
      <c r="AG35" t="s">
        <v>93</v>
      </c>
      <c r="AH35" s="320">
        <f>'Quotation Sheet'!F94</f>
        <v>0</v>
      </c>
      <c r="AI35">
        <v>34</v>
      </c>
      <c r="AJ35">
        <f>IF($AM$1='OPSİYON SORGU'!AG35,1,0)</f>
        <v>0</v>
      </c>
      <c r="AK35">
        <f t="shared" si="4"/>
        <v>0</v>
      </c>
      <c r="AO35" t="s">
        <v>93</v>
      </c>
      <c r="AP35" s="320">
        <f>'Quotation Sheet'!F94</f>
        <v>0</v>
      </c>
      <c r="AQ35">
        <v>34</v>
      </c>
      <c r="AR35">
        <f>IF($AU$1='OPSİYON SORGU'!AO35,1,0)</f>
        <v>0</v>
      </c>
      <c r="AS35">
        <f t="shared" si="5"/>
        <v>0</v>
      </c>
    </row>
    <row r="36" spans="1:45">
      <c r="A36" t="s">
        <v>93</v>
      </c>
      <c r="B36" s="320">
        <f>'Quotation Sheet'!F95</f>
        <v>0</v>
      </c>
      <c r="C36">
        <v>35</v>
      </c>
      <c r="D36">
        <f>IF($G$1='OPSİYON SORGU'!A36,1,0)</f>
        <v>0</v>
      </c>
      <c r="E36">
        <f t="shared" si="0"/>
        <v>0</v>
      </c>
      <c r="I36" t="s">
        <v>93</v>
      </c>
      <c r="J36" s="320">
        <f>'Quotation Sheet'!F95</f>
        <v>0</v>
      </c>
      <c r="K36">
        <v>35</v>
      </c>
      <c r="L36">
        <f>IF($O$1='OPSİYON SORGU'!I36,1,0)</f>
        <v>0</v>
      </c>
      <c r="M36">
        <f t="shared" si="1"/>
        <v>0</v>
      </c>
      <c r="Q36" t="s">
        <v>93</v>
      </c>
      <c r="R36" s="320">
        <f>'Quotation Sheet'!F95</f>
        <v>0</v>
      </c>
      <c r="S36">
        <v>35</v>
      </c>
      <c r="T36">
        <f>IF($W$1='OPSİYON SORGU'!Q36,1,0)</f>
        <v>0</v>
      </c>
      <c r="U36">
        <f t="shared" si="2"/>
        <v>0</v>
      </c>
      <c r="Y36" t="s">
        <v>93</v>
      </c>
      <c r="Z36" s="320">
        <f>'Quotation Sheet'!F95</f>
        <v>0</v>
      </c>
      <c r="AA36">
        <v>35</v>
      </c>
      <c r="AB36">
        <f>IF($AE$1='OPSİYON SORGU'!Y36,1,0)</f>
        <v>0</v>
      </c>
      <c r="AC36">
        <f t="shared" si="3"/>
        <v>0</v>
      </c>
      <c r="AG36" t="s">
        <v>93</v>
      </c>
      <c r="AH36" s="320">
        <f>'Quotation Sheet'!F95</f>
        <v>0</v>
      </c>
      <c r="AI36">
        <v>35</v>
      </c>
      <c r="AJ36">
        <f>IF($AM$1='OPSİYON SORGU'!AG36,1,0)</f>
        <v>0</v>
      </c>
      <c r="AK36">
        <f t="shared" si="4"/>
        <v>0</v>
      </c>
      <c r="AO36" t="s">
        <v>93</v>
      </c>
      <c r="AP36" s="320">
        <f>'Quotation Sheet'!F95</f>
        <v>0</v>
      </c>
      <c r="AQ36">
        <v>35</v>
      </c>
      <c r="AR36">
        <f>IF($AU$1='OPSİYON SORGU'!AO36,1,0)</f>
        <v>0</v>
      </c>
      <c r="AS36">
        <f t="shared" si="5"/>
        <v>0</v>
      </c>
    </row>
    <row r="37" spans="1:45">
      <c r="A37" t="s">
        <v>93</v>
      </c>
      <c r="B37" s="320">
        <f>'Quotation Sheet'!F97</f>
        <v>0</v>
      </c>
      <c r="C37">
        <v>36</v>
      </c>
      <c r="D37">
        <f>IF($G$1='OPSİYON SORGU'!A37,1,0)</f>
        <v>0</v>
      </c>
      <c r="E37">
        <f t="shared" si="0"/>
        <v>0</v>
      </c>
      <c r="I37" t="s">
        <v>93</v>
      </c>
      <c r="J37" s="320">
        <f>'Quotation Sheet'!F97</f>
        <v>0</v>
      </c>
      <c r="K37">
        <v>36</v>
      </c>
      <c r="L37">
        <f>IF($O$1='OPSİYON SORGU'!I37,1,0)</f>
        <v>0</v>
      </c>
      <c r="M37">
        <f t="shared" si="1"/>
        <v>0</v>
      </c>
      <c r="Q37" t="s">
        <v>93</v>
      </c>
      <c r="R37" s="320">
        <f>'Quotation Sheet'!F97</f>
        <v>0</v>
      </c>
      <c r="S37">
        <v>36</v>
      </c>
      <c r="T37">
        <f>IF($W$1='OPSİYON SORGU'!Q37,1,0)</f>
        <v>0</v>
      </c>
      <c r="U37">
        <f t="shared" si="2"/>
        <v>0</v>
      </c>
      <c r="Y37" t="s">
        <v>93</v>
      </c>
      <c r="Z37" s="320">
        <f>'Quotation Sheet'!F97</f>
        <v>0</v>
      </c>
      <c r="AA37">
        <v>36</v>
      </c>
      <c r="AB37">
        <f>IF($AE$1='OPSİYON SORGU'!Y37,1,0)</f>
        <v>0</v>
      </c>
      <c r="AC37">
        <f t="shared" si="3"/>
        <v>0</v>
      </c>
      <c r="AG37" t="s">
        <v>93</v>
      </c>
      <c r="AH37" s="320">
        <f>'Quotation Sheet'!F97</f>
        <v>0</v>
      </c>
      <c r="AI37">
        <v>36</v>
      </c>
      <c r="AJ37">
        <f>IF($AM$1='OPSİYON SORGU'!AG37,1,0)</f>
        <v>0</v>
      </c>
      <c r="AK37">
        <f t="shared" si="4"/>
        <v>0</v>
      </c>
      <c r="AO37" t="s">
        <v>93</v>
      </c>
      <c r="AP37" s="320">
        <f>'Quotation Sheet'!F97</f>
        <v>0</v>
      </c>
      <c r="AQ37">
        <v>36</v>
      </c>
      <c r="AR37">
        <f>IF($AU$1='OPSİYON SORGU'!AO37,1,0)</f>
        <v>0</v>
      </c>
      <c r="AS37">
        <f t="shared" si="5"/>
        <v>0</v>
      </c>
    </row>
    <row r="38" spans="1:45">
      <c r="A38" t="s">
        <v>93</v>
      </c>
      <c r="B38" s="320">
        <f>'Quotation Sheet'!F98</f>
        <v>0</v>
      </c>
      <c r="C38">
        <v>37</v>
      </c>
      <c r="D38">
        <f>IF($G$1='OPSİYON SORGU'!A38,1,0)</f>
        <v>0</v>
      </c>
      <c r="E38">
        <f t="shared" si="0"/>
        <v>0</v>
      </c>
      <c r="I38" t="s">
        <v>93</v>
      </c>
      <c r="J38" s="320">
        <f>'Quotation Sheet'!F98</f>
        <v>0</v>
      </c>
      <c r="K38">
        <v>37</v>
      </c>
      <c r="L38">
        <f>IF($O$1='OPSİYON SORGU'!I38,1,0)</f>
        <v>0</v>
      </c>
      <c r="M38">
        <f t="shared" si="1"/>
        <v>0</v>
      </c>
      <c r="Q38" t="s">
        <v>93</v>
      </c>
      <c r="R38" s="320">
        <f>'Quotation Sheet'!F98</f>
        <v>0</v>
      </c>
      <c r="S38">
        <v>37</v>
      </c>
      <c r="T38">
        <f>IF($W$1='OPSİYON SORGU'!Q38,1,0)</f>
        <v>0</v>
      </c>
      <c r="U38">
        <f t="shared" si="2"/>
        <v>0</v>
      </c>
      <c r="Y38" t="s">
        <v>93</v>
      </c>
      <c r="Z38" s="320">
        <f>'Quotation Sheet'!F98</f>
        <v>0</v>
      </c>
      <c r="AA38">
        <v>37</v>
      </c>
      <c r="AB38">
        <f>IF($AE$1='OPSİYON SORGU'!Y38,1,0)</f>
        <v>0</v>
      </c>
      <c r="AC38">
        <f t="shared" si="3"/>
        <v>0</v>
      </c>
      <c r="AG38" t="s">
        <v>93</v>
      </c>
      <c r="AH38" s="320">
        <f>'Quotation Sheet'!F98</f>
        <v>0</v>
      </c>
      <c r="AI38">
        <v>37</v>
      </c>
      <c r="AJ38">
        <f>IF($AM$1='OPSİYON SORGU'!AG38,1,0)</f>
        <v>0</v>
      </c>
      <c r="AK38">
        <f t="shared" si="4"/>
        <v>0</v>
      </c>
      <c r="AO38" t="s">
        <v>93</v>
      </c>
      <c r="AP38" s="320">
        <f>'Quotation Sheet'!F98</f>
        <v>0</v>
      </c>
      <c r="AQ38">
        <v>37</v>
      </c>
      <c r="AR38">
        <f>IF($AU$1='OPSİYON SORGU'!AO38,1,0)</f>
        <v>0</v>
      </c>
      <c r="AS38">
        <f t="shared" si="5"/>
        <v>0</v>
      </c>
    </row>
    <row r="39" spans="1:45">
      <c r="A39" t="s">
        <v>93</v>
      </c>
      <c r="B39" s="320">
        <f>'Quotation Sheet'!F99</f>
        <v>0</v>
      </c>
      <c r="C39">
        <v>38</v>
      </c>
      <c r="D39">
        <f>IF($G$1='OPSİYON SORGU'!A39,1,0)</f>
        <v>0</v>
      </c>
      <c r="E39">
        <f t="shared" si="0"/>
        <v>0</v>
      </c>
      <c r="I39" t="s">
        <v>93</v>
      </c>
      <c r="J39" s="320">
        <f>'Quotation Sheet'!F99</f>
        <v>0</v>
      </c>
      <c r="K39">
        <v>38</v>
      </c>
      <c r="L39">
        <f>IF($O$1='OPSİYON SORGU'!I39,1,0)</f>
        <v>0</v>
      </c>
      <c r="M39">
        <f t="shared" si="1"/>
        <v>0</v>
      </c>
      <c r="Q39" t="s">
        <v>93</v>
      </c>
      <c r="R39" s="320">
        <f>'Quotation Sheet'!F99</f>
        <v>0</v>
      </c>
      <c r="S39">
        <v>38</v>
      </c>
      <c r="T39">
        <f>IF($W$1='OPSİYON SORGU'!Q39,1,0)</f>
        <v>0</v>
      </c>
      <c r="U39">
        <f t="shared" si="2"/>
        <v>0</v>
      </c>
      <c r="Y39" t="s">
        <v>93</v>
      </c>
      <c r="Z39" s="320">
        <f>'Quotation Sheet'!F99</f>
        <v>0</v>
      </c>
      <c r="AA39">
        <v>38</v>
      </c>
      <c r="AB39">
        <f>IF($AE$1='OPSİYON SORGU'!Y39,1,0)</f>
        <v>0</v>
      </c>
      <c r="AC39">
        <f t="shared" si="3"/>
        <v>0</v>
      </c>
      <c r="AG39" t="s">
        <v>93</v>
      </c>
      <c r="AH39" s="320">
        <f>'Quotation Sheet'!F99</f>
        <v>0</v>
      </c>
      <c r="AI39">
        <v>38</v>
      </c>
      <c r="AJ39">
        <f>IF($AM$1='OPSİYON SORGU'!AG39,1,0)</f>
        <v>0</v>
      </c>
      <c r="AK39">
        <f t="shared" si="4"/>
        <v>0</v>
      </c>
      <c r="AO39" t="s">
        <v>93</v>
      </c>
      <c r="AP39" s="320">
        <f>'Quotation Sheet'!F99</f>
        <v>0</v>
      </c>
      <c r="AQ39">
        <v>38</v>
      </c>
      <c r="AR39">
        <f>IF($AU$1='OPSİYON SORGU'!AO39,1,0)</f>
        <v>0</v>
      </c>
      <c r="AS39">
        <f t="shared" si="5"/>
        <v>0</v>
      </c>
    </row>
    <row r="40" spans="1:45">
      <c r="A40" t="s">
        <v>93</v>
      </c>
      <c r="B40" s="320">
        <f>'Quotation Sheet'!F100</f>
        <v>0</v>
      </c>
      <c r="C40">
        <v>39</v>
      </c>
      <c r="D40">
        <f>IF($G$1='OPSİYON SORGU'!A40,1,0)</f>
        <v>0</v>
      </c>
      <c r="E40">
        <f t="shared" si="0"/>
        <v>0</v>
      </c>
      <c r="I40" t="s">
        <v>93</v>
      </c>
      <c r="J40" s="320">
        <f>'Quotation Sheet'!F100</f>
        <v>0</v>
      </c>
      <c r="K40">
        <v>39</v>
      </c>
      <c r="L40">
        <f>IF($O$1='OPSİYON SORGU'!I40,1,0)</f>
        <v>0</v>
      </c>
      <c r="M40">
        <f t="shared" si="1"/>
        <v>0</v>
      </c>
      <c r="Q40" t="s">
        <v>93</v>
      </c>
      <c r="R40" s="320">
        <f>'Quotation Sheet'!F100</f>
        <v>0</v>
      </c>
      <c r="S40">
        <v>39</v>
      </c>
      <c r="T40">
        <f>IF($W$1='OPSİYON SORGU'!Q40,1,0)</f>
        <v>0</v>
      </c>
      <c r="U40">
        <f t="shared" si="2"/>
        <v>0</v>
      </c>
      <c r="Y40" t="s">
        <v>93</v>
      </c>
      <c r="Z40" s="320">
        <f>'Quotation Sheet'!F100</f>
        <v>0</v>
      </c>
      <c r="AA40">
        <v>39</v>
      </c>
      <c r="AB40">
        <f>IF($AE$1='OPSİYON SORGU'!Y40,1,0)</f>
        <v>0</v>
      </c>
      <c r="AC40">
        <f t="shared" si="3"/>
        <v>0</v>
      </c>
      <c r="AG40" t="s">
        <v>93</v>
      </c>
      <c r="AH40" s="320">
        <f>'Quotation Sheet'!F100</f>
        <v>0</v>
      </c>
      <c r="AI40">
        <v>39</v>
      </c>
      <c r="AJ40">
        <f>IF($AM$1='OPSİYON SORGU'!AG40,1,0)</f>
        <v>0</v>
      </c>
      <c r="AK40">
        <f t="shared" si="4"/>
        <v>0</v>
      </c>
      <c r="AO40" t="s">
        <v>93</v>
      </c>
      <c r="AP40" s="320">
        <f>'Quotation Sheet'!F100</f>
        <v>0</v>
      </c>
      <c r="AQ40">
        <v>39</v>
      </c>
      <c r="AR40">
        <f>IF($AU$1='OPSİYON SORGU'!AO40,1,0)</f>
        <v>0</v>
      </c>
      <c r="AS40">
        <f t="shared" si="5"/>
        <v>0</v>
      </c>
    </row>
    <row r="41" spans="1:45">
      <c r="A41" t="s">
        <v>93</v>
      </c>
      <c r="B41" s="320">
        <f>'Quotation Sheet'!F101</f>
        <v>0</v>
      </c>
      <c r="C41">
        <v>40</v>
      </c>
      <c r="D41">
        <f>IF($G$1='OPSİYON SORGU'!A41,1,0)</f>
        <v>0</v>
      </c>
      <c r="E41">
        <f t="shared" si="0"/>
        <v>0</v>
      </c>
      <c r="I41" t="s">
        <v>93</v>
      </c>
      <c r="J41" s="320">
        <f>'Quotation Sheet'!F101</f>
        <v>0</v>
      </c>
      <c r="K41">
        <v>40</v>
      </c>
      <c r="L41">
        <f>IF($O$1='OPSİYON SORGU'!I41,1,0)</f>
        <v>0</v>
      </c>
      <c r="M41">
        <f t="shared" si="1"/>
        <v>0</v>
      </c>
      <c r="Q41" t="s">
        <v>93</v>
      </c>
      <c r="R41" s="320">
        <f>'Quotation Sheet'!F101</f>
        <v>0</v>
      </c>
      <c r="S41">
        <v>40</v>
      </c>
      <c r="T41">
        <f>IF($W$1='OPSİYON SORGU'!Q41,1,0)</f>
        <v>0</v>
      </c>
      <c r="U41">
        <f t="shared" si="2"/>
        <v>0</v>
      </c>
      <c r="Y41" t="s">
        <v>93</v>
      </c>
      <c r="Z41" s="320">
        <f>'Quotation Sheet'!F101</f>
        <v>0</v>
      </c>
      <c r="AA41">
        <v>40</v>
      </c>
      <c r="AB41">
        <f>IF($AE$1='OPSİYON SORGU'!Y41,1,0)</f>
        <v>0</v>
      </c>
      <c r="AC41">
        <f t="shared" si="3"/>
        <v>0</v>
      </c>
      <c r="AG41" t="s">
        <v>93</v>
      </c>
      <c r="AH41" s="320">
        <f>'Quotation Sheet'!F101</f>
        <v>0</v>
      </c>
      <c r="AI41">
        <v>40</v>
      </c>
      <c r="AJ41">
        <f>IF($AM$1='OPSİYON SORGU'!AG41,1,0)</f>
        <v>0</v>
      </c>
      <c r="AK41">
        <f t="shared" si="4"/>
        <v>0</v>
      </c>
      <c r="AO41" t="s">
        <v>93</v>
      </c>
      <c r="AP41" s="320">
        <f>'Quotation Sheet'!F101</f>
        <v>0</v>
      </c>
      <c r="AQ41">
        <v>40</v>
      </c>
      <c r="AR41">
        <f>IF($AU$1='OPSİYON SORGU'!AO41,1,0)</f>
        <v>0</v>
      </c>
      <c r="AS41">
        <f t="shared" si="5"/>
        <v>0</v>
      </c>
    </row>
    <row r="42" spans="1:45">
      <c r="A42" t="s">
        <v>93</v>
      </c>
      <c r="B42" s="320">
        <f>'Quotation Sheet'!F103</f>
        <v>0</v>
      </c>
      <c r="C42">
        <v>41</v>
      </c>
      <c r="D42">
        <f>IF($G$1='OPSİYON SORGU'!A42,1,0)</f>
        <v>0</v>
      </c>
      <c r="E42">
        <f t="shared" si="0"/>
        <v>0</v>
      </c>
      <c r="I42" t="s">
        <v>93</v>
      </c>
      <c r="J42" s="320">
        <f>'Quotation Sheet'!F103</f>
        <v>0</v>
      </c>
      <c r="K42">
        <v>41</v>
      </c>
      <c r="L42">
        <f>IF($O$1='OPSİYON SORGU'!I42,1,0)</f>
        <v>0</v>
      </c>
      <c r="M42">
        <f t="shared" si="1"/>
        <v>0</v>
      </c>
      <c r="Q42" t="s">
        <v>93</v>
      </c>
      <c r="R42" s="320">
        <f>'Quotation Sheet'!F103</f>
        <v>0</v>
      </c>
      <c r="S42">
        <v>41</v>
      </c>
      <c r="T42">
        <f>IF($W$1='OPSİYON SORGU'!Q42,1,0)</f>
        <v>0</v>
      </c>
      <c r="U42">
        <f t="shared" si="2"/>
        <v>0</v>
      </c>
      <c r="Y42" t="s">
        <v>93</v>
      </c>
      <c r="Z42" s="320">
        <f>'Quotation Sheet'!F103</f>
        <v>0</v>
      </c>
      <c r="AA42">
        <v>41</v>
      </c>
      <c r="AB42">
        <f>IF($AE$1='OPSİYON SORGU'!Y42,1,0)</f>
        <v>0</v>
      </c>
      <c r="AC42">
        <f t="shared" si="3"/>
        <v>0</v>
      </c>
      <c r="AG42" t="s">
        <v>93</v>
      </c>
      <c r="AH42" s="320">
        <f>'Quotation Sheet'!F103</f>
        <v>0</v>
      </c>
      <c r="AI42">
        <v>41</v>
      </c>
      <c r="AJ42">
        <f>IF($AM$1='OPSİYON SORGU'!AG42,1,0)</f>
        <v>0</v>
      </c>
      <c r="AK42">
        <f t="shared" si="4"/>
        <v>0</v>
      </c>
      <c r="AO42" t="s">
        <v>93</v>
      </c>
      <c r="AP42" s="320">
        <f>'Quotation Sheet'!F103</f>
        <v>0</v>
      </c>
      <c r="AQ42">
        <v>41</v>
      </c>
      <c r="AR42">
        <f>IF($AU$1='OPSİYON SORGU'!AO42,1,0)</f>
        <v>0</v>
      </c>
      <c r="AS42">
        <f t="shared" si="5"/>
        <v>0</v>
      </c>
    </row>
    <row r="43" spans="1:45">
      <c r="A43" t="s">
        <v>93</v>
      </c>
      <c r="B43" s="320">
        <f>'Quotation Sheet'!F104</f>
        <v>0</v>
      </c>
      <c r="C43">
        <v>42</v>
      </c>
      <c r="D43">
        <f>IF($G$1='OPSİYON SORGU'!A43,1,0)</f>
        <v>0</v>
      </c>
      <c r="E43">
        <f t="shared" si="0"/>
        <v>0</v>
      </c>
      <c r="I43" t="s">
        <v>93</v>
      </c>
      <c r="J43" s="320">
        <f>'Quotation Sheet'!F104</f>
        <v>0</v>
      </c>
      <c r="K43">
        <v>42</v>
      </c>
      <c r="L43">
        <f>IF($O$1='OPSİYON SORGU'!I43,1,0)</f>
        <v>0</v>
      </c>
      <c r="M43">
        <f t="shared" si="1"/>
        <v>0</v>
      </c>
      <c r="Q43" t="s">
        <v>93</v>
      </c>
      <c r="R43" s="320">
        <f>'Quotation Sheet'!F104</f>
        <v>0</v>
      </c>
      <c r="S43">
        <v>42</v>
      </c>
      <c r="T43">
        <f>IF($W$1='OPSİYON SORGU'!Q43,1,0)</f>
        <v>0</v>
      </c>
      <c r="U43">
        <f t="shared" si="2"/>
        <v>0</v>
      </c>
      <c r="Y43" t="s">
        <v>93</v>
      </c>
      <c r="Z43" s="320">
        <f>'Quotation Sheet'!F104</f>
        <v>0</v>
      </c>
      <c r="AA43">
        <v>42</v>
      </c>
      <c r="AB43">
        <f>IF($AE$1='OPSİYON SORGU'!Y43,1,0)</f>
        <v>0</v>
      </c>
      <c r="AC43">
        <f t="shared" si="3"/>
        <v>0</v>
      </c>
      <c r="AG43" t="s">
        <v>93</v>
      </c>
      <c r="AH43" s="320">
        <f>'Quotation Sheet'!F104</f>
        <v>0</v>
      </c>
      <c r="AI43">
        <v>42</v>
      </c>
      <c r="AJ43">
        <f>IF($AM$1='OPSİYON SORGU'!AG43,1,0)</f>
        <v>0</v>
      </c>
      <c r="AK43">
        <f t="shared" si="4"/>
        <v>0</v>
      </c>
      <c r="AO43" t="s">
        <v>93</v>
      </c>
      <c r="AP43" s="320">
        <f>'Quotation Sheet'!F104</f>
        <v>0</v>
      </c>
      <c r="AQ43">
        <v>42</v>
      </c>
      <c r="AR43">
        <f>IF($AU$1='OPSİYON SORGU'!AO43,1,0)</f>
        <v>0</v>
      </c>
      <c r="AS43">
        <f t="shared" si="5"/>
        <v>0</v>
      </c>
    </row>
    <row r="44" spans="1:45">
      <c r="A44" t="s">
        <v>93</v>
      </c>
      <c r="B44" s="320">
        <f>'Quotation Sheet'!F105</f>
        <v>0</v>
      </c>
      <c r="C44">
        <v>43</v>
      </c>
      <c r="D44">
        <f>IF($G$1='OPSİYON SORGU'!A44,1,0)</f>
        <v>0</v>
      </c>
      <c r="E44">
        <f t="shared" si="0"/>
        <v>0</v>
      </c>
      <c r="I44" t="s">
        <v>93</v>
      </c>
      <c r="J44" s="320">
        <f>'Quotation Sheet'!F105</f>
        <v>0</v>
      </c>
      <c r="K44">
        <v>43</v>
      </c>
      <c r="L44">
        <f>IF($O$1='OPSİYON SORGU'!I44,1,0)</f>
        <v>0</v>
      </c>
      <c r="M44">
        <f t="shared" si="1"/>
        <v>0</v>
      </c>
      <c r="Q44" t="s">
        <v>93</v>
      </c>
      <c r="R44" s="320">
        <f>'Quotation Sheet'!F105</f>
        <v>0</v>
      </c>
      <c r="S44">
        <v>43</v>
      </c>
      <c r="T44">
        <f>IF($W$1='OPSİYON SORGU'!Q44,1,0)</f>
        <v>0</v>
      </c>
      <c r="U44">
        <f t="shared" si="2"/>
        <v>0</v>
      </c>
      <c r="Y44" t="s">
        <v>93</v>
      </c>
      <c r="Z44" s="320">
        <f>'Quotation Sheet'!F105</f>
        <v>0</v>
      </c>
      <c r="AA44">
        <v>43</v>
      </c>
      <c r="AB44">
        <f>IF($AE$1='OPSİYON SORGU'!Y44,1,0)</f>
        <v>0</v>
      </c>
      <c r="AC44">
        <f t="shared" si="3"/>
        <v>0</v>
      </c>
      <c r="AG44" t="s">
        <v>93</v>
      </c>
      <c r="AH44" s="320">
        <f>'Quotation Sheet'!F105</f>
        <v>0</v>
      </c>
      <c r="AI44">
        <v>43</v>
      </c>
      <c r="AJ44">
        <f>IF($AM$1='OPSİYON SORGU'!AG44,1,0)</f>
        <v>0</v>
      </c>
      <c r="AK44">
        <f t="shared" si="4"/>
        <v>0</v>
      </c>
      <c r="AO44" t="s">
        <v>93</v>
      </c>
      <c r="AP44" s="320">
        <f>'Quotation Sheet'!F105</f>
        <v>0</v>
      </c>
      <c r="AQ44">
        <v>43</v>
      </c>
      <c r="AR44">
        <f>IF($AU$1='OPSİYON SORGU'!AO44,1,0)</f>
        <v>0</v>
      </c>
      <c r="AS44">
        <f t="shared" si="5"/>
        <v>0</v>
      </c>
    </row>
    <row r="45" spans="1:45">
      <c r="A45" t="s">
        <v>93</v>
      </c>
      <c r="B45" s="320">
        <f>'Quotation Sheet'!F106</f>
        <v>0</v>
      </c>
      <c r="C45">
        <v>44</v>
      </c>
      <c r="D45">
        <f>IF($G$1='OPSİYON SORGU'!A45,1,0)</f>
        <v>0</v>
      </c>
      <c r="E45">
        <f t="shared" si="0"/>
        <v>0</v>
      </c>
      <c r="I45" t="s">
        <v>93</v>
      </c>
      <c r="J45" s="320">
        <f>'Quotation Sheet'!F106</f>
        <v>0</v>
      </c>
      <c r="K45">
        <v>44</v>
      </c>
      <c r="L45">
        <f>IF($O$1='OPSİYON SORGU'!I45,1,0)</f>
        <v>0</v>
      </c>
      <c r="M45">
        <f t="shared" si="1"/>
        <v>0</v>
      </c>
      <c r="Q45" t="s">
        <v>93</v>
      </c>
      <c r="R45" s="320">
        <f>'Quotation Sheet'!F106</f>
        <v>0</v>
      </c>
      <c r="S45">
        <v>44</v>
      </c>
      <c r="T45">
        <f>IF($W$1='OPSİYON SORGU'!Q45,1,0)</f>
        <v>0</v>
      </c>
      <c r="U45">
        <f t="shared" si="2"/>
        <v>0</v>
      </c>
      <c r="Y45" t="s">
        <v>93</v>
      </c>
      <c r="Z45" s="320">
        <f>'Quotation Sheet'!F106</f>
        <v>0</v>
      </c>
      <c r="AA45">
        <v>44</v>
      </c>
      <c r="AB45">
        <f>IF($AE$1='OPSİYON SORGU'!Y45,1,0)</f>
        <v>0</v>
      </c>
      <c r="AC45">
        <f t="shared" si="3"/>
        <v>0</v>
      </c>
      <c r="AG45" t="s">
        <v>93</v>
      </c>
      <c r="AH45" s="320">
        <f>'Quotation Sheet'!F106</f>
        <v>0</v>
      </c>
      <c r="AI45">
        <v>44</v>
      </c>
      <c r="AJ45">
        <f>IF($AM$1='OPSİYON SORGU'!AG45,1,0)</f>
        <v>0</v>
      </c>
      <c r="AK45">
        <f t="shared" si="4"/>
        <v>0</v>
      </c>
      <c r="AO45" t="s">
        <v>93</v>
      </c>
      <c r="AP45" s="320">
        <f>'Quotation Sheet'!F106</f>
        <v>0</v>
      </c>
      <c r="AQ45">
        <v>44</v>
      </c>
      <c r="AR45">
        <f>IF($AU$1='OPSİYON SORGU'!AO45,1,0)</f>
        <v>0</v>
      </c>
      <c r="AS45">
        <f t="shared" si="5"/>
        <v>0</v>
      </c>
    </row>
    <row r="46" spans="1:45">
      <c r="A46" t="s">
        <v>93</v>
      </c>
      <c r="B46" s="320">
        <f>'Quotation Sheet'!F107</f>
        <v>0</v>
      </c>
      <c r="C46">
        <v>45</v>
      </c>
      <c r="D46">
        <f>IF($G$1='OPSİYON SORGU'!A46,1,0)</f>
        <v>0</v>
      </c>
      <c r="E46">
        <f t="shared" si="0"/>
        <v>0</v>
      </c>
      <c r="I46" t="s">
        <v>93</v>
      </c>
      <c r="J46" s="320">
        <f>'Quotation Sheet'!F107</f>
        <v>0</v>
      </c>
      <c r="K46">
        <v>45</v>
      </c>
      <c r="L46">
        <f>IF($O$1='OPSİYON SORGU'!I46,1,0)</f>
        <v>0</v>
      </c>
      <c r="M46">
        <f t="shared" si="1"/>
        <v>0</v>
      </c>
      <c r="Q46" t="s">
        <v>93</v>
      </c>
      <c r="R46" s="320">
        <f>'Quotation Sheet'!F107</f>
        <v>0</v>
      </c>
      <c r="S46">
        <v>45</v>
      </c>
      <c r="T46">
        <f>IF($W$1='OPSİYON SORGU'!Q46,1,0)</f>
        <v>0</v>
      </c>
      <c r="U46">
        <f t="shared" si="2"/>
        <v>0</v>
      </c>
      <c r="Y46" t="s">
        <v>93</v>
      </c>
      <c r="Z46" s="320">
        <f>'Quotation Sheet'!F107</f>
        <v>0</v>
      </c>
      <c r="AA46">
        <v>45</v>
      </c>
      <c r="AB46">
        <f>IF($AE$1='OPSİYON SORGU'!Y46,1,0)</f>
        <v>0</v>
      </c>
      <c r="AC46">
        <f t="shared" si="3"/>
        <v>0</v>
      </c>
      <c r="AG46" t="s">
        <v>93</v>
      </c>
      <c r="AH46" s="320">
        <f>'Quotation Sheet'!F107</f>
        <v>0</v>
      </c>
      <c r="AI46">
        <v>45</v>
      </c>
      <c r="AJ46">
        <f>IF($AM$1='OPSİYON SORGU'!AG46,1,0)</f>
        <v>0</v>
      </c>
      <c r="AK46">
        <f t="shared" si="4"/>
        <v>0</v>
      </c>
      <c r="AO46" t="s">
        <v>93</v>
      </c>
      <c r="AP46" s="320">
        <f>'Quotation Sheet'!F107</f>
        <v>0</v>
      </c>
      <c r="AQ46">
        <v>45</v>
      </c>
      <c r="AR46">
        <f>IF($AU$1='OPSİYON SORGU'!AO46,1,0)</f>
        <v>0</v>
      </c>
      <c r="AS46">
        <f t="shared" si="5"/>
        <v>0</v>
      </c>
    </row>
    <row r="47" spans="1:45">
      <c r="A47" t="s">
        <v>93</v>
      </c>
      <c r="B47" s="320">
        <f>'Quotation Sheet'!F109</f>
        <v>0</v>
      </c>
      <c r="C47">
        <v>46</v>
      </c>
      <c r="D47">
        <f>IF($G$1='OPSİYON SORGU'!A47,1,0)</f>
        <v>0</v>
      </c>
      <c r="E47">
        <f t="shared" si="0"/>
        <v>0</v>
      </c>
      <c r="I47" t="s">
        <v>93</v>
      </c>
      <c r="J47" s="320">
        <f>'Quotation Sheet'!F109</f>
        <v>0</v>
      </c>
      <c r="K47">
        <v>46</v>
      </c>
      <c r="L47">
        <f>IF($O$1='OPSİYON SORGU'!I47,1,0)</f>
        <v>0</v>
      </c>
      <c r="M47">
        <f t="shared" si="1"/>
        <v>0</v>
      </c>
      <c r="Q47" t="s">
        <v>93</v>
      </c>
      <c r="R47" s="320">
        <f>'Quotation Sheet'!F109</f>
        <v>0</v>
      </c>
      <c r="S47">
        <v>46</v>
      </c>
      <c r="T47">
        <f>IF($W$1='OPSİYON SORGU'!Q47,1,0)</f>
        <v>0</v>
      </c>
      <c r="U47">
        <f t="shared" si="2"/>
        <v>0</v>
      </c>
      <c r="Y47" t="s">
        <v>93</v>
      </c>
      <c r="Z47" s="320">
        <f>'Quotation Sheet'!F109</f>
        <v>0</v>
      </c>
      <c r="AA47">
        <v>46</v>
      </c>
      <c r="AB47">
        <f>IF($AE$1='OPSİYON SORGU'!Y47,1,0)</f>
        <v>0</v>
      </c>
      <c r="AC47">
        <f t="shared" si="3"/>
        <v>0</v>
      </c>
      <c r="AG47" t="s">
        <v>93</v>
      </c>
      <c r="AH47" s="320">
        <f>'Quotation Sheet'!F109</f>
        <v>0</v>
      </c>
      <c r="AI47">
        <v>46</v>
      </c>
      <c r="AJ47">
        <f>IF($AM$1='OPSİYON SORGU'!AG47,1,0)</f>
        <v>0</v>
      </c>
      <c r="AK47">
        <f t="shared" si="4"/>
        <v>0</v>
      </c>
      <c r="AO47" t="s">
        <v>93</v>
      </c>
      <c r="AP47" s="320">
        <f>'Quotation Sheet'!F109</f>
        <v>0</v>
      </c>
      <c r="AQ47">
        <v>46</v>
      </c>
      <c r="AR47">
        <f>IF($AU$1='OPSİYON SORGU'!AO47,1,0)</f>
        <v>0</v>
      </c>
      <c r="AS47">
        <f t="shared" si="5"/>
        <v>0</v>
      </c>
    </row>
    <row r="48" spans="1:45">
      <c r="A48" t="s">
        <v>93</v>
      </c>
      <c r="B48" s="320">
        <f>'Quotation Sheet'!F110</f>
        <v>0</v>
      </c>
      <c r="C48">
        <v>47</v>
      </c>
      <c r="D48">
        <f>IF($G$1='OPSİYON SORGU'!A48,1,0)</f>
        <v>0</v>
      </c>
      <c r="E48">
        <f t="shared" si="0"/>
        <v>0</v>
      </c>
      <c r="I48" t="s">
        <v>93</v>
      </c>
      <c r="J48" s="320">
        <f>'Quotation Sheet'!F110</f>
        <v>0</v>
      </c>
      <c r="K48">
        <v>47</v>
      </c>
      <c r="L48">
        <f>IF($O$1='OPSİYON SORGU'!I48,1,0)</f>
        <v>0</v>
      </c>
      <c r="M48">
        <f t="shared" si="1"/>
        <v>0</v>
      </c>
      <c r="Q48" t="s">
        <v>93</v>
      </c>
      <c r="R48" s="320">
        <f>'Quotation Sheet'!F110</f>
        <v>0</v>
      </c>
      <c r="S48">
        <v>47</v>
      </c>
      <c r="T48">
        <f>IF($W$1='OPSİYON SORGU'!Q48,1,0)</f>
        <v>0</v>
      </c>
      <c r="U48">
        <f t="shared" si="2"/>
        <v>0</v>
      </c>
      <c r="Y48" t="s">
        <v>93</v>
      </c>
      <c r="Z48" s="320">
        <f>'Quotation Sheet'!F110</f>
        <v>0</v>
      </c>
      <c r="AA48">
        <v>47</v>
      </c>
      <c r="AB48">
        <f>IF($AE$1='OPSİYON SORGU'!Y48,1,0)</f>
        <v>0</v>
      </c>
      <c r="AC48">
        <f t="shared" si="3"/>
        <v>0</v>
      </c>
      <c r="AG48" t="s">
        <v>93</v>
      </c>
      <c r="AH48" s="320">
        <f>'Quotation Sheet'!F110</f>
        <v>0</v>
      </c>
      <c r="AI48">
        <v>47</v>
      </c>
      <c r="AJ48">
        <f>IF($AM$1='OPSİYON SORGU'!AG48,1,0)</f>
        <v>0</v>
      </c>
      <c r="AK48">
        <f t="shared" si="4"/>
        <v>0</v>
      </c>
      <c r="AO48" t="s">
        <v>93</v>
      </c>
      <c r="AP48" s="320">
        <f>'Quotation Sheet'!F110</f>
        <v>0</v>
      </c>
      <c r="AQ48">
        <v>47</v>
      </c>
      <c r="AR48">
        <f>IF($AU$1='OPSİYON SORGU'!AO48,1,0)</f>
        <v>0</v>
      </c>
      <c r="AS48">
        <f t="shared" si="5"/>
        <v>0</v>
      </c>
    </row>
    <row r="49" spans="1:45">
      <c r="A49" t="s">
        <v>93</v>
      </c>
      <c r="B49" s="320">
        <f>'Quotation Sheet'!F111</f>
        <v>0</v>
      </c>
      <c r="C49">
        <v>48</v>
      </c>
      <c r="D49">
        <f>IF($G$1='OPSİYON SORGU'!A49,1,0)</f>
        <v>0</v>
      </c>
      <c r="E49">
        <f t="shared" si="0"/>
        <v>0</v>
      </c>
      <c r="I49" t="s">
        <v>93</v>
      </c>
      <c r="J49" s="320">
        <f>'Quotation Sheet'!F111</f>
        <v>0</v>
      </c>
      <c r="K49">
        <v>48</v>
      </c>
      <c r="L49">
        <f>IF($O$1='OPSİYON SORGU'!I49,1,0)</f>
        <v>0</v>
      </c>
      <c r="M49">
        <f t="shared" si="1"/>
        <v>0</v>
      </c>
      <c r="Q49" t="s">
        <v>93</v>
      </c>
      <c r="R49" s="320">
        <f>'Quotation Sheet'!F111</f>
        <v>0</v>
      </c>
      <c r="S49">
        <v>48</v>
      </c>
      <c r="T49">
        <f>IF($W$1='OPSİYON SORGU'!Q49,1,0)</f>
        <v>0</v>
      </c>
      <c r="U49">
        <f t="shared" si="2"/>
        <v>0</v>
      </c>
      <c r="Y49" t="s">
        <v>93</v>
      </c>
      <c r="Z49" s="320">
        <f>'Quotation Sheet'!F111</f>
        <v>0</v>
      </c>
      <c r="AA49">
        <v>48</v>
      </c>
      <c r="AB49">
        <f>IF($AE$1='OPSİYON SORGU'!Y49,1,0)</f>
        <v>0</v>
      </c>
      <c r="AC49">
        <f t="shared" si="3"/>
        <v>0</v>
      </c>
      <c r="AG49" t="s">
        <v>93</v>
      </c>
      <c r="AH49" s="320">
        <f>'Quotation Sheet'!F111</f>
        <v>0</v>
      </c>
      <c r="AI49">
        <v>48</v>
      </c>
      <c r="AJ49">
        <f>IF($AM$1='OPSİYON SORGU'!AG49,1,0)</f>
        <v>0</v>
      </c>
      <c r="AK49">
        <f t="shared" si="4"/>
        <v>0</v>
      </c>
      <c r="AO49" t="s">
        <v>93</v>
      </c>
      <c r="AP49" s="320">
        <f>'Quotation Sheet'!F111</f>
        <v>0</v>
      </c>
      <c r="AQ49">
        <v>48</v>
      </c>
      <c r="AR49">
        <f>IF($AU$1='OPSİYON SORGU'!AO49,1,0)</f>
        <v>0</v>
      </c>
      <c r="AS49">
        <f t="shared" si="5"/>
        <v>0</v>
      </c>
    </row>
    <row r="50" spans="1:45">
      <c r="A50" t="s">
        <v>93</v>
      </c>
      <c r="B50" s="320">
        <f>'Quotation Sheet'!F112</f>
        <v>0</v>
      </c>
      <c r="C50">
        <v>49</v>
      </c>
      <c r="D50">
        <f>IF($G$1='OPSİYON SORGU'!A50,1,0)</f>
        <v>0</v>
      </c>
      <c r="E50">
        <f t="shared" si="0"/>
        <v>0</v>
      </c>
      <c r="I50" t="s">
        <v>93</v>
      </c>
      <c r="J50" s="320">
        <f>'Quotation Sheet'!F112</f>
        <v>0</v>
      </c>
      <c r="K50">
        <v>49</v>
      </c>
      <c r="L50">
        <f>IF($O$1='OPSİYON SORGU'!I50,1,0)</f>
        <v>0</v>
      </c>
      <c r="M50">
        <f t="shared" si="1"/>
        <v>0</v>
      </c>
      <c r="Q50" t="s">
        <v>93</v>
      </c>
      <c r="R50" s="320">
        <f>'Quotation Sheet'!F112</f>
        <v>0</v>
      </c>
      <c r="S50">
        <v>49</v>
      </c>
      <c r="T50">
        <f>IF($W$1='OPSİYON SORGU'!Q50,1,0)</f>
        <v>0</v>
      </c>
      <c r="U50">
        <f t="shared" si="2"/>
        <v>0</v>
      </c>
      <c r="Y50" t="s">
        <v>93</v>
      </c>
      <c r="Z50" s="320">
        <f>'Quotation Sheet'!F112</f>
        <v>0</v>
      </c>
      <c r="AA50">
        <v>49</v>
      </c>
      <c r="AB50">
        <f>IF($AE$1='OPSİYON SORGU'!Y50,1,0)</f>
        <v>0</v>
      </c>
      <c r="AC50">
        <f t="shared" si="3"/>
        <v>0</v>
      </c>
      <c r="AG50" t="s">
        <v>93</v>
      </c>
      <c r="AH50" s="320">
        <f>'Quotation Sheet'!F112</f>
        <v>0</v>
      </c>
      <c r="AI50">
        <v>49</v>
      </c>
      <c r="AJ50">
        <f>IF($AM$1='OPSİYON SORGU'!AG50,1,0)</f>
        <v>0</v>
      </c>
      <c r="AK50">
        <f t="shared" si="4"/>
        <v>0</v>
      </c>
      <c r="AO50" t="s">
        <v>93</v>
      </c>
      <c r="AP50" s="320">
        <f>'Quotation Sheet'!F112</f>
        <v>0</v>
      </c>
      <c r="AQ50">
        <v>49</v>
      </c>
      <c r="AR50">
        <f>IF($AU$1='OPSİYON SORGU'!AO50,1,0)</f>
        <v>0</v>
      </c>
      <c r="AS50">
        <f t="shared" si="5"/>
        <v>0</v>
      </c>
    </row>
    <row r="51" spans="1:45">
      <c r="A51" t="s">
        <v>93</v>
      </c>
      <c r="B51" s="320">
        <f>'Quotation Sheet'!F113</f>
        <v>0</v>
      </c>
      <c r="C51">
        <v>50</v>
      </c>
      <c r="D51">
        <f>IF($G$1='OPSİYON SORGU'!A51,1,0)</f>
        <v>0</v>
      </c>
      <c r="E51">
        <f t="shared" si="0"/>
        <v>0</v>
      </c>
      <c r="I51" t="s">
        <v>93</v>
      </c>
      <c r="J51" s="320">
        <f>'Quotation Sheet'!F113</f>
        <v>0</v>
      </c>
      <c r="K51">
        <v>50</v>
      </c>
      <c r="L51">
        <f>IF($O$1='OPSİYON SORGU'!I51,1,0)</f>
        <v>0</v>
      </c>
      <c r="M51">
        <f t="shared" si="1"/>
        <v>0</v>
      </c>
      <c r="Q51" t="s">
        <v>93</v>
      </c>
      <c r="R51" s="320">
        <f>'Quotation Sheet'!F113</f>
        <v>0</v>
      </c>
      <c r="S51">
        <v>50</v>
      </c>
      <c r="T51">
        <f>IF($W$1='OPSİYON SORGU'!Q51,1,0)</f>
        <v>0</v>
      </c>
      <c r="U51">
        <f t="shared" si="2"/>
        <v>0</v>
      </c>
      <c r="Y51" t="s">
        <v>93</v>
      </c>
      <c r="Z51" s="320">
        <f>'Quotation Sheet'!F113</f>
        <v>0</v>
      </c>
      <c r="AA51">
        <v>50</v>
      </c>
      <c r="AB51">
        <f>IF($AE$1='OPSİYON SORGU'!Y51,1,0)</f>
        <v>0</v>
      </c>
      <c r="AC51">
        <f t="shared" si="3"/>
        <v>0</v>
      </c>
      <c r="AG51" t="s">
        <v>93</v>
      </c>
      <c r="AH51" s="320">
        <f>'Quotation Sheet'!F113</f>
        <v>0</v>
      </c>
      <c r="AI51">
        <v>50</v>
      </c>
      <c r="AJ51">
        <f>IF($AM$1='OPSİYON SORGU'!AG51,1,0)</f>
        <v>0</v>
      </c>
      <c r="AK51">
        <f t="shared" si="4"/>
        <v>0</v>
      </c>
      <c r="AO51" t="s">
        <v>93</v>
      </c>
      <c r="AP51" s="320">
        <f>'Quotation Sheet'!F113</f>
        <v>0</v>
      </c>
      <c r="AQ51">
        <v>50</v>
      </c>
      <c r="AR51">
        <f>IF($AU$1='OPSİYON SORGU'!AO51,1,0)</f>
        <v>0</v>
      </c>
      <c r="AS51">
        <f t="shared" si="5"/>
        <v>0</v>
      </c>
    </row>
    <row r="52" spans="1:45">
      <c r="A52" t="s">
        <v>94</v>
      </c>
      <c r="B52" s="320">
        <f>'Quotation Sheet'!G85</f>
        <v>0</v>
      </c>
      <c r="C52">
        <v>51</v>
      </c>
      <c r="D52">
        <f>IF($G$1='OPSİYON SORGU'!A52,1,0)</f>
        <v>0</v>
      </c>
      <c r="E52">
        <f t="shared" si="0"/>
        <v>0</v>
      </c>
      <c r="I52" t="s">
        <v>94</v>
      </c>
      <c r="J52" s="320">
        <f>'Quotation Sheet'!G85</f>
        <v>0</v>
      </c>
      <c r="K52">
        <v>51</v>
      </c>
      <c r="L52">
        <f>IF($O$1='OPSİYON SORGU'!I52,1,0)</f>
        <v>0</v>
      </c>
      <c r="M52">
        <f t="shared" si="1"/>
        <v>0</v>
      </c>
      <c r="Q52" t="s">
        <v>94</v>
      </c>
      <c r="R52" s="320">
        <f>'Quotation Sheet'!G85</f>
        <v>0</v>
      </c>
      <c r="S52">
        <v>51</v>
      </c>
      <c r="T52">
        <f>IF($W$1='OPSİYON SORGU'!Q52,1,0)</f>
        <v>0</v>
      </c>
      <c r="U52">
        <f t="shared" si="2"/>
        <v>0</v>
      </c>
      <c r="Y52" t="s">
        <v>94</v>
      </c>
      <c r="Z52" s="320">
        <f>'Quotation Sheet'!G85</f>
        <v>0</v>
      </c>
      <c r="AA52">
        <v>51</v>
      </c>
      <c r="AB52">
        <f>IF($AE$1='OPSİYON SORGU'!Y52,1,0)</f>
        <v>0</v>
      </c>
      <c r="AC52">
        <f t="shared" si="3"/>
        <v>0</v>
      </c>
      <c r="AG52" t="s">
        <v>94</v>
      </c>
      <c r="AH52" s="320">
        <f>'Quotation Sheet'!G85</f>
        <v>0</v>
      </c>
      <c r="AI52">
        <v>51</v>
      </c>
      <c r="AJ52">
        <f>IF($AM$1='OPSİYON SORGU'!AG52,1,0)</f>
        <v>0</v>
      </c>
      <c r="AK52">
        <f t="shared" si="4"/>
        <v>0</v>
      </c>
      <c r="AO52" t="s">
        <v>94</v>
      </c>
      <c r="AP52" s="320">
        <f>'Quotation Sheet'!G85</f>
        <v>0</v>
      </c>
      <c r="AQ52">
        <v>51</v>
      </c>
      <c r="AR52">
        <f>IF($AU$1='OPSİYON SORGU'!AO52,1,0)</f>
        <v>0</v>
      </c>
      <c r="AS52">
        <f t="shared" si="5"/>
        <v>0</v>
      </c>
    </row>
    <row r="53" spans="1:45">
      <c r="A53" t="s">
        <v>94</v>
      </c>
      <c r="B53" s="320">
        <f>'Quotation Sheet'!G86</f>
        <v>0</v>
      </c>
      <c r="C53">
        <v>52</v>
      </c>
      <c r="D53">
        <f>IF($G$1='OPSİYON SORGU'!A53,1,0)</f>
        <v>0</v>
      </c>
      <c r="E53">
        <f t="shared" si="0"/>
        <v>0</v>
      </c>
      <c r="I53" t="s">
        <v>94</v>
      </c>
      <c r="J53" s="320">
        <f>'Quotation Sheet'!G86</f>
        <v>0</v>
      </c>
      <c r="K53">
        <v>52</v>
      </c>
      <c r="L53">
        <f>IF($O$1='OPSİYON SORGU'!I53,1,0)</f>
        <v>0</v>
      </c>
      <c r="M53">
        <f t="shared" si="1"/>
        <v>0</v>
      </c>
      <c r="Q53" t="s">
        <v>94</v>
      </c>
      <c r="R53" s="320">
        <f>'Quotation Sheet'!G86</f>
        <v>0</v>
      </c>
      <c r="S53">
        <v>52</v>
      </c>
      <c r="T53">
        <f>IF($W$1='OPSİYON SORGU'!Q53,1,0)</f>
        <v>0</v>
      </c>
      <c r="U53">
        <f t="shared" si="2"/>
        <v>0</v>
      </c>
      <c r="Y53" t="s">
        <v>94</v>
      </c>
      <c r="Z53" s="320">
        <f>'Quotation Sheet'!G86</f>
        <v>0</v>
      </c>
      <c r="AA53">
        <v>52</v>
      </c>
      <c r="AB53">
        <f>IF($AE$1='OPSİYON SORGU'!Y53,1,0)</f>
        <v>0</v>
      </c>
      <c r="AC53">
        <f t="shared" si="3"/>
        <v>0</v>
      </c>
      <c r="AG53" t="s">
        <v>94</v>
      </c>
      <c r="AH53" s="320">
        <f>'Quotation Sheet'!G86</f>
        <v>0</v>
      </c>
      <c r="AI53">
        <v>52</v>
      </c>
      <c r="AJ53">
        <f>IF($AM$1='OPSİYON SORGU'!AG53,1,0)</f>
        <v>0</v>
      </c>
      <c r="AK53">
        <f t="shared" si="4"/>
        <v>0</v>
      </c>
      <c r="AO53" t="s">
        <v>94</v>
      </c>
      <c r="AP53" s="320">
        <f>'Quotation Sheet'!G86</f>
        <v>0</v>
      </c>
      <c r="AQ53">
        <v>52</v>
      </c>
      <c r="AR53">
        <f>IF($AU$1='OPSİYON SORGU'!AO53,1,0)</f>
        <v>0</v>
      </c>
      <c r="AS53">
        <f t="shared" si="5"/>
        <v>0</v>
      </c>
    </row>
    <row r="54" spans="1:45">
      <c r="A54" t="s">
        <v>94</v>
      </c>
      <c r="B54" s="320">
        <f>'Quotation Sheet'!G87</f>
        <v>0</v>
      </c>
      <c r="C54">
        <v>53</v>
      </c>
      <c r="D54">
        <f>IF($G$1='OPSİYON SORGU'!A54,1,0)</f>
        <v>0</v>
      </c>
      <c r="E54">
        <f t="shared" si="0"/>
        <v>0</v>
      </c>
      <c r="I54" t="s">
        <v>94</v>
      </c>
      <c r="J54" s="320">
        <f>'Quotation Sheet'!G87</f>
        <v>0</v>
      </c>
      <c r="K54">
        <v>53</v>
      </c>
      <c r="L54">
        <f>IF($O$1='OPSİYON SORGU'!I54,1,0)</f>
        <v>0</v>
      </c>
      <c r="M54">
        <f t="shared" si="1"/>
        <v>0</v>
      </c>
      <c r="Q54" t="s">
        <v>94</v>
      </c>
      <c r="R54" s="320">
        <f>'Quotation Sheet'!G87</f>
        <v>0</v>
      </c>
      <c r="S54">
        <v>53</v>
      </c>
      <c r="T54">
        <f>IF($W$1='OPSİYON SORGU'!Q54,1,0)</f>
        <v>0</v>
      </c>
      <c r="U54">
        <f t="shared" si="2"/>
        <v>0</v>
      </c>
      <c r="Y54" t="s">
        <v>94</v>
      </c>
      <c r="Z54" s="320">
        <f>'Quotation Sheet'!G87</f>
        <v>0</v>
      </c>
      <c r="AA54">
        <v>53</v>
      </c>
      <c r="AB54">
        <f>IF($AE$1='OPSİYON SORGU'!Y54,1,0)</f>
        <v>0</v>
      </c>
      <c r="AC54">
        <f t="shared" si="3"/>
        <v>0</v>
      </c>
      <c r="AG54" t="s">
        <v>94</v>
      </c>
      <c r="AH54" s="320">
        <f>'Quotation Sheet'!G87</f>
        <v>0</v>
      </c>
      <c r="AI54">
        <v>53</v>
      </c>
      <c r="AJ54">
        <f>IF($AM$1='OPSİYON SORGU'!AG54,1,0)</f>
        <v>0</v>
      </c>
      <c r="AK54">
        <f t="shared" si="4"/>
        <v>0</v>
      </c>
      <c r="AO54" t="s">
        <v>94</v>
      </c>
      <c r="AP54" s="320">
        <f>'Quotation Sheet'!G87</f>
        <v>0</v>
      </c>
      <c r="AQ54">
        <v>53</v>
      </c>
      <c r="AR54">
        <f>IF($AU$1='OPSİYON SORGU'!AO54,1,0)</f>
        <v>0</v>
      </c>
      <c r="AS54">
        <f t="shared" si="5"/>
        <v>0</v>
      </c>
    </row>
    <row r="55" spans="1:45">
      <c r="A55" t="s">
        <v>94</v>
      </c>
      <c r="B55" s="320">
        <f>'Quotation Sheet'!G88</f>
        <v>0</v>
      </c>
      <c r="C55">
        <v>54</v>
      </c>
      <c r="D55">
        <f>IF($G$1='OPSİYON SORGU'!A55,1,0)</f>
        <v>0</v>
      </c>
      <c r="E55">
        <f t="shared" si="0"/>
        <v>0</v>
      </c>
      <c r="I55" t="s">
        <v>94</v>
      </c>
      <c r="J55" s="320">
        <f>'Quotation Sheet'!G88</f>
        <v>0</v>
      </c>
      <c r="K55">
        <v>54</v>
      </c>
      <c r="L55">
        <f>IF($O$1='OPSİYON SORGU'!I55,1,0)</f>
        <v>0</v>
      </c>
      <c r="M55">
        <f t="shared" si="1"/>
        <v>0</v>
      </c>
      <c r="Q55" t="s">
        <v>94</v>
      </c>
      <c r="R55" s="320">
        <f>'Quotation Sheet'!G88</f>
        <v>0</v>
      </c>
      <c r="S55">
        <v>54</v>
      </c>
      <c r="T55">
        <f>IF($W$1='OPSİYON SORGU'!Q55,1,0)</f>
        <v>0</v>
      </c>
      <c r="U55">
        <f t="shared" si="2"/>
        <v>0</v>
      </c>
      <c r="Y55" t="s">
        <v>94</v>
      </c>
      <c r="Z55" s="320">
        <f>'Quotation Sheet'!G88</f>
        <v>0</v>
      </c>
      <c r="AA55">
        <v>54</v>
      </c>
      <c r="AB55">
        <f>IF($AE$1='OPSİYON SORGU'!Y55,1,0)</f>
        <v>0</v>
      </c>
      <c r="AC55">
        <f t="shared" si="3"/>
        <v>0</v>
      </c>
      <c r="AG55" t="s">
        <v>94</v>
      </c>
      <c r="AH55" s="320">
        <f>'Quotation Sheet'!G88</f>
        <v>0</v>
      </c>
      <c r="AI55">
        <v>54</v>
      </c>
      <c r="AJ55">
        <f>IF($AM$1='OPSİYON SORGU'!AG55,1,0)</f>
        <v>0</v>
      </c>
      <c r="AK55">
        <f t="shared" si="4"/>
        <v>0</v>
      </c>
      <c r="AO55" t="s">
        <v>94</v>
      </c>
      <c r="AP55" s="320">
        <f>'Quotation Sheet'!G88</f>
        <v>0</v>
      </c>
      <c r="AQ55">
        <v>54</v>
      </c>
      <c r="AR55">
        <f>IF($AU$1='OPSİYON SORGU'!AO55,1,0)</f>
        <v>0</v>
      </c>
      <c r="AS55">
        <f t="shared" si="5"/>
        <v>0</v>
      </c>
    </row>
    <row r="56" spans="1:45">
      <c r="A56" t="s">
        <v>94</v>
      </c>
      <c r="B56" s="320">
        <f>'Quotation Sheet'!G89</f>
        <v>0</v>
      </c>
      <c r="C56">
        <v>55</v>
      </c>
      <c r="D56">
        <f>IF($G$1='OPSİYON SORGU'!A56,1,0)</f>
        <v>0</v>
      </c>
      <c r="E56">
        <f t="shared" si="0"/>
        <v>0</v>
      </c>
      <c r="I56" t="s">
        <v>94</v>
      </c>
      <c r="J56" s="320">
        <f>'Quotation Sheet'!G89</f>
        <v>0</v>
      </c>
      <c r="K56">
        <v>55</v>
      </c>
      <c r="L56">
        <f>IF($O$1='OPSİYON SORGU'!I56,1,0)</f>
        <v>0</v>
      </c>
      <c r="M56">
        <f t="shared" si="1"/>
        <v>0</v>
      </c>
      <c r="Q56" t="s">
        <v>94</v>
      </c>
      <c r="R56" s="320">
        <f>'Quotation Sheet'!G89</f>
        <v>0</v>
      </c>
      <c r="S56">
        <v>55</v>
      </c>
      <c r="T56">
        <f>IF($W$1='OPSİYON SORGU'!Q56,1,0)</f>
        <v>0</v>
      </c>
      <c r="U56">
        <f t="shared" si="2"/>
        <v>0</v>
      </c>
      <c r="Y56" t="s">
        <v>94</v>
      </c>
      <c r="Z56" s="320">
        <f>'Quotation Sheet'!G89</f>
        <v>0</v>
      </c>
      <c r="AA56">
        <v>55</v>
      </c>
      <c r="AB56">
        <f>IF($AE$1='OPSİYON SORGU'!Y56,1,0)</f>
        <v>0</v>
      </c>
      <c r="AC56">
        <f t="shared" si="3"/>
        <v>0</v>
      </c>
      <c r="AG56" t="s">
        <v>94</v>
      </c>
      <c r="AH56" s="320">
        <f>'Quotation Sheet'!G89</f>
        <v>0</v>
      </c>
      <c r="AI56">
        <v>55</v>
      </c>
      <c r="AJ56">
        <f>IF($AM$1='OPSİYON SORGU'!AG56,1,0)</f>
        <v>0</v>
      </c>
      <c r="AK56">
        <f t="shared" si="4"/>
        <v>0</v>
      </c>
      <c r="AO56" t="s">
        <v>94</v>
      </c>
      <c r="AP56" s="320">
        <f>'Quotation Sheet'!G89</f>
        <v>0</v>
      </c>
      <c r="AQ56">
        <v>55</v>
      </c>
      <c r="AR56">
        <f>IF($AU$1='OPSİYON SORGU'!AO56,1,0)</f>
        <v>0</v>
      </c>
      <c r="AS56">
        <f t="shared" si="5"/>
        <v>0</v>
      </c>
    </row>
    <row r="57" spans="1:45">
      <c r="A57" t="s">
        <v>94</v>
      </c>
      <c r="B57" s="320">
        <f>'Quotation Sheet'!G91</f>
        <v>0</v>
      </c>
      <c r="C57">
        <v>56</v>
      </c>
      <c r="D57">
        <f>IF($G$1='OPSİYON SORGU'!A57,1,0)</f>
        <v>0</v>
      </c>
      <c r="E57">
        <f t="shared" si="0"/>
        <v>0</v>
      </c>
      <c r="I57" t="s">
        <v>94</v>
      </c>
      <c r="J57" s="320">
        <f>'Quotation Sheet'!G91</f>
        <v>0</v>
      </c>
      <c r="K57">
        <v>56</v>
      </c>
      <c r="L57">
        <f>IF($O$1='OPSİYON SORGU'!I57,1,0)</f>
        <v>0</v>
      </c>
      <c r="M57">
        <f t="shared" si="1"/>
        <v>0</v>
      </c>
      <c r="Q57" t="s">
        <v>94</v>
      </c>
      <c r="R57" s="320">
        <f>'Quotation Sheet'!G91</f>
        <v>0</v>
      </c>
      <c r="S57">
        <v>56</v>
      </c>
      <c r="T57">
        <f>IF($W$1='OPSİYON SORGU'!Q57,1,0)</f>
        <v>0</v>
      </c>
      <c r="U57">
        <f t="shared" si="2"/>
        <v>0</v>
      </c>
      <c r="Y57" t="s">
        <v>94</v>
      </c>
      <c r="Z57" s="320">
        <f>'Quotation Sheet'!G91</f>
        <v>0</v>
      </c>
      <c r="AA57">
        <v>56</v>
      </c>
      <c r="AB57">
        <f>IF($AE$1='OPSİYON SORGU'!Y57,1,0)</f>
        <v>0</v>
      </c>
      <c r="AC57">
        <f t="shared" si="3"/>
        <v>0</v>
      </c>
      <c r="AG57" t="s">
        <v>94</v>
      </c>
      <c r="AH57" s="320">
        <f>'Quotation Sheet'!G91</f>
        <v>0</v>
      </c>
      <c r="AI57">
        <v>56</v>
      </c>
      <c r="AJ57">
        <f>IF($AM$1='OPSİYON SORGU'!AG57,1,0)</f>
        <v>0</v>
      </c>
      <c r="AK57">
        <f t="shared" si="4"/>
        <v>0</v>
      </c>
      <c r="AO57" t="s">
        <v>94</v>
      </c>
      <c r="AP57" s="320">
        <f>'Quotation Sheet'!G91</f>
        <v>0</v>
      </c>
      <c r="AQ57">
        <v>56</v>
      </c>
      <c r="AR57">
        <f>IF($AU$1='OPSİYON SORGU'!AO57,1,0)</f>
        <v>0</v>
      </c>
      <c r="AS57">
        <f t="shared" si="5"/>
        <v>0</v>
      </c>
    </row>
    <row r="58" spans="1:45">
      <c r="A58" t="s">
        <v>94</v>
      </c>
      <c r="B58" s="320">
        <f>'Quotation Sheet'!G92</f>
        <v>0</v>
      </c>
      <c r="C58">
        <v>57</v>
      </c>
      <c r="D58">
        <f>IF($G$1='OPSİYON SORGU'!A58,1,0)</f>
        <v>0</v>
      </c>
      <c r="E58">
        <f t="shared" si="0"/>
        <v>0</v>
      </c>
      <c r="I58" t="s">
        <v>94</v>
      </c>
      <c r="J58" s="320">
        <f>'Quotation Sheet'!G92</f>
        <v>0</v>
      </c>
      <c r="K58">
        <v>57</v>
      </c>
      <c r="L58">
        <f>IF($O$1='OPSİYON SORGU'!I58,1,0)</f>
        <v>0</v>
      </c>
      <c r="M58">
        <f t="shared" si="1"/>
        <v>0</v>
      </c>
      <c r="Q58" t="s">
        <v>94</v>
      </c>
      <c r="R58" s="320">
        <f>'Quotation Sheet'!G92</f>
        <v>0</v>
      </c>
      <c r="S58">
        <v>57</v>
      </c>
      <c r="T58">
        <f>IF($W$1='OPSİYON SORGU'!Q58,1,0)</f>
        <v>0</v>
      </c>
      <c r="U58">
        <f t="shared" si="2"/>
        <v>0</v>
      </c>
      <c r="Y58" t="s">
        <v>94</v>
      </c>
      <c r="Z58" s="320">
        <f>'Quotation Sheet'!G92</f>
        <v>0</v>
      </c>
      <c r="AA58">
        <v>57</v>
      </c>
      <c r="AB58">
        <f>IF($AE$1='OPSİYON SORGU'!Y58,1,0)</f>
        <v>0</v>
      </c>
      <c r="AC58">
        <f t="shared" si="3"/>
        <v>0</v>
      </c>
      <c r="AG58" t="s">
        <v>94</v>
      </c>
      <c r="AH58" s="320">
        <f>'Quotation Sheet'!G92</f>
        <v>0</v>
      </c>
      <c r="AI58">
        <v>57</v>
      </c>
      <c r="AJ58">
        <f>IF($AM$1='OPSİYON SORGU'!AG58,1,0)</f>
        <v>0</v>
      </c>
      <c r="AK58">
        <f t="shared" si="4"/>
        <v>0</v>
      </c>
      <c r="AO58" t="s">
        <v>94</v>
      </c>
      <c r="AP58" s="320">
        <f>'Quotation Sheet'!G92</f>
        <v>0</v>
      </c>
      <c r="AQ58">
        <v>57</v>
      </c>
      <c r="AR58">
        <f>IF($AU$1='OPSİYON SORGU'!AO58,1,0)</f>
        <v>0</v>
      </c>
      <c r="AS58">
        <f t="shared" si="5"/>
        <v>0</v>
      </c>
    </row>
    <row r="59" spans="1:45">
      <c r="A59" t="s">
        <v>94</v>
      </c>
      <c r="B59" s="320">
        <f>'Quotation Sheet'!G93</f>
        <v>0</v>
      </c>
      <c r="C59">
        <v>58</v>
      </c>
      <c r="D59">
        <f>IF($G$1='OPSİYON SORGU'!A59,1,0)</f>
        <v>0</v>
      </c>
      <c r="E59">
        <f t="shared" si="0"/>
        <v>0</v>
      </c>
      <c r="I59" t="s">
        <v>94</v>
      </c>
      <c r="J59" s="320">
        <f>'Quotation Sheet'!G93</f>
        <v>0</v>
      </c>
      <c r="K59">
        <v>58</v>
      </c>
      <c r="L59">
        <f>IF($O$1='OPSİYON SORGU'!I59,1,0)</f>
        <v>0</v>
      </c>
      <c r="M59">
        <f t="shared" si="1"/>
        <v>0</v>
      </c>
      <c r="Q59" t="s">
        <v>94</v>
      </c>
      <c r="R59" s="320">
        <f>'Quotation Sheet'!G93</f>
        <v>0</v>
      </c>
      <c r="S59">
        <v>58</v>
      </c>
      <c r="T59">
        <f>IF($W$1='OPSİYON SORGU'!Q59,1,0)</f>
        <v>0</v>
      </c>
      <c r="U59">
        <f t="shared" si="2"/>
        <v>0</v>
      </c>
      <c r="Y59" t="s">
        <v>94</v>
      </c>
      <c r="Z59" s="320">
        <f>'Quotation Sheet'!G93</f>
        <v>0</v>
      </c>
      <c r="AA59">
        <v>58</v>
      </c>
      <c r="AB59">
        <f>IF($AE$1='OPSİYON SORGU'!Y59,1,0)</f>
        <v>0</v>
      </c>
      <c r="AC59">
        <f t="shared" si="3"/>
        <v>0</v>
      </c>
      <c r="AG59" t="s">
        <v>94</v>
      </c>
      <c r="AH59" s="320">
        <f>'Quotation Sheet'!G93</f>
        <v>0</v>
      </c>
      <c r="AI59">
        <v>58</v>
      </c>
      <c r="AJ59">
        <f>IF($AM$1='OPSİYON SORGU'!AG59,1,0)</f>
        <v>0</v>
      </c>
      <c r="AK59">
        <f t="shared" si="4"/>
        <v>0</v>
      </c>
      <c r="AO59" t="s">
        <v>94</v>
      </c>
      <c r="AP59" s="320">
        <f>'Quotation Sheet'!G93</f>
        <v>0</v>
      </c>
      <c r="AQ59">
        <v>58</v>
      </c>
      <c r="AR59">
        <f>IF($AU$1='OPSİYON SORGU'!AO59,1,0)</f>
        <v>0</v>
      </c>
      <c r="AS59">
        <f t="shared" si="5"/>
        <v>0</v>
      </c>
    </row>
    <row r="60" spans="1:45">
      <c r="A60" t="s">
        <v>94</v>
      </c>
      <c r="B60" s="320">
        <f>'Quotation Sheet'!G94</f>
        <v>0</v>
      </c>
      <c r="C60">
        <v>59</v>
      </c>
      <c r="D60">
        <f>IF($G$1='OPSİYON SORGU'!A60,1,0)</f>
        <v>0</v>
      </c>
      <c r="E60">
        <f t="shared" si="0"/>
        <v>0</v>
      </c>
      <c r="I60" t="s">
        <v>94</v>
      </c>
      <c r="J60" s="320">
        <f>'Quotation Sheet'!G94</f>
        <v>0</v>
      </c>
      <c r="K60">
        <v>59</v>
      </c>
      <c r="L60">
        <f>IF($O$1='OPSİYON SORGU'!I60,1,0)</f>
        <v>0</v>
      </c>
      <c r="M60">
        <f t="shared" si="1"/>
        <v>0</v>
      </c>
      <c r="Q60" t="s">
        <v>94</v>
      </c>
      <c r="R60" s="320">
        <f>'Quotation Sheet'!G94</f>
        <v>0</v>
      </c>
      <c r="S60">
        <v>59</v>
      </c>
      <c r="T60">
        <f>IF($W$1='OPSİYON SORGU'!Q60,1,0)</f>
        <v>0</v>
      </c>
      <c r="U60">
        <f t="shared" si="2"/>
        <v>0</v>
      </c>
      <c r="Y60" t="s">
        <v>94</v>
      </c>
      <c r="Z60" s="320">
        <f>'Quotation Sheet'!G94</f>
        <v>0</v>
      </c>
      <c r="AA60">
        <v>59</v>
      </c>
      <c r="AB60">
        <f>IF($AE$1='OPSİYON SORGU'!Y60,1,0)</f>
        <v>0</v>
      </c>
      <c r="AC60">
        <f t="shared" si="3"/>
        <v>0</v>
      </c>
      <c r="AG60" t="s">
        <v>94</v>
      </c>
      <c r="AH60" s="320">
        <f>'Quotation Sheet'!G94</f>
        <v>0</v>
      </c>
      <c r="AI60">
        <v>59</v>
      </c>
      <c r="AJ60">
        <f>IF($AM$1='OPSİYON SORGU'!AG60,1,0)</f>
        <v>0</v>
      </c>
      <c r="AK60">
        <f t="shared" si="4"/>
        <v>0</v>
      </c>
      <c r="AO60" t="s">
        <v>94</v>
      </c>
      <c r="AP60" s="320">
        <f>'Quotation Sheet'!G94</f>
        <v>0</v>
      </c>
      <c r="AQ60">
        <v>59</v>
      </c>
      <c r="AR60">
        <f>IF($AU$1='OPSİYON SORGU'!AO60,1,0)</f>
        <v>0</v>
      </c>
      <c r="AS60">
        <f t="shared" si="5"/>
        <v>0</v>
      </c>
    </row>
    <row r="61" spans="1:45">
      <c r="A61" t="s">
        <v>94</v>
      </c>
      <c r="B61" s="320">
        <f>'Quotation Sheet'!G95</f>
        <v>0</v>
      </c>
      <c r="C61">
        <v>60</v>
      </c>
      <c r="D61">
        <f>IF($G$1='OPSİYON SORGU'!A61,1,0)</f>
        <v>0</v>
      </c>
      <c r="E61">
        <f t="shared" si="0"/>
        <v>0</v>
      </c>
      <c r="I61" t="s">
        <v>94</v>
      </c>
      <c r="J61" s="320">
        <f>'Quotation Sheet'!G95</f>
        <v>0</v>
      </c>
      <c r="K61">
        <v>60</v>
      </c>
      <c r="L61">
        <f>IF($O$1='OPSİYON SORGU'!I61,1,0)</f>
        <v>0</v>
      </c>
      <c r="M61">
        <f t="shared" si="1"/>
        <v>0</v>
      </c>
      <c r="Q61" t="s">
        <v>94</v>
      </c>
      <c r="R61" s="320">
        <f>'Quotation Sheet'!G95</f>
        <v>0</v>
      </c>
      <c r="S61">
        <v>60</v>
      </c>
      <c r="T61">
        <f>IF($W$1='OPSİYON SORGU'!Q61,1,0)</f>
        <v>0</v>
      </c>
      <c r="U61">
        <f t="shared" si="2"/>
        <v>0</v>
      </c>
      <c r="Y61" t="s">
        <v>94</v>
      </c>
      <c r="Z61" s="320">
        <f>'Quotation Sheet'!G95</f>
        <v>0</v>
      </c>
      <c r="AA61">
        <v>60</v>
      </c>
      <c r="AB61">
        <f>IF($AE$1='OPSİYON SORGU'!Y61,1,0)</f>
        <v>0</v>
      </c>
      <c r="AC61">
        <f t="shared" si="3"/>
        <v>0</v>
      </c>
      <c r="AG61" t="s">
        <v>94</v>
      </c>
      <c r="AH61" s="320">
        <f>'Quotation Sheet'!G95</f>
        <v>0</v>
      </c>
      <c r="AI61">
        <v>60</v>
      </c>
      <c r="AJ61">
        <f>IF($AM$1='OPSİYON SORGU'!AG61,1,0)</f>
        <v>0</v>
      </c>
      <c r="AK61">
        <f t="shared" si="4"/>
        <v>0</v>
      </c>
      <c r="AO61" t="s">
        <v>94</v>
      </c>
      <c r="AP61" s="320">
        <f>'Quotation Sheet'!G95</f>
        <v>0</v>
      </c>
      <c r="AQ61">
        <v>60</v>
      </c>
      <c r="AR61">
        <f>IF($AU$1='OPSİYON SORGU'!AO61,1,0)</f>
        <v>0</v>
      </c>
      <c r="AS61">
        <f t="shared" si="5"/>
        <v>0</v>
      </c>
    </row>
    <row r="62" spans="1:45">
      <c r="A62" t="s">
        <v>94</v>
      </c>
      <c r="B62" s="320">
        <f>'Quotation Sheet'!G97</f>
        <v>0</v>
      </c>
      <c r="C62">
        <v>61</v>
      </c>
      <c r="D62">
        <f>IF($G$1='OPSİYON SORGU'!A62,1,0)</f>
        <v>0</v>
      </c>
      <c r="E62">
        <f t="shared" si="0"/>
        <v>0</v>
      </c>
      <c r="I62" t="s">
        <v>94</v>
      </c>
      <c r="J62" s="320">
        <f>'Quotation Sheet'!G97</f>
        <v>0</v>
      </c>
      <c r="K62">
        <v>61</v>
      </c>
      <c r="L62">
        <f>IF($O$1='OPSİYON SORGU'!I62,1,0)</f>
        <v>0</v>
      </c>
      <c r="M62">
        <f t="shared" si="1"/>
        <v>0</v>
      </c>
      <c r="Q62" t="s">
        <v>94</v>
      </c>
      <c r="R62" s="320">
        <f>'Quotation Sheet'!G97</f>
        <v>0</v>
      </c>
      <c r="S62">
        <v>61</v>
      </c>
      <c r="T62">
        <f>IF($W$1='OPSİYON SORGU'!Q62,1,0)</f>
        <v>0</v>
      </c>
      <c r="U62">
        <f t="shared" si="2"/>
        <v>0</v>
      </c>
      <c r="Y62" t="s">
        <v>94</v>
      </c>
      <c r="Z62" s="320">
        <f>'Quotation Sheet'!G97</f>
        <v>0</v>
      </c>
      <c r="AA62">
        <v>61</v>
      </c>
      <c r="AB62">
        <f>IF($AE$1='OPSİYON SORGU'!Y62,1,0)</f>
        <v>0</v>
      </c>
      <c r="AC62">
        <f t="shared" si="3"/>
        <v>0</v>
      </c>
      <c r="AG62" t="s">
        <v>94</v>
      </c>
      <c r="AH62" s="320">
        <f>'Quotation Sheet'!G97</f>
        <v>0</v>
      </c>
      <c r="AI62">
        <v>61</v>
      </c>
      <c r="AJ62">
        <f>IF($AM$1='OPSİYON SORGU'!AG62,1,0)</f>
        <v>0</v>
      </c>
      <c r="AK62">
        <f t="shared" si="4"/>
        <v>0</v>
      </c>
      <c r="AO62" t="s">
        <v>94</v>
      </c>
      <c r="AP62" s="320">
        <f>'Quotation Sheet'!G97</f>
        <v>0</v>
      </c>
      <c r="AQ62">
        <v>61</v>
      </c>
      <c r="AR62">
        <f>IF($AU$1='OPSİYON SORGU'!AO62,1,0)</f>
        <v>0</v>
      </c>
      <c r="AS62">
        <f t="shared" si="5"/>
        <v>0</v>
      </c>
    </row>
    <row r="63" spans="1:45">
      <c r="A63" t="s">
        <v>94</v>
      </c>
      <c r="B63" s="320">
        <f>'Quotation Sheet'!G98</f>
        <v>0</v>
      </c>
      <c r="C63">
        <v>62</v>
      </c>
      <c r="D63">
        <f>IF($G$1='OPSİYON SORGU'!A63,1,0)</f>
        <v>0</v>
      </c>
      <c r="E63">
        <f t="shared" si="0"/>
        <v>0</v>
      </c>
      <c r="I63" t="s">
        <v>94</v>
      </c>
      <c r="J63" s="320">
        <f>'Quotation Sheet'!G98</f>
        <v>0</v>
      </c>
      <c r="K63">
        <v>62</v>
      </c>
      <c r="L63">
        <f>IF($O$1='OPSİYON SORGU'!I63,1,0)</f>
        <v>0</v>
      </c>
      <c r="M63">
        <f t="shared" si="1"/>
        <v>0</v>
      </c>
      <c r="Q63" t="s">
        <v>94</v>
      </c>
      <c r="R63" s="320">
        <f>'Quotation Sheet'!G98</f>
        <v>0</v>
      </c>
      <c r="S63">
        <v>62</v>
      </c>
      <c r="T63">
        <f>IF($W$1='OPSİYON SORGU'!Q63,1,0)</f>
        <v>0</v>
      </c>
      <c r="U63">
        <f t="shared" si="2"/>
        <v>0</v>
      </c>
      <c r="Y63" t="s">
        <v>94</v>
      </c>
      <c r="Z63" s="320">
        <f>'Quotation Sheet'!G98</f>
        <v>0</v>
      </c>
      <c r="AA63">
        <v>62</v>
      </c>
      <c r="AB63">
        <f>IF($AE$1='OPSİYON SORGU'!Y63,1,0)</f>
        <v>0</v>
      </c>
      <c r="AC63">
        <f t="shared" si="3"/>
        <v>0</v>
      </c>
      <c r="AG63" t="s">
        <v>94</v>
      </c>
      <c r="AH63" s="320">
        <f>'Quotation Sheet'!G98</f>
        <v>0</v>
      </c>
      <c r="AI63">
        <v>62</v>
      </c>
      <c r="AJ63">
        <f>IF($AM$1='OPSİYON SORGU'!AG63,1,0)</f>
        <v>0</v>
      </c>
      <c r="AK63">
        <f t="shared" si="4"/>
        <v>0</v>
      </c>
      <c r="AO63" t="s">
        <v>94</v>
      </c>
      <c r="AP63" s="320">
        <f>'Quotation Sheet'!G98</f>
        <v>0</v>
      </c>
      <c r="AQ63">
        <v>62</v>
      </c>
      <c r="AR63">
        <f>IF($AU$1='OPSİYON SORGU'!AO63,1,0)</f>
        <v>0</v>
      </c>
      <c r="AS63">
        <f t="shared" si="5"/>
        <v>0</v>
      </c>
    </row>
    <row r="64" spans="1:45">
      <c r="A64" t="s">
        <v>94</v>
      </c>
      <c r="B64" s="320">
        <f>'Quotation Sheet'!G99</f>
        <v>0</v>
      </c>
      <c r="C64">
        <v>63</v>
      </c>
      <c r="D64">
        <f>IF($G$1='OPSİYON SORGU'!A64,1,0)</f>
        <v>0</v>
      </c>
      <c r="E64">
        <f t="shared" si="0"/>
        <v>0</v>
      </c>
      <c r="I64" t="s">
        <v>94</v>
      </c>
      <c r="J64" s="320">
        <f>'Quotation Sheet'!G99</f>
        <v>0</v>
      </c>
      <c r="K64">
        <v>63</v>
      </c>
      <c r="L64">
        <f>IF($O$1='OPSİYON SORGU'!I64,1,0)</f>
        <v>0</v>
      </c>
      <c r="M64">
        <f t="shared" si="1"/>
        <v>0</v>
      </c>
      <c r="Q64" t="s">
        <v>94</v>
      </c>
      <c r="R64" s="320">
        <f>'Quotation Sheet'!G99</f>
        <v>0</v>
      </c>
      <c r="S64">
        <v>63</v>
      </c>
      <c r="T64">
        <f>IF($W$1='OPSİYON SORGU'!Q64,1,0)</f>
        <v>0</v>
      </c>
      <c r="U64">
        <f t="shared" si="2"/>
        <v>0</v>
      </c>
      <c r="Y64" t="s">
        <v>94</v>
      </c>
      <c r="Z64" s="320">
        <f>'Quotation Sheet'!G99</f>
        <v>0</v>
      </c>
      <c r="AA64">
        <v>63</v>
      </c>
      <c r="AB64">
        <f>IF($AE$1='OPSİYON SORGU'!Y64,1,0)</f>
        <v>0</v>
      </c>
      <c r="AC64">
        <f t="shared" si="3"/>
        <v>0</v>
      </c>
      <c r="AG64" t="s">
        <v>94</v>
      </c>
      <c r="AH64" s="320">
        <f>'Quotation Sheet'!G99</f>
        <v>0</v>
      </c>
      <c r="AI64">
        <v>63</v>
      </c>
      <c r="AJ64">
        <f>IF($AM$1='OPSİYON SORGU'!AG64,1,0)</f>
        <v>0</v>
      </c>
      <c r="AK64">
        <f t="shared" si="4"/>
        <v>0</v>
      </c>
      <c r="AO64" t="s">
        <v>94</v>
      </c>
      <c r="AP64" s="320">
        <f>'Quotation Sheet'!G99</f>
        <v>0</v>
      </c>
      <c r="AQ64">
        <v>63</v>
      </c>
      <c r="AR64">
        <f>IF($AU$1='OPSİYON SORGU'!AO64,1,0)</f>
        <v>0</v>
      </c>
      <c r="AS64">
        <f t="shared" si="5"/>
        <v>0</v>
      </c>
    </row>
    <row r="65" spans="1:45">
      <c r="A65" t="s">
        <v>94</v>
      </c>
      <c r="B65" s="320">
        <f>'Quotation Sheet'!G100</f>
        <v>0</v>
      </c>
      <c r="C65">
        <v>64</v>
      </c>
      <c r="D65">
        <f>IF($G$1='OPSİYON SORGU'!A65,1,0)</f>
        <v>0</v>
      </c>
      <c r="E65">
        <f t="shared" si="0"/>
        <v>0</v>
      </c>
      <c r="I65" t="s">
        <v>94</v>
      </c>
      <c r="J65" s="320">
        <f>'Quotation Sheet'!G100</f>
        <v>0</v>
      </c>
      <c r="K65">
        <v>64</v>
      </c>
      <c r="L65">
        <f>IF($O$1='OPSİYON SORGU'!I65,1,0)</f>
        <v>0</v>
      </c>
      <c r="M65">
        <f t="shared" si="1"/>
        <v>0</v>
      </c>
      <c r="Q65" t="s">
        <v>94</v>
      </c>
      <c r="R65" s="320">
        <f>'Quotation Sheet'!G100</f>
        <v>0</v>
      </c>
      <c r="S65">
        <v>64</v>
      </c>
      <c r="T65">
        <f>IF($W$1='OPSİYON SORGU'!Q65,1,0)</f>
        <v>0</v>
      </c>
      <c r="U65">
        <f t="shared" si="2"/>
        <v>0</v>
      </c>
      <c r="Y65" t="s">
        <v>94</v>
      </c>
      <c r="Z65" s="320">
        <f>'Quotation Sheet'!G100</f>
        <v>0</v>
      </c>
      <c r="AA65">
        <v>64</v>
      </c>
      <c r="AB65">
        <f>IF($AE$1='OPSİYON SORGU'!Y65,1,0)</f>
        <v>0</v>
      </c>
      <c r="AC65">
        <f t="shared" si="3"/>
        <v>0</v>
      </c>
      <c r="AG65" t="s">
        <v>94</v>
      </c>
      <c r="AH65" s="320">
        <f>'Quotation Sheet'!G100</f>
        <v>0</v>
      </c>
      <c r="AI65">
        <v>64</v>
      </c>
      <c r="AJ65">
        <f>IF($AM$1='OPSİYON SORGU'!AG65,1,0)</f>
        <v>0</v>
      </c>
      <c r="AK65">
        <f t="shared" si="4"/>
        <v>0</v>
      </c>
      <c r="AO65" t="s">
        <v>94</v>
      </c>
      <c r="AP65" s="320">
        <f>'Quotation Sheet'!G100</f>
        <v>0</v>
      </c>
      <c r="AQ65">
        <v>64</v>
      </c>
      <c r="AR65">
        <f>IF($AU$1='OPSİYON SORGU'!AO65,1,0)</f>
        <v>0</v>
      </c>
      <c r="AS65">
        <f t="shared" si="5"/>
        <v>0</v>
      </c>
    </row>
    <row r="66" spans="1:45">
      <c r="A66" t="s">
        <v>94</v>
      </c>
      <c r="B66" s="320">
        <f>'Quotation Sheet'!G101</f>
        <v>0</v>
      </c>
      <c r="C66">
        <v>65</v>
      </c>
      <c r="D66">
        <f>IF($G$1='OPSİYON SORGU'!A66,1,0)</f>
        <v>0</v>
      </c>
      <c r="E66">
        <f t="shared" si="0"/>
        <v>0</v>
      </c>
      <c r="I66" t="s">
        <v>94</v>
      </c>
      <c r="J66" s="320">
        <f>'Quotation Sheet'!G101</f>
        <v>0</v>
      </c>
      <c r="K66">
        <v>65</v>
      </c>
      <c r="L66">
        <f>IF($O$1='OPSİYON SORGU'!I66,1,0)</f>
        <v>0</v>
      </c>
      <c r="M66">
        <f t="shared" si="1"/>
        <v>0</v>
      </c>
      <c r="Q66" t="s">
        <v>94</v>
      </c>
      <c r="R66" s="320">
        <f>'Quotation Sheet'!G101</f>
        <v>0</v>
      </c>
      <c r="S66">
        <v>65</v>
      </c>
      <c r="T66">
        <f>IF($W$1='OPSİYON SORGU'!Q66,1,0)</f>
        <v>0</v>
      </c>
      <c r="U66">
        <f t="shared" si="2"/>
        <v>0</v>
      </c>
      <c r="Y66" t="s">
        <v>94</v>
      </c>
      <c r="Z66" s="320">
        <f>'Quotation Sheet'!G101</f>
        <v>0</v>
      </c>
      <c r="AA66">
        <v>65</v>
      </c>
      <c r="AB66">
        <f>IF($AE$1='OPSİYON SORGU'!Y66,1,0)</f>
        <v>0</v>
      </c>
      <c r="AC66">
        <f t="shared" si="3"/>
        <v>0</v>
      </c>
      <c r="AG66" t="s">
        <v>94</v>
      </c>
      <c r="AH66" s="320">
        <f>'Quotation Sheet'!G101</f>
        <v>0</v>
      </c>
      <c r="AI66">
        <v>65</v>
      </c>
      <c r="AJ66">
        <f>IF($AM$1='OPSİYON SORGU'!AG66,1,0)</f>
        <v>0</v>
      </c>
      <c r="AK66">
        <f t="shared" si="4"/>
        <v>0</v>
      </c>
      <c r="AO66" t="s">
        <v>94</v>
      </c>
      <c r="AP66" s="320">
        <f>'Quotation Sheet'!G101</f>
        <v>0</v>
      </c>
      <c r="AQ66">
        <v>65</v>
      </c>
      <c r="AR66">
        <f>IF($AU$1='OPSİYON SORGU'!AO66,1,0)</f>
        <v>0</v>
      </c>
      <c r="AS66">
        <f t="shared" si="5"/>
        <v>0</v>
      </c>
    </row>
    <row r="67" spans="1:45">
      <c r="A67" t="s">
        <v>94</v>
      </c>
      <c r="B67" s="320">
        <f>'Quotation Sheet'!G103</f>
        <v>0</v>
      </c>
      <c r="C67">
        <v>66</v>
      </c>
      <c r="D67">
        <f>IF($G$1='OPSİYON SORGU'!A67,1,0)</f>
        <v>0</v>
      </c>
      <c r="E67">
        <f t="shared" si="0"/>
        <v>0</v>
      </c>
      <c r="I67" t="s">
        <v>94</v>
      </c>
      <c r="J67" s="320">
        <f>'Quotation Sheet'!G103</f>
        <v>0</v>
      </c>
      <c r="K67">
        <v>66</v>
      </c>
      <c r="L67">
        <f>IF($O$1='OPSİYON SORGU'!I67,1,0)</f>
        <v>0</v>
      </c>
      <c r="M67">
        <f t="shared" si="1"/>
        <v>0</v>
      </c>
      <c r="Q67" t="s">
        <v>94</v>
      </c>
      <c r="R67" s="320">
        <f>'Quotation Sheet'!G103</f>
        <v>0</v>
      </c>
      <c r="S67">
        <v>66</v>
      </c>
      <c r="T67">
        <f>IF($W$1='OPSİYON SORGU'!Q67,1,0)</f>
        <v>0</v>
      </c>
      <c r="U67">
        <f t="shared" si="2"/>
        <v>0</v>
      </c>
      <c r="Y67" t="s">
        <v>94</v>
      </c>
      <c r="Z67" s="320">
        <f>'Quotation Sheet'!G103</f>
        <v>0</v>
      </c>
      <c r="AA67">
        <v>66</v>
      </c>
      <c r="AB67">
        <f>IF($AE$1='OPSİYON SORGU'!Y67,1,0)</f>
        <v>0</v>
      </c>
      <c r="AC67">
        <f t="shared" si="3"/>
        <v>0</v>
      </c>
      <c r="AG67" t="s">
        <v>94</v>
      </c>
      <c r="AH67" s="320">
        <f>'Quotation Sheet'!G103</f>
        <v>0</v>
      </c>
      <c r="AI67">
        <v>66</v>
      </c>
      <c r="AJ67">
        <f>IF($AM$1='OPSİYON SORGU'!AG67,1,0)</f>
        <v>0</v>
      </c>
      <c r="AK67">
        <f t="shared" si="4"/>
        <v>0</v>
      </c>
      <c r="AO67" t="s">
        <v>94</v>
      </c>
      <c r="AP67" s="320">
        <f>'Quotation Sheet'!G103</f>
        <v>0</v>
      </c>
      <c r="AQ67">
        <v>66</v>
      </c>
      <c r="AR67">
        <f>IF($AU$1='OPSİYON SORGU'!AO67,1,0)</f>
        <v>0</v>
      </c>
      <c r="AS67">
        <f t="shared" si="5"/>
        <v>0</v>
      </c>
    </row>
    <row r="68" spans="1:45">
      <c r="A68" t="s">
        <v>94</v>
      </c>
      <c r="B68" s="320">
        <f>'Quotation Sheet'!G104</f>
        <v>0</v>
      </c>
      <c r="C68">
        <v>67</v>
      </c>
      <c r="D68">
        <f>IF($G$1='OPSİYON SORGU'!A68,1,0)</f>
        <v>0</v>
      </c>
      <c r="E68">
        <f t="shared" ref="E68:E131" si="6">+IF(D68=0,0,E67+1)</f>
        <v>0</v>
      </c>
      <c r="I68" t="s">
        <v>94</v>
      </c>
      <c r="J68" s="320">
        <f>'Quotation Sheet'!G104</f>
        <v>0</v>
      </c>
      <c r="K68">
        <v>67</v>
      </c>
      <c r="L68">
        <f>IF($O$1='OPSİYON SORGU'!I68,1,0)</f>
        <v>0</v>
      </c>
      <c r="M68">
        <f t="shared" ref="M68:M131" si="7">+IF(L68=0,0,M67+1)</f>
        <v>0</v>
      </c>
      <c r="Q68" t="s">
        <v>94</v>
      </c>
      <c r="R68" s="320">
        <f>'Quotation Sheet'!G104</f>
        <v>0</v>
      </c>
      <c r="S68">
        <v>67</v>
      </c>
      <c r="T68">
        <f>IF($W$1='OPSİYON SORGU'!Q68,1,0)</f>
        <v>0</v>
      </c>
      <c r="U68">
        <f t="shared" ref="U68:U131" si="8">+IF(T68=0,0,U67+1)</f>
        <v>0</v>
      </c>
      <c r="Y68" t="s">
        <v>94</v>
      </c>
      <c r="Z68" s="320">
        <f>'Quotation Sheet'!G104</f>
        <v>0</v>
      </c>
      <c r="AA68">
        <v>67</v>
      </c>
      <c r="AB68">
        <f>IF($AE$1='OPSİYON SORGU'!Y68,1,0)</f>
        <v>0</v>
      </c>
      <c r="AC68">
        <f t="shared" ref="AC68:AC131" si="9">+IF(AB68=0,0,AC67+1)</f>
        <v>0</v>
      </c>
      <c r="AG68" t="s">
        <v>94</v>
      </c>
      <c r="AH68" s="320">
        <f>'Quotation Sheet'!G104</f>
        <v>0</v>
      </c>
      <c r="AI68">
        <v>67</v>
      </c>
      <c r="AJ68">
        <f>IF($AM$1='OPSİYON SORGU'!AG68,1,0)</f>
        <v>0</v>
      </c>
      <c r="AK68">
        <f t="shared" ref="AK68:AK131" si="10">+IF(AJ68=0,0,AK67+1)</f>
        <v>0</v>
      </c>
      <c r="AO68" t="s">
        <v>94</v>
      </c>
      <c r="AP68" s="320">
        <f>'Quotation Sheet'!G104</f>
        <v>0</v>
      </c>
      <c r="AQ68">
        <v>67</v>
      </c>
      <c r="AR68">
        <f>IF($AU$1='OPSİYON SORGU'!AO68,1,0)</f>
        <v>0</v>
      </c>
      <c r="AS68">
        <f t="shared" ref="AS68:AS131" si="11">+IF(AR68=0,0,AS67+1)</f>
        <v>0</v>
      </c>
    </row>
    <row r="69" spans="1:45">
      <c r="A69" t="s">
        <v>94</v>
      </c>
      <c r="B69" s="320">
        <f>'Quotation Sheet'!G105</f>
        <v>0</v>
      </c>
      <c r="C69">
        <v>68</v>
      </c>
      <c r="D69">
        <f>IF($G$1='OPSİYON SORGU'!A69,1,0)</f>
        <v>0</v>
      </c>
      <c r="E69">
        <f t="shared" si="6"/>
        <v>0</v>
      </c>
      <c r="I69" t="s">
        <v>94</v>
      </c>
      <c r="J69" s="320">
        <f>'Quotation Sheet'!G105</f>
        <v>0</v>
      </c>
      <c r="K69">
        <v>68</v>
      </c>
      <c r="L69">
        <f>IF($O$1='OPSİYON SORGU'!I69,1,0)</f>
        <v>0</v>
      </c>
      <c r="M69">
        <f t="shared" si="7"/>
        <v>0</v>
      </c>
      <c r="Q69" t="s">
        <v>94</v>
      </c>
      <c r="R69" s="320">
        <f>'Quotation Sheet'!G105</f>
        <v>0</v>
      </c>
      <c r="S69">
        <v>68</v>
      </c>
      <c r="T69">
        <f>IF($W$1='OPSİYON SORGU'!Q69,1,0)</f>
        <v>0</v>
      </c>
      <c r="U69">
        <f t="shared" si="8"/>
        <v>0</v>
      </c>
      <c r="Y69" t="s">
        <v>94</v>
      </c>
      <c r="Z69" s="320">
        <f>'Quotation Sheet'!G105</f>
        <v>0</v>
      </c>
      <c r="AA69">
        <v>68</v>
      </c>
      <c r="AB69">
        <f>IF($AE$1='OPSİYON SORGU'!Y69,1,0)</f>
        <v>0</v>
      </c>
      <c r="AC69">
        <f t="shared" si="9"/>
        <v>0</v>
      </c>
      <c r="AG69" t="s">
        <v>94</v>
      </c>
      <c r="AH69" s="320">
        <f>'Quotation Sheet'!G105</f>
        <v>0</v>
      </c>
      <c r="AI69">
        <v>68</v>
      </c>
      <c r="AJ69">
        <f>IF($AM$1='OPSİYON SORGU'!AG69,1,0)</f>
        <v>0</v>
      </c>
      <c r="AK69">
        <f t="shared" si="10"/>
        <v>0</v>
      </c>
      <c r="AO69" t="s">
        <v>94</v>
      </c>
      <c r="AP69" s="320">
        <f>'Quotation Sheet'!G105</f>
        <v>0</v>
      </c>
      <c r="AQ69">
        <v>68</v>
      </c>
      <c r="AR69">
        <f>IF($AU$1='OPSİYON SORGU'!AO69,1,0)</f>
        <v>0</v>
      </c>
      <c r="AS69">
        <f t="shared" si="11"/>
        <v>0</v>
      </c>
    </row>
    <row r="70" spans="1:45">
      <c r="A70" t="s">
        <v>94</v>
      </c>
      <c r="B70" s="320">
        <f>'Quotation Sheet'!G106</f>
        <v>0</v>
      </c>
      <c r="C70">
        <v>69</v>
      </c>
      <c r="D70">
        <f>IF($G$1='OPSİYON SORGU'!A70,1,0)</f>
        <v>0</v>
      </c>
      <c r="E70">
        <f t="shared" si="6"/>
        <v>0</v>
      </c>
      <c r="I70" t="s">
        <v>94</v>
      </c>
      <c r="J70" s="320">
        <f>'Quotation Sheet'!G106</f>
        <v>0</v>
      </c>
      <c r="K70">
        <v>69</v>
      </c>
      <c r="L70">
        <f>IF($O$1='OPSİYON SORGU'!I70,1,0)</f>
        <v>0</v>
      </c>
      <c r="M70">
        <f t="shared" si="7"/>
        <v>0</v>
      </c>
      <c r="Q70" t="s">
        <v>94</v>
      </c>
      <c r="R70" s="320">
        <f>'Quotation Sheet'!G106</f>
        <v>0</v>
      </c>
      <c r="S70">
        <v>69</v>
      </c>
      <c r="T70">
        <f>IF($W$1='OPSİYON SORGU'!Q70,1,0)</f>
        <v>0</v>
      </c>
      <c r="U70">
        <f t="shared" si="8"/>
        <v>0</v>
      </c>
      <c r="Y70" t="s">
        <v>94</v>
      </c>
      <c r="Z70" s="320">
        <f>'Quotation Sheet'!G106</f>
        <v>0</v>
      </c>
      <c r="AA70">
        <v>69</v>
      </c>
      <c r="AB70">
        <f>IF($AE$1='OPSİYON SORGU'!Y70,1,0)</f>
        <v>0</v>
      </c>
      <c r="AC70">
        <f t="shared" si="9"/>
        <v>0</v>
      </c>
      <c r="AG70" t="s">
        <v>94</v>
      </c>
      <c r="AH70" s="320">
        <f>'Quotation Sheet'!G106</f>
        <v>0</v>
      </c>
      <c r="AI70">
        <v>69</v>
      </c>
      <c r="AJ70">
        <f>IF($AM$1='OPSİYON SORGU'!AG70,1,0)</f>
        <v>0</v>
      </c>
      <c r="AK70">
        <f t="shared" si="10"/>
        <v>0</v>
      </c>
      <c r="AO70" t="s">
        <v>94</v>
      </c>
      <c r="AP70" s="320">
        <f>'Quotation Sheet'!G106</f>
        <v>0</v>
      </c>
      <c r="AQ70">
        <v>69</v>
      </c>
      <c r="AR70">
        <f>IF($AU$1='OPSİYON SORGU'!AO70,1,0)</f>
        <v>0</v>
      </c>
      <c r="AS70">
        <f t="shared" si="11"/>
        <v>0</v>
      </c>
    </row>
    <row r="71" spans="1:45">
      <c r="A71" t="s">
        <v>94</v>
      </c>
      <c r="B71" s="320">
        <f>'Quotation Sheet'!G107</f>
        <v>0</v>
      </c>
      <c r="C71">
        <v>70</v>
      </c>
      <c r="D71">
        <f>IF($G$1='OPSİYON SORGU'!A71,1,0)</f>
        <v>0</v>
      </c>
      <c r="E71">
        <f t="shared" si="6"/>
        <v>0</v>
      </c>
      <c r="I71" t="s">
        <v>94</v>
      </c>
      <c r="J71" s="320">
        <f>'Quotation Sheet'!G107</f>
        <v>0</v>
      </c>
      <c r="K71">
        <v>70</v>
      </c>
      <c r="L71">
        <f>IF($O$1='OPSİYON SORGU'!I71,1,0)</f>
        <v>0</v>
      </c>
      <c r="M71">
        <f t="shared" si="7"/>
        <v>0</v>
      </c>
      <c r="Q71" t="s">
        <v>94</v>
      </c>
      <c r="R71" s="320">
        <f>'Quotation Sheet'!G107</f>
        <v>0</v>
      </c>
      <c r="S71">
        <v>70</v>
      </c>
      <c r="T71">
        <f>IF($W$1='OPSİYON SORGU'!Q71,1,0)</f>
        <v>0</v>
      </c>
      <c r="U71">
        <f t="shared" si="8"/>
        <v>0</v>
      </c>
      <c r="Y71" t="s">
        <v>94</v>
      </c>
      <c r="Z71" s="320">
        <f>'Quotation Sheet'!G107</f>
        <v>0</v>
      </c>
      <c r="AA71">
        <v>70</v>
      </c>
      <c r="AB71">
        <f>IF($AE$1='OPSİYON SORGU'!Y71,1,0)</f>
        <v>0</v>
      </c>
      <c r="AC71">
        <f t="shared" si="9"/>
        <v>0</v>
      </c>
      <c r="AG71" t="s">
        <v>94</v>
      </c>
      <c r="AH71" s="320">
        <f>'Quotation Sheet'!G107</f>
        <v>0</v>
      </c>
      <c r="AI71">
        <v>70</v>
      </c>
      <c r="AJ71">
        <f>IF($AM$1='OPSİYON SORGU'!AG71,1,0)</f>
        <v>0</v>
      </c>
      <c r="AK71">
        <f t="shared" si="10"/>
        <v>0</v>
      </c>
      <c r="AO71" t="s">
        <v>94</v>
      </c>
      <c r="AP71" s="320">
        <f>'Quotation Sheet'!G107</f>
        <v>0</v>
      </c>
      <c r="AQ71">
        <v>70</v>
      </c>
      <c r="AR71">
        <f>IF($AU$1='OPSİYON SORGU'!AO71,1,0)</f>
        <v>0</v>
      </c>
      <c r="AS71">
        <f t="shared" si="11"/>
        <v>0</v>
      </c>
    </row>
    <row r="72" spans="1:45">
      <c r="A72" t="s">
        <v>94</v>
      </c>
      <c r="B72" s="320">
        <f>'Quotation Sheet'!G109</f>
        <v>0</v>
      </c>
      <c r="C72">
        <v>71</v>
      </c>
      <c r="D72">
        <f>IF($G$1='OPSİYON SORGU'!A72,1,0)</f>
        <v>0</v>
      </c>
      <c r="E72">
        <f t="shared" si="6"/>
        <v>0</v>
      </c>
      <c r="I72" t="s">
        <v>94</v>
      </c>
      <c r="J72" s="320">
        <f>'Quotation Sheet'!G109</f>
        <v>0</v>
      </c>
      <c r="K72">
        <v>71</v>
      </c>
      <c r="L72">
        <f>IF($O$1='OPSİYON SORGU'!I72,1,0)</f>
        <v>0</v>
      </c>
      <c r="M72">
        <f t="shared" si="7"/>
        <v>0</v>
      </c>
      <c r="Q72" t="s">
        <v>94</v>
      </c>
      <c r="R72" s="320">
        <f>'Quotation Sheet'!G109</f>
        <v>0</v>
      </c>
      <c r="S72">
        <v>71</v>
      </c>
      <c r="T72">
        <f>IF($W$1='OPSİYON SORGU'!Q72,1,0)</f>
        <v>0</v>
      </c>
      <c r="U72">
        <f t="shared" si="8"/>
        <v>0</v>
      </c>
      <c r="Y72" t="s">
        <v>94</v>
      </c>
      <c r="Z72" s="320">
        <f>'Quotation Sheet'!G109</f>
        <v>0</v>
      </c>
      <c r="AA72">
        <v>71</v>
      </c>
      <c r="AB72">
        <f>IF($AE$1='OPSİYON SORGU'!Y72,1,0)</f>
        <v>0</v>
      </c>
      <c r="AC72">
        <f t="shared" si="9"/>
        <v>0</v>
      </c>
      <c r="AG72" t="s">
        <v>94</v>
      </c>
      <c r="AH72" s="320">
        <f>'Quotation Sheet'!G109</f>
        <v>0</v>
      </c>
      <c r="AI72">
        <v>71</v>
      </c>
      <c r="AJ72">
        <f>IF($AM$1='OPSİYON SORGU'!AG72,1,0)</f>
        <v>0</v>
      </c>
      <c r="AK72">
        <f t="shared" si="10"/>
        <v>0</v>
      </c>
      <c r="AO72" t="s">
        <v>94</v>
      </c>
      <c r="AP72" s="320">
        <f>'Quotation Sheet'!G109</f>
        <v>0</v>
      </c>
      <c r="AQ72">
        <v>71</v>
      </c>
      <c r="AR72">
        <f>IF($AU$1='OPSİYON SORGU'!AO72,1,0)</f>
        <v>0</v>
      </c>
      <c r="AS72">
        <f t="shared" si="11"/>
        <v>0</v>
      </c>
    </row>
    <row r="73" spans="1:45">
      <c r="A73" t="s">
        <v>94</v>
      </c>
      <c r="B73" s="320">
        <f>'Quotation Sheet'!G110</f>
        <v>0</v>
      </c>
      <c r="C73">
        <v>72</v>
      </c>
      <c r="D73">
        <f>IF($G$1='OPSİYON SORGU'!A73,1,0)</f>
        <v>0</v>
      </c>
      <c r="E73">
        <f t="shared" si="6"/>
        <v>0</v>
      </c>
      <c r="I73" t="s">
        <v>94</v>
      </c>
      <c r="J73" s="320">
        <f>'Quotation Sheet'!G110</f>
        <v>0</v>
      </c>
      <c r="K73">
        <v>72</v>
      </c>
      <c r="L73">
        <f>IF($O$1='OPSİYON SORGU'!I73,1,0)</f>
        <v>0</v>
      </c>
      <c r="M73">
        <f t="shared" si="7"/>
        <v>0</v>
      </c>
      <c r="Q73" t="s">
        <v>94</v>
      </c>
      <c r="R73" s="320">
        <f>'Quotation Sheet'!G110</f>
        <v>0</v>
      </c>
      <c r="S73">
        <v>72</v>
      </c>
      <c r="T73">
        <f>IF($W$1='OPSİYON SORGU'!Q73,1,0)</f>
        <v>0</v>
      </c>
      <c r="U73">
        <f t="shared" si="8"/>
        <v>0</v>
      </c>
      <c r="Y73" t="s">
        <v>94</v>
      </c>
      <c r="Z73" s="320">
        <f>'Quotation Sheet'!G110</f>
        <v>0</v>
      </c>
      <c r="AA73">
        <v>72</v>
      </c>
      <c r="AB73">
        <f>IF($AE$1='OPSİYON SORGU'!Y73,1,0)</f>
        <v>0</v>
      </c>
      <c r="AC73">
        <f t="shared" si="9"/>
        <v>0</v>
      </c>
      <c r="AG73" t="s">
        <v>94</v>
      </c>
      <c r="AH73" s="320">
        <f>'Quotation Sheet'!G110</f>
        <v>0</v>
      </c>
      <c r="AI73">
        <v>72</v>
      </c>
      <c r="AJ73">
        <f>IF($AM$1='OPSİYON SORGU'!AG73,1,0)</f>
        <v>0</v>
      </c>
      <c r="AK73">
        <f t="shared" si="10"/>
        <v>0</v>
      </c>
      <c r="AO73" t="s">
        <v>94</v>
      </c>
      <c r="AP73" s="320">
        <f>'Quotation Sheet'!G110</f>
        <v>0</v>
      </c>
      <c r="AQ73">
        <v>72</v>
      </c>
      <c r="AR73">
        <f>IF($AU$1='OPSİYON SORGU'!AO73,1,0)</f>
        <v>0</v>
      </c>
      <c r="AS73">
        <f t="shared" si="11"/>
        <v>0</v>
      </c>
    </row>
    <row r="74" spans="1:45">
      <c r="A74" t="s">
        <v>94</v>
      </c>
      <c r="B74" s="320">
        <f>'Quotation Sheet'!G111</f>
        <v>0</v>
      </c>
      <c r="C74">
        <v>73</v>
      </c>
      <c r="D74">
        <f>IF($G$1='OPSİYON SORGU'!A74,1,0)</f>
        <v>0</v>
      </c>
      <c r="E74">
        <f t="shared" si="6"/>
        <v>0</v>
      </c>
      <c r="I74" t="s">
        <v>94</v>
      </c>
      <c r="J74" s="320">
        <f>'Quotation Sheet'!G111</f>
        <v>0</v>
      </c>
      <c r="K74">
        <v>73</v>
      </c>
      <c r="L74">
        <f>IF($O$1='OPSİYON SORGU'!I74,1,0)</f>
        <v>0</v>
      </c>
      <c r="M74">
        <f t="shared" si="7"/>
        <v>0</v>
      </c>
      <c r="Q74" t="s">
        <v>94</v>
      </c>
      <c r="R74" s="320">
        <f>'Quotation Sheet'!G111</f>
        <v>0</v>
      </c>
      <c r="S74">
        <v>73</v>
      </c>
      <c r="T74">
        <f>IF($W$1='OPSİYON SORGU'!Q74,1,0)</f>
        <v>0</v>
      </c>
      <c r="U74">
        <f t="shared" si="8"/>
        <v>0</v>
      </c>
      <c r="Y74" t="s">
        <v>94</v>
      </c>
      <c r="Z74" s="320">
        <f>'Quotation Sheet'!G111</f>
        <v>0</v>
      </c>
      <c r="AA74">
        <v>73</v>
      </c>
      <c r="AB74">
        <f>IF($AE$1='OPSİYON SORGU'!Y74,1,0)</f>
        <v>0</v>
      </c>
      <c r="AC74">
        <f t="shared" si="9"/>
        <v>0</v>
      </c>
      <c r="AG74" t="s">
        <v>94</v>
      </c>
      <c r="AH74" s="320">
        <f>'Quotation Sheet'!G111</f>
        <v>0</v>
      </c>
      <c r="AI74">
        <v>73</v>
      </c>
      <c r="AJ74">
        <f>IF($AM$1='OPSİYON SORGU'!AG74,1,0)</f>
        <v>0</v>
      </c>
      <c r="AK74">
        <f t="shared" si="10"/>
        <v>0</v>
      </c>
      <c r="AO74" t="s">
        <v>94</v>
      </c>
      <c r="AP74" s="320">
        <f>'Quotation Sheet'!G111</f>
        <v>0</v>
      </c>
      <c r="AQ74">
        <v>73</v>
      </c>
      <c r="AR74">
        <f>IF($AU$1='OPSİYON SORGU'!AO74,1,0)</f>
        <v>0</v>
      </c>
      <c r="AS74">
        <f t="shared" si="11"/>
        <v>0</v>
      </c>
    </row>
    <row r="75" spans="1:45">
      <c r="A75" t="s">
        <v>94</v>
      </c>
      <c r="B75" s="320">
        <f>'Quotation Sheet'!G112</f>
        <v>0</v>
      </c>
      <c r="C75">
        <v>74</v>
      </c>
      <c r="D75">
        <f>IF($G$1='OPSİYON SORGU'!A75,1,0)</f>
        <v>0</v>
      </c>
      <c r="E75">
        <f t="shared" si="6"/>
        <v>0</v>
      </c>
      <c r="I75" t="s">
        <v>94</v>
      </c>
      <c r="J75" s="320">
        <f>'Quotation Sheet'!G112</f>
        <v>0</v>
      </c>
      <c r="K75">
        <v>74</v>
      </c>
      <c r="L75">
        <f>IF($O$1='OPSİYON SORGU'!I75,1,0)</f>
        <v>0</v>
      </c>
      <c r="M75">
        <f t="shared" si="7"/>
        <v>0</v>
      </c>
      <c r="Q75" t="s">
        <v>94</v>
      </c>
      <c r="R75" s="320">
        <f>'Quotation Sheet'!G112</f>
        <v>0</v>
      </c>
      <c r="S75">
        <v>74</v>
      </c>
      <c r="T75">
        <f>IF($W$1='OPSİYON SORGU'!Q75,1,0)</f>
        <v>0</v>
      </c>
      <c r="U75">
        <f t="shared" si="8"/>
        <v>0</v>
      </c>
      <c r="Y75" t="s">
        <v>94</v>
      </c>
      <c r="Z75" s="320">
        <f>'Quotation Sheet'!G112</f>
        <v>0</v>
      </c>
      <c r="AA75">
        <v>74</v>
      </c>
      <c r="AB75">
        <f>IF($AE$1='OPSİYON SORGU'!Y75,1,0)</f>
        <v>0</v>
      </c>
      <c r="AC75">
        <f t="shared" si="9"/>
        <v>0</v>
      </c>
      <c r="AG75" t="s">
        <v>94</v>
      </c>
      <c r="AH75" s="320">
        <f>'Quotation Sheet'!G112</f>
        <v>0</v>
      </c>
      <c r="AI75">
        <v>74</v>
      </c>
      <c r="AJ75">
        <f>IF($AM$1='OPSİYON SORGU'!AG75,1,0)</f>
        <v>0</v>
      </c>
      <c r="AK75">
        <f t="shared" si="10"/>
        <v>0</v>
      </c>
      <c r="AO75" t="s">
        <v>94</v>
      </c>
      <c r="AP75" s="320">
        <f>'Quotation Sheet'!G112</f>
        <v>0</v>
      </c>
      <c r="AQ75">
        <v>74</v>
      </c>
      <c r="AR75">
        <f>IF($AU$1='OPSİYON SORGU'!AO75,1,0)</f>
        <v>0</v>
      </c>
      <c r="AS75">
        <f t="shared" si="11"/>
        <v>0</v>
      </c>
    </row>
    <row r="76" spans="1:45">
      <c r="A76" t="s">
        <v>94</v>
      </c>
      <c r="B76" s="320">
        <f>'Quotation Sheet'!G113</f>
        <v>0</v>
      </c>
      <c r="C76">
        <v>75</v>
      </c>
      <c r="D76">
        <f>IF($G$1='OPSİYON SORGU'!A76,1,0)</f>
        <v>0</v>
      </c>
      <c r="E76">
        <f t="shared" si="6"/>
        <v>0</v>
      </c>
      <c r="I76" t="s">
        <v>94</v>
      </c>
      <c r="J76" s="320">
        <f>'Quotation Sheet'!G113</f>
        <v>0</v>
      </c>
      <c r="K76">
        <v>75</v>
      </c>
      <c r="L76">
        <f>IF($O$1='OPSİYON SORGU'!I76,1,0)</f>
        <v>0</v>
      </c>
      <c r="M76">
        <f t="shared" si="7"/>
        <v>0</v>
      </c>
      <c r="Q76" t="s">
        <v>94</v>
      </c>
      <c r="R76" s="320">
        <f>'Quotation Sheet'!G113</f>
        <v>0</v>
      </c>
      <c r="S76">
        <v>75</v>
      </c>
      <c r="T76">
        <f>IF($W$1='OPSİYON SORGU'!Q76,1,0)</f>
        <v>0</v>
      </c>
      <c r="U76">
        <f t="shared" si="8"/>
        <v>0</v>
      </c>
      <c r="Y76" t="s">
        <v>94</v>
      </c>
      <c r="Z76" s="320">
        <f>'Quotation Sheet'!G113</f>
        <v>0</v>
      </c>
      <c r="AA76">
        <v>75</v>
      </c>
      <c r="AB76">
        <f>IF($AE$1='OPSİYON SORGU'!Y76,1,0)</f>
        <v>0</v>
      </c>
      <c r="AC76">
        <f t="shared" si="9"/>
        <v>0</v>
      </c>
      <c r="AG76" t="s">
        <v>94</v>
      </c>
      <c r="AH76" s="320">
        <f>'Quotation Sheet'!G113</f>
        <v>0</v>
      </c>
      <c r="AI76">
        <v>75</v>
      </c>
      <c r="AJ76">
        <f>IF($AM$1='OPSİYON SORGU'!AG76,1,0)</f>
        <v>0</v>
      </c>
      <c r="AK76">
        <f t="shared" si="10"/>
        <v>0</v>
      </c>
      <c r="AO76" t="s">
        <v>94</v>
      </c>
      <c r="AP76" s="320">
        <f>'Quotation Sheet'!G113</f>
        <v>0</v>
      </c>
      <c r="AQ76">
        <v>75</v>
      </c>
      <c r="AR76">
        <f>IF($AU$1='OPSİYON SORGU'!AO76,1,0)</f>
        <v>0</v>
      </c>
      <c r="AS76">
        <f t="shared" si="11"/>
        <v>0</v>
      </c>
    </row>
    <row r="77" spans="1:45">
      <c r="A77" t="s">
        <v>95</v>
      </c>
      <c r="B77" s="320">
        <f>'Quotation Sheet'!H85</f>
        <v>0</v>
      </c>
      <c r="C77">
        <v>76</v>
      </c>
      <c r="D77">
        <f>IF($G$1='OPSİYON SORGU'!A77,1,0)</f>
        <v>0</v>
      </c>
      <c r="E77">
        <f t="shared" si="6"/>
        <v>0</v>
      </c>
      <c r="I77" t="s">
        <v>95</v>
      </c>
      <c r="J77" s="320">
        <f>'Quotation Sheet'!H85</f>
        <v>0</v>
      </c>
      <c r="K77">
        <v>76</v>
      </c>
      <c r="L77">
        <f>IF($O$1='OPSİYON SORGU'!I77,1,0)</f>
        <v>0</v>
      </c>
      <c r="M77">
        <f t="shared" si="7"/>
        <v>0</v>
      </c>
      <c r="Q77" t="s">
        <v>95</v>
      </c>
      <c r="R77" s="320">
        <f>'Quotation Sheet'!H85</f>
        <v>0</v>
      </c>
      <c r="S77">
        <v>76</v>
      </c>
      <c r="T77">
        <f>IF($W$1='OPSİYON SORGU'!Q77,1,0)</f>
        <v>0</v>
      </c>
      <c r="U77">
        <f t="shared" si="8"/>
        <v>0</v>
      </c>
      <c r="Y77" t="s">
        <v>95</v>
      </c>
      <c r="Z77" s="320">
        <f>'Quotation Sheet'!H85</f>
        <v>0</v>
      </c>
      <c r="AA77">
        <v>76</v>
      </c>
      <c r="AB77">
        <f>IF($AE$1='OPSİYON SORGU'!Y77,1,0)</f>
        <v>0</v>
      </c>
      <c r="AC77">
        <f t="shared" si="9"/>
        <v>0</v>
      </c>
      <c r="AG77" t="s">
        <v>95</v>
      </c>
      <c r="AH77" s="320">
        <f>'Quotation Sheet'!H85</f>
        <v>0</v>
      </c>
      <c r="AI77">
        <v>76</v>
      </c>
      <c r="AJ77">
        <f>IF($AM$1='OPSİYON SORGU'!AG77,1,0)</f>
        <v>0</v>
      </c>
      <c r="AK77">
        <f t="shared" si="10"/>
        <v>0</v>
      </c>
      <c r="AO77" t="s">
        <v>95</v>
      </c>
      <c r="AP77" s="320">
        <f>'Quotation Sheet'!H85</f>
        <v>0</v>
      </c>
      <c r="AQ77">
        <v>76</v>
      </c>
      <c r="AR77">
        <f>IF($AU$1='OPSİYON SORGU'!AO77,1,0)</f>
        <v>0</v>
      </c>
      <c r="AS77">
        <f t="shared" si="11"/>
        <v>0</v>
      </c>
    </row>
    <row r="78" spans="1:45">
      <c r="A78" t="s">
        <v>95</v>
      </c>
      <c r="B78" s="320">
        <f>'Quotation Sheet'!H86</f>
        <v>0</v>
      </c>
      <c r="C78">
        <v>77</v>
      </c>
      <c r="D78">
        <f>IF($G$1='OPSİYON SORGU'!A78,1,0)</f>
        <v>0</v>
      </c>
      <c r="E78">
        <f t="shared" si="6"/>
        <v>0</v>
      </c>
      <c r="I78" t="s">
        <v>95</v>
      </c>
      <c r="J78" s="320">
        <f>'Quotation Sheet'!H86</f>
        <v>0</v>
      </c>
      <c r="K78">
        <v>77</v>
      </c>
      <c r="L78">
        <f>IF($O$1='OPSİYON SORGU'!I78,1,0)</f>
        <v>0</v>
      </c>
      <c r="M78">
        <f t="shared" si="7"/>
        <v>0</v>
      </c>
      <c r="Q78" t="s">
        <v>95</v>
      </c>
      <c r="R78" s="320">
        <f>'Quotation Sheet'!H86</f>
        <v>0</v>
      </c>
      <c r="S78">
        <v>77</v>
      </c>
      <c r="T78">
        <f>IF($W$1='OPSİYON SORGU'!Q78,1,0)</f>
        <v>0</v>
      </c>
      <c r="U78">
        <f t="shared" si="8"/>
        <v>0</v>
      </c>
      <c r="Y78" t="s">
        <v>95</v>
      </c>
      <c r="Z78" s="320">
        <f>'Quotation Sheet'!H86</f>
        <v>0</v>
      </c>
      <c r="AA78">
        <v>77</v>
      </c>
      <c r="AB78">
        <f>IF($AE$1='OPSİYON SORGU'!Y78,1,0)</f>
        <v>0</v>
      </c>
      <c r="AC78">
        <f t="shared" si="9"/>
        <v>0</v>
      </c>
      <c r="AG78" t="s">
        <v>95</v>
      </c>
      <c r="AH78" s="320">
        <f>'Quotation Sheet'!H86</f>
        <v>0</v>
      </c>
      <c r="AI78">
        <v>77</v>
      </c>
      <c r="AJ78">
        <f>IF($AM$1='OPSİYON SORGU'!AG78,1,0)</f>
        <v>0</v>
      </c>
      <c r="AK78">
        <f t="shared" si="10"/>
        <v>0</v>
      </c>
      <c r="AO78" t="s">
        <v>95</v>
      </c>
      <c r="AP78" s="320">
        <f>'Quotation Sheet'!H86</f>
        <v>0</v>
      </c>
      <c r="AQ78">
        <v>77</v>
      </c>
      <c r="AR78">
        <f>IF($AU$1='OPSİYON SORGU'!AO78,1,0)</f>
        <v>0</v>
      </c>
      <c r="AS78">
        <f t="shared" si="11"/>
        <v>0</v>
      </c>
    </row>
    <row r="79" spans="1:45">
      <c r="A79" t="s">
        <v>95</v>
      </c>
      <c r="B79" s="320">
        <f>'Quotation Sheet'!H87</f>
        <v>0</v>
      </c>
      <c r="C79">
        <v>78</v>
      </c>
      <c r="D79">
        <f>IF($G$1='OPSİYON SORGU'!A79,1,0)</f>
        <v>0</v>
      </c>
      <c r="E79">
        <f t="shared" si="6"/>
        <v>0</v>
      </c>
      <c r="I79" t="s">
        <v>95</v>
      </c>
      <c r="J79" s="320">
        <f>'Quotation Sheet'!H87</f>
        <v>0</v>
      </c>
      <c r="K79">
        <v>78</v>
      </c>
      <c r="L79">
        <f>IF($O$1='OPSİYON SORGU'!I79,1,0)</f>
        <v>0</v>
      </c>
      <c r="M79">
        <f t="shared" si="7"/>
        <v>0</v>
      </c>
      <c r="Q79" t="s">
        <v>95</v>
      </c>
      <c r="R79" s="320">
        <f>'Quotation Sheet'!H87</f>
        <v>0</v>
      </c>
      <c r="S79">
        <v>78</v>
      </c>
      <c r="T79">
        <f>IF($W$1='OPSİYON SORGU'!Q79,1,0)</f>
        <v>0</v>
      </c>
      <c r="U79">
        <f t="shared" si="8"/>
        <v>0</v>
      </c>
      <c r="Y79" t="s">
        <v>95</v>
      </c>
      <c r="Z79" s="320">
        <f>'Quotation Sheet'!H87</f>
        <v>0</v>
      </c>
      <c r="AA79">
        <v>78</v>
      </c>
      <c r="AB79">
        <f>IF($AE$1='OPSİYON SORGU'!Y79,1,0)</f>
        <v>0</v>
      </c>
      <c r="AC79">
        <f t="shared" si="9"/>
        <v>0</v>
      </c>
      <c r="AG79" t="s">
        <v>95</v>
      </c>
      <c r="AH79" s="320">
        <f>'Quotation Sheet'!H87</f>
        <v>0</v>
      </c>
      <c r="AI79">
        <v>78</v>
      </c>
      <c r="AJ79">
        <f>IF($AM$1='OPSİYON SORGU'!AG79,1,0)</f>
        <v>0</v>
      </c>
      <c r="AK79">
        <f t="shared" si="10"/>
        <v>0</v>
      </c>
      <c r="AO79" t="s">
        <v>95</v>
      </c>
      <c r="AP79" s="320">
        <f>'Quotation Sheet'!H87</f>
        <v>0</v>
      </c>
      <c r="AQ79">
        <v>78</v>
      </c>
      <c r="AR79">
        <f>IF($AU$1='OPSİYON SORGU'!AO79,1,0)</f>
        <v>0</v>
      </c>
      <c r="AS79">
        <f t="shared" si="11"/>
        <v>0</v>
      </c>
    </row>
    <row r="80" spans="1:45">
      <c r="A80" t="s">
        <v>95</v>
      </c>
      <c r="B80" s="320">
        <f>'Quotation Sheet'!H88</f>
        <v>0</v>
      </c>
      <c r="C80">
        <v>79</v>
      </c>
      <c r="D80">
        <f>IF($G$1='OPSİYON SORGU'!A80,1,0)</f>
        <v>0</v>
      </c>
      <c r="E80">
        <f t="shared" si="6"/>
        <v>0</v>
      </c>
      <c r="I80" t="s">
        <v>95</v>
      </c>
      <c r="J80" s="320">
        <f>'Quotation Sheet'!H88</f>
        <v>0</v>
      </c>
      <c r="K80">
        <v>79</v>
      </c>
      <c r="L80">
        <f>IF($O$1='OPSİYON SORGU'!I80,1,0)</f>
        <v>0</v>
      </c>
      <c r="M80">
        <f t="shared" si="7"/>
        <v>0</v>
      </c>
      <c r="Q80" t="s">
        <v>95</v>
      </c>
      <c r="R80" s="320">
        <f>'Quotation Sheet'!H88</f>
        <v>0</v>
      </c>
      <c r="S80">
        <v>79</v>
      </c>
      <c r="T80">
        <f>IF($W$1='OPSİYON SORGU'!Q80,1,0)</f>
        <v>0</v>
      </c>
      <c r="U80">
        <f t="shared" si="8"/>
        <v>0</v>
      </c>
      <c r="Y80" t="s">
        <v>95</v>
      </c>
      <c r="Z80" s="320">
        <f>'Quotation Sheet'!H88</f>
        <v>0</v>
      </c>
      <c r="AA80">
        <v>79</v>
      </c>
      <c r="AB80">
        <f>IF($AE$1='OPSİYON SORGU'!Y80,1,0)</f>
        <v>0</v>
      </c>
      <c r="AC80">
        <f t="shared" si="9"/>
        <v>0</v>
      </c>
      <c r="AG80" t="s">
        <v>95</v>
      </c>
      <c r="AH80" s="320">
        <f>'Quotation Sheet'!H88</f>
        <v>0</v>
      </c>
      <c r="AI80">
        <v>79</v>
      </c>
      <c r="AJ80">
        <f>IF($AM$1='OPSİYON SORGU'!AG80,1,0)</f>
        <v>0</v>
      </c>
      <c r="AK80">
        <f t="shared" si="10"/>
        <v>0</v>
      </c>
      <c r="AO80" t="s">
        <v>95</v>
      </c>
      <c r="AP80" s="320">
        <f>'Quotation Sheet'!H88</f>
        <v>0</v>
      </c>
      <c r="AQ80">
        <v>79</v>
      </c>
      <c r="AR80">
        <f>IF($AU$1='OPSİYON SORGU'!AO80,1,0)</f>
        <v>0</v>
      </c>
      <c r="AS80">
        <f t="shared" si="11"/>
        <v>0</v>
      </c>
    </row>
    <row r="81" spans="1:45">
      <c r="A81" t="s">
        <v>95</v>
      </c>
      <c r="B81" s="320">
        <f>'Quotation Sheet'!H89</f>
        <v>0</v>
      </c>
      <c r="C81">
        <v>80</v>
      </c>
      <c r="D81">
        <f>IF($G$1='OPSİYON SORGU'!A81,1,0)</f>
        <v>0</v>
      </c>
      <c r="E81">
        <f t="shared" si="6"/>
        <v>0</v>
      </c>
      <c r="I81" t="s">
        <v>95</v>
      </c>
      <c r="J81" s="320">
        <f>'Quotation Sheet'!H89</f>
        <v>0</v>
      </c>
      <c r="K81">
        <v>80</v>
      </c>
      <c r="L81">
        <f>IF($O$1='OPSİYON SORGU'!I81,1,0)</f>
        <v>0</v>
      </c>
      <c r="M81">
        <f t="shared" si="7"/>
        <v>0</v>
      </c>
      <c r="Q81" t="s">
        <v>95</v>
      </c>
      <c r="R81" s="320">
        <f>'Quotation Sheet'!H89</f>
        <v>0</v>
      </c>
      <c r="S81">
        <v>80</v>
      </c>
      <c r="T81">
        <f>IF($W$1='OPSİYON SORGU'!Q81,1,0)</f>
        <v>0</v>
      </c>
      <c r="U81">
        <f t="shared" si="8"/>
        <v>0</v>
      </c>
      <c r="Y81" t="s">
        <v>95</v>
      </c>
      <c r="Z81" s="320">
        <f>'Quotation Sheet'!H89</f>
        <v>0</v>
      </c>
      <c r="AA81">
        <v>80</v>
      </c>
      <c r="AB81">
        <f>IF($AE$1='OPSİYON SORGU'!Y81,1,0)</f>
        <v>0</v>
      </c>
      <c r="AC81">
        <f t="shared" si="9"/>
        <v>0</v>
      </c>
      <c r="AG81" t="s">
        <v>95</v>
      </c>
      <c r="AH81" s="320">
        <f>'Quotation Sheet'!H89</f>
        <v>0</v>
      </c>
      <c r="AI81">
        <v>80</v>
      </c>
      <c r="AJ81">
        <f>IF($AM$1='OPSİYON SORGU'!AG81,1,0)</f>
        <v>0</v>
      </c>
      <c r="AK81">
        <f t="shared" si="10"/>
        <v>0</v>
      </c>
      <c r="AO81" t="s">
        <v>95</v>
      </c>
      <c r="AP81" s="320">
        <f>'Quotation Sheet'!H89</f>
        <v>0</v>
      </c>
      <c r="AQ81">
        <v>80</v>
      </c>
      <c r="AR81">
        <f>IF($AU$1='OPSİYON SORGU'!AO81,1,0)</f>
        <v>0</v>
      </c>
      <c r="AS81">
        <f t="shared" si="11"/>
        <v>0</v>
      </c>
    </row>
    <row r="82" spans="1:45">
      <c r="A82" t="s">
        <v>95</v>
      </c>
      <c r="B82" s="320">
        <f>'Quotation Sheet'!H91</f>
        <v>0</v>
      </c>
      <c r="C82">
        <v>81</v>
      </c>
      <c r="D82">
        <f>IF($G$1='OPSİYON SORGU'!A82,1,0)</f>
        <v>0</v>
      </c>
      <c r="E82">
        <f t="shared" si="6"/>
        <v>0</v>
      </c>
      <c r="I82" t="s">
        <v>95</v>
      </c>
      <c r="J82" s="320">
        <f>'Quotation Sheet'!H91</f>
        <v>0</v>
      </c>
      <c r="K82">
        <v>81</v>
      </c>
      <c r="L82">
        <f>IF($O$1='OPSİYON SORGU'!I82,1,0)</f>
        <v>0</v>
      </c>
      <c r="M82">
        <f t="shared" si="7"/>
        <v>0</v>
      </c>
      <c r="Q82" t="s">
        <v>95</v>
      </c>
      <c r="R82" s="320">
        <f>'Quotation Sheet'!H91</f>
        <v>0</v>
      </c>
      <c r="S82">
        <v>81</v>
      </c>
      <c r="T82">
        <f>IF($W$1='OPSİYON SORGU'!Q82,1,0)</f>
        <v>0</v>
      </c>
      <c r="U82">
        <f t="shared" si="8"/>
        <v>0</v>
      </c>
      <c r="Y82" t="s">
        <v>95</v>
      </c>
      <c r="Z82" s="320">
        <f>'Quotation Sheet'!H91</f>
        <v>0</v>
      </c>
      <c r="AA82">
        <v>81</v>
      </c>
      <c r="AB82">
        <f>IF($AE$1='OPSİYON SORGU'!Y82,1,0)</f>
        <v>0</v>
      </c>
      <c r="AC82">
        <f t="shared" si="9"/>
        <v>0</v>
      </c>
      <c r="AG82" t="s">
        <v>95</v>
      </c>
      <c r="AH82" s="320">
        <f>'Quotation Sheet'!H91</f>
        <v>0</v>
      </c>
      <c r="AI82">
        <v>81</v>
      </c>
      <c r="AJ82">
        <f>IF($AM$1='OPSİYON SORGU'!AG82,1,0)</f>
        <v>0</v>
      </c>
      <c r="AK82">
        <f t="shared" si="10"/>
        <v>0</v>
      </c>
      <c r="AO82" t="s">
        <v>95</v>
      </c>
      <c r="AP82" s="320">
        <f>'Quotation Sheet'!H91</f>
        <v>0</v>
      </c>
      <c r="AQ82">
        <v>81</v>
      </c>
      <c r="AR82">
        <f>IF($AU$1='OPSİYON SORGU'!AO82,1,0)</f>
        <v>0</v>
      </c>
      <c r="AS82">
        <f t="shared" si="11"/>
        <v>0</v>
      </c>
    </row>
    <row r="83" spans="1:45">
      <c r="A83" t="s">
        <v>95</v>
      </c>
      <c r="B83" s="320">
        <f>'Quotation Sheet'!H92</f>
        <v>0</v>
      </c>
      <c r="C83">
        <v>82</v>
      </c>
      <c r="D83">
        <f>IF($G$1='OPSİYON SORGU'!A83,1,0)</f>
        <v>0</v>
      </c>
      <c r="E83">
        <f t="shared" si="6"/>
        <v>0</v>
      </c>
      <c r="I83" t="s">
        <v>95</v>
      </c>
      <c r="J83" s="320">
        <f>'Quotation Sheet'!H92</f>
        <v>0</v>
      </c>
      <c r="K83">
        <v>82</v>
      </c>
      <c r="L83">
        <f>IF($O$1='OPSİYON SORGU'!I83,1,0)</f>
        <v>0</v>
      </c>
      <c r="M83">
        <f t="shared" si="7"/>
        <v>0</v>
      </c>
      <c r="Q83" t="s">
        <v>95</v>
      </c>
      <c r="R83" s="320">
        <f>'Quotation Sheet'!H92</f>
        <v>0</v>
      </c>
      <c r="S83">
        <v>82</v>
      </c>
      <c r="T83">
        <f>IF($W$1='OPSİYON SORGU'!Q83,1,0)</f>
        <v>0</v>
      </c>
      <c r="U83">
        <f t="shared" si="8"/>
        <v>0</v>
      </c>
      <c r="Y83" t="s">
        <v>95</v>
      </c>
      <c r="Z83" s="320">
        <f>'Quotation Sheet'!H92</f>
        <v>0</v>
      </c>
      <c r="AA83">
        <v>82</v>
      </c>
      <c r="AB83">
        <f>IF($AE$1='OPSİYON SORGU'!Y83,1,0)</f>
        <v>0</v>
      </c>
      <c r="AC83">
        <f t="shared" si="9"/>
        <v>0</v>
      </c>
      <c r="AG83" t="s">
        <v>95</v>
      </c>
      <c r="AH83" s="320">
        <f>'Quotation Sheet'!H92</f>
        <v>0</v>
      </c>
      <c r="AI83">
        <v>82</v>
      </c>
      <c r="AJ83">
        <f>IF($AM$1='OPSİYON SORGU'!AG83,1,0)</f>
        <v>0</v>
      </c>
      <c r="AK83">
        <f t="shared" si="10"/>
        <v>0</v>
      </c>
      <c r="AO83" t="s">
        <v>95</v>
      </c>
      <c r="AP83" s="320">
        <f>'Quotation Sheet'!H92</f>
        <v>0</v>
      </c>
      <c r="AQ83">
        <v>82</v>
      </c>
      <c r="AR83">
        <f>IF($AU$1='OPSİYON SORGU'!AO83,1,0)</f>
        <v>0</v>
      </c>
      <c r="AS83">
        <f t="shared" si="11"/>
        <v>0</v>
      </c>
    </row>
    <row r="84" spans="1:45">
      <c r="A84" t="s">
        <v>95</v>
      </c>
      <c r="B84" s="320">
        <f>'Quotation Sheet'!H93</f>
        <v>0</v>
      </c>
      <c r="C84">
        <v>83</v>
      </c>
      <c r="D84">
        <f>IF($G$1='OPSİYON SORGU'!A84,1,0)</f>
        <v>0</v>
      </c>
      <c r="E84">
        <f t="shared" si="6"/>
        <v>0</v>
      </c>
      <c r="I84" t="s">
        <v>95</v>
      </c>
      <c r="J84" s="320">
        <f>'Quotation Sheet'!H93</f>
        <v>0</v>
      </c>
      <c r="K84">
        <v>83</v>
      </c>
      <c r="L84">
        <f>IF($O$1='OPSİYON SORGU'!I84,1,0)</f>
        <v>0</v>
      </c>
      <c r="M84">
        <f t="shared" si="7"/>
        <v>0</v>
      </c>
      <c r="Q84" t="s">
        <v>95</v>
      </c>
      <c r="R84" s="320">
        <f>'Quotation Sheet'!H93</f>
        <v>0</v>
      </c>
      <c r="S84">
        <v>83</v>
      </c>
      <c r="T84">
        <f>IF($W$1='OPSİYON SORGU'!Q84,1,0)</f>
        <v>0</v>
      </c>
      <c r="U84">
        <f t="shared" si="8"/>
        <v>0</v>
      </c>
      <c r="Y84" t="s">
        <v>95</v>
      </c>
      <c r="Z84" s="320">
        <f>'Quotation Sheet'!H93</f>
        <v>0</v>
      </c>
      <c r="AA84">
        <v>83</v>
      </c>
      <c r="AB84">
        <f>IF($AE$1='OPSİYON SORGU'!Y84,1,0)</f>
        <v>0</v>
      </c>
      <c r="AC84">
        <f t="shared" si="9"/>
        <v>0</v>
      </c>
      <c r="AG84" t="s">
        <v>95</v>
      </c>
      <c r="AH84" s="320">
        <f>'Quotation Sheet'!H93</f>
        <v>0</v>
      </c>
      <c r="AI84">
        <v>83</v>
      </c>
      <c r="AJ84">
        <f>IF($AM$1='OPSİYON SORGU'!AG84,1,0)</f>
        <v>0</v>
      </c>
      <c r="AK84">
        <f t="shared" si="10"/>
        <v>0</v>
      </c>
      <c r="AO84" t="s">
        <v>95</v>
      </c>
      <c r="AP84" s="320">
        <f>'Quotation Sheet'!H93</f>
        <v>0</v>
      </c>
      <c r="AQ84">
        <v>83</v>
      </c>
      <c r="AR84">
        <f>IF($AU$1='OPSİYON SORGU'!AO84,1,0)</f>
        <v>0</v>
      </c>
      <c r="AS84">
        <f t="shared" si="11"/>
        <v>0</v>
      </c>
    </row>
    <row r="85" spans="1:45">
      <c r="A85" t="s">
        <v>95</v>
      </c>
      <c r="B85" s="320">
        <f>'Quotation Sheet'!H94</f>
        <v>0</v>
      </c>
      <c r="C85">
        <v>84</v>
      </c>
      <c r="D85">
        <f>IF($G$1='OPSİYON SORGU'!A85,1,0)</f>
        <v>0</v>
      </c>
      <c r="E85">
        <f t="shared" si="6"/>
        <v>0</v>
      </c>
      <c r="I85" t="s">
        <v>95</v>
      </c>
      <c r="J85" s="320">
        <f>'Quotation Sheet'!H94</f>
        <v>0</v>
      </c>
      <c r="K85">
        <v>84</v>
      </c>
      <c r="L85">
        <f>IF($O$1='OPSİYON SORGU'!I85,1,0)</f>
        <v>0</v>
      </c>
      <c r="M85">
        <f t="shared" si="7"/>
        <v>0</v>
      </c>
      <c r="Q85" t="s">
        <v>95</v>
      </c>
      <c r="R85" s="320">
        <f>'Quotation Sheet'!H94</f>
        <v>0</v>
      </c>
      <c r="S85">
        <v>84</v>
      </c>
      <c r="T85">
        <f>IF($W$1='OPSİYON SORGU'!Q85,1,0)</f>
        <v>0</v>
      </c>
      <c r="U85">
        <f t="shared" si="8"/>
        <v>0</v>
      </c>
      <c r="Y85" t="s">
        <v>95</v>
      </c>
      <c r="Z85" s="320">
        <f>'Quotation Sheet'!H94</f>
        <v>0</v>
      </c>
      <c r="AA85">
        <v>84</v>
      </c>
      <c r="AB85">
        <f>IF($AE$1='OPSİYON SORGU'!Y85,1,0)</f>
        <v>0</v>
      </c>
      <c r="AC85">
        <f t="shared" si="9"/>
        <v>0</v>
      </c>
      <c r="AG85" t="s">
        <v>95</v>
      </c>
      <c r="AH85" s="320">
        <f>'Quotation Sheet'!H94</f>
        <v>0</v>
      </c>
      <c r="AI85">
        <v>84</v>
      </c>
      <c r="AJ85">
        <f>IF($AM$1='OPSİYON SORGU'!AG85,1,0)</f>
        <v>0</v>
      </c>
      <c r="AK85">
        <f t="shared" si="10"/>
        <v>0</v>
      </c>
      <c r="AO85" t="s">
        <v>95</v>
      </c>
      <c r="AP85" s="320">
        <f>'Quotation Sheet'!H94</f>
        <v>0</v>
      </c>
      <c r="AQ85">
        <v>84</v>
      </c>
      <c r="AR85">
        <f>IF($AU$1='OPSİYON SORGU'!AO85,1,0)</f>
        <v>0</v>
      </c>
      <c r="AS85">
        <f t="shared" si="11"/>
        <v>0</v>
      </c>
    </row>
    <row r="86" spans="1:45">
      <c r="A86" t="s">
        <v>95</v>
      </c>
      <c r="B86" s="320">
        <f>'Quotation Sheet'!H95</f>
        <v>0</v>
      </c>
      <c r="C86">
        <v>85</v>
      </c>
      <c r="D86">
        <f>IF($G$1='OPSİYON SORGU'!A86,1,0)</f>
        <v>0</v>
      </c>
      <c r="E86">
        <f t="shared" si="6"/>
        <v>0</v>
      </c>
      <c r="I86" t="s">
        <v>95</v>
      </c>
      <c r="J86" s="320">
        <f>'Quotation Sheet'!H95</f>
        <v>0</v>
      </c>
      <c r="K86">
        <v>85</v>
      </c>
      <c r="L86">
        <f>IF($O$1='OPSİYON SORGU'!I86,1,0)</f>
        <v>0</v>
      </c>
      <c r="M86">
        <f t="shared" si="7"/>
        <v>0</v>
      </c>
      <c r="Q86" t="s">
        <v>95</v>
      </c>
      <c r="R86" s="320">
        <f>'Quotation Sheet'!H95</f>
        <v>0</v>
      </c>
      <c r="S86">
        <v>85</v>
      </c>
      <c r="T86">
        <f>IF($W$1='OPSİYON SORGU'!Q86,1,0)</f>
        <v>0</v>
      </c>
      <c r="U86">
        <f t="shared" si="8"/>
        <v>0</v>
      </c>
      <c r="Y86" t="s">
        <v>95</v>
      </c>
      <c r="Z86" s="320">
        <f>'Quotation Sheet'!H95</f>
        <v>0</v>
      </c>
      <c r="AA86">
        <v>85</v>
      </c>
      <c r="AB86">
        <f>IF($AE$1='OPSİYON SORGU'!Y86,1,0)</f>
        <v>0</v>
      </c>
      <c r="AC86">
        <f t="shared" si="9"/>
        <v>0</v>
      </c>
      <c r="AG86" t="s">
        <v>95</v>
      </c>
      <c r="AH86" s="320">
        <f>'Quotation Sheet'!H95</f>
        <v>0</v>
      </c>
      <c r="AI86">
        <v>85</v>
      </c>
      <c r="AJ86">
        <f>IF($AM$1='OPSİYON SORGU'!AG86,1,0)</f>
        <v>0</v>
      </c>
      <c r="AK86">
        <f t="shared" si="10"/>
        <v>0</v>
      </c>
      <c r="AO86" t="s">
        <v>95</v>
      </c>
      <c r="AP86" s="320">
        <f>'Quotation Sheet'!H95</f>
        <v>0</v>
      </c>
      <c r="AQ86">
        <v>85</v>
      </c>
      <c r="AR86">
        <f>IF($AU$1='OPSİYON SORGU'!AO86,1,0)</f>
        <v>0</v>
      </c>
      <c r="AS86">
        <f t="shared" si="11"/>
        <v>0</v>
      </c>
    </row>
    <row r="87" spans="1:45">
      <c r="A87" t="s">
        <v>95</v>
      </c>
      <c r="B87" s="320">
        <f>'Quotation Sheet'!H97</f>
        <v>0</v>
      </c>
      <c r="C87">
        <v>86</v>
      </c>
      <c r="D87">
        <f>IF($G$1='OPSİYON SORGU'!A87,1,0)</f>
        <v>0</v>
      </c>
      <c r="E87">
        <f t="shared" si="6"/>
        <v>0</v>
      </c>
      <c r="I87" t="s">
        <v>95</v>
      </c>
      <c r="J87" s="320">
        <f>'Quotation Sheet'!H97</f>
        <v>0</v>
      </c>
      <c r="K87">
        <v>86</v>
      </c>
      <c r="L87">
        <f>IF($O$1='OPSİYON SORGU'!I87,1,0)</f>
        <v>0</v>
      </c>
      <c r="M87">
        <f t="shared" si="7"/>
        <v>0</v>
      </c>
      <c r="Q87" t="s">
        <v>95</v>
      </c>
      <c r="R87" s="320">
        <f>'Quotation Sheet'!H97</f>
        <v>0</v>
      </c>
      <c r="S87">
        <v>86</v>
      </c>
      <c r="T87">
        <f>IF($W$1='OPSİYON SORGU'!Q87,1,0)</f>
        <v>0</v>
      </c>
      <c r="U87">
        <f t="shared" si="8"/>
        <v>0</v>
      </c>
      <c r="Y87" t="s">
        <v>95</v>
      </c>
      <c r="Z87" s="320">
        <f>'Quotation Sheet'!H97</f>
        <v>0</v>
      </c>
      <c r="AA87">
        <v>86</v>
      </c>
      <c r="AB87">
        <f>IF($AE$1='OPSİYON SORGU'!Y87,1,0)</f>
        <v>0</v>
      </c>
      <c r="AC87">
        <f t="shared" si="9"/>
        <v>0</v>
      </c>
      <c r="AG87" t="s">
        <v>95</v>
      </c>
      <c r="AH87" s="320">
        <f>'Quotation Sheet'!H97</f>
        <v>0</v>
      </c>
      <c r="AI87">
        <v>86</v>
      </c>
      <c r="AJ87">
        <f>IF($AM$1='OPSİYON SORGU'!AG87,1,0)</f>
        <v>0</v>
      </c>
      <c r="AK87">
        <f t="shared" si="10"/>
        <v>0</v>
      </c>
      <c r="AO87" t="s">
        <v>95</v>
      </c>
      <c r="AP87" s="320">
        <f>'Quotation Sheet'!H97</f>
        <v>0</v>
      </c>
      <c r="AQ87">
        <v>86</v>
      </c>
      <c r="AR87">
        <f>IF($AU$1='OPSİYON SORGU'!AO87,1,0)</f>
        <v>0</v>
      </c>
      <c r="AS87">
        <f t="shared" si="11"/>
        <v>0</v>
      </c>
    </row>
    <row r="88" spans="1:45">
      <c r="A88" t="s">
        <v>95</v>
      </c>
      <c r="B88" s="320">
        <f>'Quotation Sheet'!H98</f>
        <v>0</v>
      </c>
      <c r="C88">
        <v>87</v>
      </c>
      <c r="D88">
        <f>IF($G$1='OPSİYON SORGU'!A88,1,0)</f>
        <v>0</v>
      </c>
      <c r="E88">
        <f t="shared" si="6"/>
        <v>0</v>
      </c>
      <c r="I88" t="s">
        <v>95</v>
      </c>
      <c r="J88" s="320">
        <f>'Quotation Sheet'!H98</f>
        <v>0</v>
      </c>
      <c r="K88">
        <v>87</v>
      </c>
      <c r="L88">
        <f>IF($O$1='OPSİYON SORGU'!I88,1,0)</f>
        <v>0</v>
      </c>
      <c r="M88">
        <f t="shared" si="7"/>
        <v>0</v>
      </c>
      <c r="Q88" t="s">
        <v>95</v>
      </c>
      <c r="R88" s="320">
        <f>'Quotation Sheet'!H98</f>
        <v>0</v>
      </c>
      <c r="S88">
        <v>87</v>
      </c>
      <c r="T88">
        <f>IF($W$1='OPSİYON SORGU'!Q88,1,0)</f>
        <v>0</v>
      </c>
      <c r="U88">
        <f t="shared" si="8"/>
        <v>0</v>
      </c>
      <c r="Y88" t="s">
        <v>95</v>
      </c>
      <c r="Z88" s="320">
        <f>'Quotation Sheet'!H98</f>
        <v>0</v>
      </c>
      <c r="AA88">
        <v>87</v>
      </c>
      <c r="AB88">
        <f>IF($AE$1='OPSİYON SORGU'!Y88,1,0)</f>
        <v>0</v>
      </c>
      <c r="AC88">
        <f t="shared" si="9"/>
        <v>0</v>
      </c>
      <c r="AG88" t="s">
        <v>95</v>
      </c>
      <c r="AH88" s="320">
        <f>'Quotation Sheet'!H98</f>
        <v>0</v>
      </c>
      <c r="AI88">
        <v>87</v>
      </c>
      <c r="AJ88">
        <f>IF($AM$1='OPSİYON SORGU'!AG88,1,0)</f>
        <v>0</v>
      </c>
      <c r="AK88">
        <f t="shared" si="10"/>
        <v>0</v>
      </c>
      <c r="AO88" t="s">
        <v>95</v>
      </c>
      <c r="AP88" s="320">
        <f>'Quotation Sheet'!H98</f>
        <v>0</v>
      </c>
      <c r="AQ88">
        <v>87</v>
      </c>
      <c r="AR88">
        <f>IF($AU$1='OPSİYON SORGU'!AO88,1,0)</f>
        <v>0</v>
      </c>
      <c r="AS88">
        <f t="shared" si="11"/>
        <v>0</v>
      </c>
    </row>
    <row r="89" spans="1:45">
      <c r="A89" t="s">
        <v>95</v>
      </c>
      <c r="B89" s="320">
        <f>'Quotation Sheet'!H99</f>
        <v>0</v>
      </c>
      <c r="C89">
        <v>88</v>
      </c>
      <c r="D89">
        <f>IF($G$1='OPSİYON SORGU'!A89,1,0)</f>
        <v>0</v>
      </c>
      <c r="E89">
        <f t="shared" si="6"/>
        <v>0</v>
      </c>
      <c r="I89" t="s">
        <v>95</v>
      </c>
      <c r="J89" s="320">
        <f>'Quotation Sheet'!H99</f>
        <v>0</v>
      </c>
      <c r="K89">
        <v>88</v>
      </c>
      <c r="L89">
        <f>IF($O$1='OPSİYON SORGU'!I89,1,0)</f>
        <v>0</v>
      </c>
      <c r="M89">
        <f t="shared" si="7"/>
        <v>0</v>
      </c>
      <c r="Q89" t="s">
        <v>95</v>
      </c>
      <c r="R89" s="320">
        <f>'Quotation Sheet'!H99</f>
        <v>0</v>
      </c>
      <c r="S89">
        <v>88</v>
      </c>
      <c r="T89">
        <f>IF($W$1='OPSİYON SORGU'!Q89,1,0)</f>
        <v>0</v>
      </c>
      <c r="U89">
        <f t="shared" si="8"/>
        <v>0</v>
      </c>
      <c r="Y89" t="s">
        <v>95</v>
      </c>
      <c r="Z89" s="320">
        <f>'Quotation Sheet'!H99</f>
        <v>0</v>
      </c>
      <c r="AA89">
        <v>88</v>
      </c>
      <c r="AB89">
        <f>IF($AE$1='OPSİYON SORGU'!Y89,1,0)</f>
        <v>0</v>
      </c>
      <c r="AC89">
        <f t="shared" si="9"/>
        <v>0</v>
      </c>
      <c r="AG89" t="s">
        <v>95</v>
      </c>
      <c r="AH89" s="320">
        <f>'Quotation Sheet'!H99</f>
        <v>0</v>
      </c>
      <c r="AI89">
        <v>88</v>
      </c>
      <c r="AJ89">
        <f>IF($AM$1='OPSİYON SORGU'!AG89,1,0)</f>
        <v>0</v>
      </c>
      <c r="AK89">
        <f t="shared" si="10"/>
        <v>0</v>
      </c>
      <c r="AO89" t="s">
        <v>95</v>
      </c>
      <c r="AP89" s="320">
        <f>'Quotation Sheet'!H99</f>
        <v>0</v>
      </c>
      <c r="AQ89">
        <v>88</v>
      </c>
      <c r="AR89">
        <f>IF($AU$1='OPSİYON SORGU'!AO89,1,0)</f>
        <v>0</v>
      </c>
      <c r="AS89">
        <f t="shared" si="11"/>
        <v>0</v>
      </c>
    </row>
    <row r="90" spans="1:45">
      <c r="A90" t="s">
        <v>95</v>
      </c>
      <c r="B90" s="320">
        <f>'Quotation Sheet'!H100</f>
        <v>0</v>
      </c>
      <c r="C90">
        <v>89</v>
      </c>
      <c r="D90">
        <f>IF($G$1='OPSİYON SORGU'!A90,1,0)</f>
        <v>0</v>
      </c>
      <c r="E90">
        <f t="shared" si="6"/>
        <v>0</v>
      </c>
      <c r="I90" t="s">
        <v>95</v>
      </c>
      <c r="J90" s="320">
        <f>'Quotation Sheet'!H100</f>
        <v>0</v>
      </c>
      <c r="K90">
        <v>89</v>
      </c>
      <c r="L90">
        <f>IF($O$1='OPSİYON SORGU'!I90,1,0)</f>
        <v>0</v>
      </c>
      <c r="M90">
        <f t="shared" si="7"/>
        <v>0</v>
      </c>
      <c r="Q90" t="s">
        <v>95</v>
      </c>
      <c r="R90" s="320">
        <f>'Quotation Sheet'!H100</f>
        <v>0</v>
      </c>
      <c r="S90">
        <v>89</v>
      </c>
      <c r="T90">
        <f>IF($W$1='OPSİYON SORGU'!Q90,1,0)</f>
        <v>0</v>
      </c>
      <c r="U90">
        <f t="shared" si="8"/>
        <v>0</v>
      </c>
      <c r="Y90" t="s">
        <v>95</v>
      </c>
      <c r="Z90" s="320">
        <f>'Quotation Sheet'!H100</f>
        <v>0</v>
      </c>
      <c r="AA90">
        <v>89</v>
      </c>
      <c r="AB90">
        <f>IF($AE$1='OPSİYON SORGU'!Y90,1,0)</f>
        <v>0</v>
      </c>
      <c r="AC90">
        <f t="shared" si="9"/>
        <v>0</v>
      </c>
      <c r="AG90" t="s">
        <v>95</v>
      </c>
      <c r="AH90" s="320">
        <f>'Quotation Sheet'!H100</f>
        <v>0</v>
      </c>
      <c r="AI90">
        <v>89</v>
      </c>
      <c r="AJ90">
        <f>IF($AM$1='OPSİYON SORGU'!AG90,1,0)</f>
        <v>0</v>
      </c>
      <c r="AK90">
        <f t="shared" si="10"/>
        <v>0</v>
      </c>
      <c r="AO90" t="s">
        <v>95</v>
      </c>
      <c r="AP90" s="320">
        <f>'Quotation Sheet'!H100</f>
        <v>0</v>
      </c>
      <c r="AQ90">
        <v>89</v>
      </c>
      <c r="AR90">
        <f>IF($AU$1='OPSİYON SORGU'!AO90,1,0)</f>
        <v>0</v>
      </c>
      <c r="AS90">
        <f t="shared" si="11"/>
        <v>0</v>
      </c>
    </row>
    <row r="91" spans="1:45">
      <c r="A91" t="s">
        <v>95</v>
      </c>
      <c r="B91" s="320">
        <f>'Quotation Sheet'!H101</f>
        <v>0</v>
      </c>
      <c r="C91">
        <v>90</v>
      </c>
      <c r="D91">
        <f>IF($G$1='OPSİYON SORGU'!A91,1,0)</f>
        <v>0</v>
      </c>
      <c r="E91">
        <f t="shared" si="6"/>
        <v>0</v>
      </c>
      <c r="I91" t="s">
        <v>95</v>
      </c>
      <c r="J91" s="320">
        <f>'Quotation Sheet'!H101</f>
        <v>0</v>
      </c>
      <c r="K91">
        <v>90</v>
      </c>
      <c r="L91">
        <f>IF($O$1='OPSİYON SORGU'!I91,1,0)</f>
        <v>0</v>
      </c>
      <c r="M91">
        <f t="shared" si="7"/>
        <v>0</v>
      </c>
      <c r="Q91" t="s">
        <v>95</v>
      </c>
      <c r="R91" s="320">
        <f>'Quotation Sheet'!H101</f>
        <v>0</v>
      </c>
      <c r="S91">
        <v>90</v>
      </c>
      <c r="T91">
        <f>IF($W$1='OPSİYON SORGU'!Q91,1,0)</f>
        <v>0</v>
      </c>
      <c r="U91">
        <f t="shared" si="8"/>
        <v>0</v>
      </c>
      <c r="Y91" t="s">
        <v>95</v>
      </c>
      <c r="Z91" s="320">
        <f>'Quotation Sheet'!H101</f>
        <v>0</v>
      </c>
      <c r="AA91">
        <v>90</v>
      </c>
      <c r="AB91">
        <f>IF($AE$1='OPSİYON SORGU'!Y91,1,0)</f>
        <v>0</v>
      </c>
      <c r="AC91">
        <f t="shared" si="9"/>
        <v>0</v>
      </c>
      <c r="AG91" t="s">
        <v>95</v>
      </c>
      <c r="AH91" s="320">
        <f>'Quotation Sheet'!H101</f>
        <v>0</v>
      </c>
      <c r="AI91">
        <v>90</v>
      </c>
      <c r="AJ91">
        <f>IF($AM$1='OPSİYON SORGU'!AG91,1,0)</f>
        <v>0</v>
      </c>
      <c r="AK91">
        <f t="shared" si="10"/>
        <v>0</v>
      </c>
      <c r="AO91" t="s">
        <v>95</v>
      </c>
      <c r="AP91" s="320">
        <f>'Quotation Sheet'!H101</f>
        <v>0</v>
      </c>
      <c r="AQ91">
        <v>90</v>
      </c>
      <c r="AR91">
        <f>IF($AU$1='OPSİYON SORGU'!AO91,1,0)</f>
        <v>0</v>
      </c>
      <c r="AS91">
        <f t="shared" si="11"/>
        <v>0</v>
      </c>
    </row>
    <row r="92" spans="1:45">
      <c r="A92" t="s">
        <v>95</v>
      </c>
      <c r="B92" s="320">
        <f>'Quotation Sheet'!H103</f>
        <v>0</v>
      </c>
      <c r="C92">
        <v>91</v>
      </c>
      <c r="D92">
        <f>IF($G$1='OPSİYON SORGU'!A92,1,0)</f>
        <v>0</v>
      </c>
      <c r="E92">
        <f t="shared" si="6"/>
        <v>0</v>
      </c>
      <c r="I92" t="s">
        <v>95</v>
      </c>
      <c r="J92" s="320">
        <f>'Quotation Sheet'!H103</f>
        <v>0</v>
      </c>
      <c r="K92">
        <v>91</v>
      </c>
      <c r="L92">
        <f>IF($O$1='OPSİYON SORGU'!I92,1,0)</f>
        <v>0</v>
      </c>
      <c r="M92">
        <f t="shared" si="7"/>
        <v>0</v>
      </c>
      <c r="Q92" t="s">
        <v>95</v>
      </c>
      <c r="R92" s="320">
        <f>'Quotation Sheet'!H103</f>
        <v>0</v>
      </c>
      <c r="S92">
        <v>91</v>
      </c>
      <c r="T92">
        <f>IF($W$1='OPSİYON SORGU'!Q92,1,0)</f>
        <v>0</v>
      </c>
      <c r="U92">
        <f t="shared" si="8"/>
        <v>0</v>
      </c>
      <c r="Y92" t="s">
        <v>95</v>
      </c>
      <c r="Z92" s="320">
        <f>'Quotation Sheet'!H103</f>
        <v>0</v>
      </c>
      <c r="AA92">
        <v>91</v>
      </c>
      <c r="AB92">
        <f>IF($AE$1='OPSİYON SORGU'!Y92,1,0)</f>
        <v>0</v>
      </c>
      <c r="AC92">
        <f t="shared" si="9"/>
        <v>0</v>
      </c>
      <c r="AG92" t="s">
        <v>95</v>
      </c>
      <c r="AH92" s="320">
        <f>'Quotation Sheet'!H103</f>
        <v>0</v>
      </c>
      <c r="AI92">
        <v>91</v>
      </c>
      <c r="AJ92">
        <f>IF($AM$1='OPSİYON SORGU'!AG92,1,0)</f>
        <v>0</v>
      </c>
      <c r="AK92">
        <f t="shared" si="10"/>
        <v>0</v>
      </c>
      <c r="AO92" t="s">
        <v>95</v>
      </c>
      <c r="AP92" s="320">
        <f>'Quotation Sheet'!H103</f>
        <v>0</v>
      </c>
      <c r="AQ92">
        <v>91</v>
      </c>
      <c r="AR92">
        <f>IF($AU$1='OPSİYON SORGU'!AO92,1,0)</f>
        <v>0</v>
      </c>
      <c r="AS92">
        <f t="shared" si="11"/>
        <v>0</v>
      </c>
    </row>
    <row r="93" spans="1:45">
      <c r="A93" t="s">
        <v>95</v>
      </c>
      <c r="B93" s="320">
        <f>'Quotation Sheet'!H104</f>
        <v>0</v>
      </c>
      <c r="C93">
        <v>92</v>
      </c>
      <c r="D93">
        <f>IF($G$1='OPSİYON SORGU'!A93,1,0)</f>
        <v>0</v>
      </c>
      <c r="E93">
        <f t="shared" si="6"/>
        <v>0</v>
      </c>
      <c r="I93" t="s">
        <v>95</v>
      </c>
      <c r="J93" s="320">
        <f>'Quotation Sheet'!H104</f>
        <v>0</v>
      </c>
      <c r="K93">
        <v>92</v>
      </c>
      <c r="L93">
        <f>IF($O$1='OPSİYON SORGU'!I93,1,0)</f>
        <v>0</v>
      </c>
      <c r="M93">
        <f t="shared" si="7"/>
        <v>0</v>
      </c>
      <c r="Q93" t="s">
        <v>95</v>
      </c>
      <c r="R93" s="320">
        <f>'Quotation Sheet'!H104</f>
        <v>0</v>
      </c>
      <c r="S93">
        <v>92</v>
      </c>
      <c r="T93">
        <f>IF($W$1='OPSİYON SORGU'!Q93,1,0)</f>
        <v>0</v>
      </c>
      <c r="U93">
        <f t="shared" si="8"/>
        <v>0</v>
      </c>
      <c r="Y93" t="s">
        <v>95</v>
      </c>
      <c r="Z93" s="320">
        <f>'Quotation Sheet'!H104</f>
        <v>0</v>
      </c>
      <c r="AA93">
        <v>92</v>
      </c>
      <c r="AB93">
        <f>IF($AE$1='OPSİYON SORGU'!Y93,1,0)</f>
        <v>0</v>
      </c>
      <c r="AC93">
        <f t="shared" si="9"/>
        <v>0</v>
      </c>
      <c r="AG93" t="s">
        <v>95</v>
      </c>
      <c r="AH93" s="320">
        <f>'Quotation Sheet'!H104</f>
        <v>0</v>
      </c>
      <c r="AI93">
        <v>92</v>
      </c>
      <c r="AJ93">
        <f>IF($AM$1='OPSİYON SORGU'!AG93,1,0)</f>
        <v>0</v>
      </c>
      <c r="AK93">
        <f t="shared" si="10"/>
        <v>0</v>
      </c>
      <c r="AO93" t="s">
        <v>95</v>
      </c>
      <c r="AP93" s="320">
        <f>'Quotation Sheet'!H104</f>
        <v>0</v>
      </c>
      <c r="AQ93">
        <v>92</v>
      </c>
      <c r="AR93">
        <f>IF($AU$1='OPSİYON SORGU'!AO93,1,0)</f>
        <v>0</v>
      </c>
      <c r="AS93">
        <f t="shared" si="11"/>
        <v>0</v>
      </c>
    </row>
    <row r="94" spans="1:45">
      <c r="A94" t="s">
        <v>95</v>
      </c>
      <c r="B94" s="320">
        <f>'Quotation Sheet'!H105</f>
        <v>0</v>
      </c>
      <c r="C94">
        <v>93</v>
      </c>
      <c r="D94">
        <f>IF($G$1='OPSİYON SORGU'!A94,1,0)</f>
        <v>0</v>
      </c>
      <c r="E94">
        <f t="shared" si="6"/>
        <v>0</v>
      </c>
      <c r="I94" t="s">
        <v>95</v>
      </c>
      <c r="J94" s="320">
        <f>'Quotation Sheet'!H105</f>
        <v>0</v>
      </c>
      <c r="K94">
        <v>93</v>
      </c>
      <c r="L94">
        <f>IF($O$1='OPSİYON SORGU'!I94,1,0)</f>
        <v>0</v>
      </c>
      <c r="M94">
        <f t="shared" si="7"/>
        <v>0</v>
      </c>
      <c r="Q94" t="s">
        <v>95</v>
      </c>
      <c r="R94" s="320">
        <f>'Quotation Sheet'!H105</f>
        <v>0</v>
      </c>
      <c r="S94">
        <v>93</v>
      </c>
      <c r="T94">
        <f>IF($W$1='OPSİYON SORGU'!Q94,1,0)</f>
        <v>0</v>
      </c>
      <c r="U94">
        <f t="shared" si="8"/>
        <v>0</v>
      </c>
      <c r="Y94" t="s">
        <v>95</v>
      </c>
      <c r="Z94" s="320">
        <f>'Quotation Sheet'!H105</f>
        <v>0</v>
      </c>
      <c r="AA94">
        <v>93</v>
      </c>
      <c r="AB94">
        <f>IF($AE$1='OPSİYON SORGU'!Y94,1,0)</f>
        <v>0</v>
      </c>
      <c r="AC94">
        <f t="shared" si="9"/>
        <v>0</v>
      </c>
      <c r="AG94" t="s">
        <v>95</v>
      </c>
      <c r="AH94" s="320">
        <f>'Quotation Sheet'!H105</f>
        <v>0</v>
      </c>
      <c r="AI94">
        <v>93</v>
      </c>
      <c r="AJ94">
        <f>IF($AM$1='OPSİYON SORGU'!AG94,1,0)</f>
        <v>0</v>
      </c>
      <c r="AK94">
        <f t="shared" si="10"/>
        <v>0</v>
      </c>
      <c r="AO94" t="s">
        <v>95</v>
      </c>
      <c r="AP94" s="320">
        <f>'Quotation Sheet'!H105</f>
        <v>0</v>
      </c>
      <c r="AQ94">
        <v>93</v>
      </c>
      <c r="AR94">
        <f>IF($AU$1='OPSİYON SORGU'!AO94,1,0)</f>
        <v>0</v>
      </c>
      <c r="AS94">
        <f t="shared" si="11"/>
        <v>0</v>
      </c>
    </row>
    <row r="95" spans="1:45">
      <c r="A95" t="s">
        <v>95</v>
      </c>
      <c r="B95" s="320">
        <f>'Quotation Sheet'!H106</f>
        <v>0</v>
      </c>
      <c r="C95">
        <v>94</v>
      </c>
      <c r="D95">
        <f>IF($G$1='OPSİYON SORGU'!A95,1,0)</f>
        <v>0</v>
      </c>
      <c r="E95">
        <f t="shared" si="6"/>
        <v>0</v>
      </c>
      <c r="I95" t="s">
        <v>95</v>
      </c>
      <c r="J95" s="320">
        <f>'Quotation Sheet'!H106</f>
        <v>0</v>
      </c>
      <c r="K95">
        <v>94</v>
      </c>
      <c r="L95">
        <f>IF($O$1='OPSİYON SORGU'!I95,1,0)</f>
        <v>0</v>
      </c>
      <c r="M95">
        <f t="shared" si="7"/>
        <v>0</v>
      </c>
      <c r="Q95" t="s">
        <v>95</v>
      </c>
      <c r="R95" s="320">
        <f>'Quotation Sheet'!H106</f>
        <v>0</v>
      </c>
      <c r="S95">
        <v>94</v>
      </c>
      <c r="T95">
        <f>IF($W$1='OPSİYON SORGU'!Q95,1,0)</f>
        <v>0</v>
      </c>
      <c r="U95">
        <f t="shared" si="8"/>
        <v>0</v>
      </c>
      <c r="Y95" t="s">
        <v>95</v>
      </c>
      <c r="Z95" s="320">
        <f>'Quotation Sheet'!H106</f>
        <v>0</v>
      </c>
      <c r="AA95">
        <v>94</v>
      </c>
      <c r="AB95">
        <f>IF($AE$1='OPSİYON SORGU'!Y95,1,0)</f>
        <v>0</v>
      </c>
      <c r="AC95">
        <f t="shared" si="9"/>
        <v>0</v>
      </c>
      <c r="AG95" t="s">
        <v>95</v>
      </c>
      <c r="AH95" s="320">
        <f>'Quotation Sheet'!H106</f>
        <v>0</v>
      </c>
      <c r="AI95">
        <v>94</v>
      </c>
      <c r="AJ95">
        <f>IF($AM$1='OPSİYON SORGU'!AG95,1,0)</f>
        <v>0</v>
      </c>
      <c r="AK95">
        <f t="shared" si="10"/>
        <v>0</v>
      </c>
      <c r="AO95" t="s">
        <v>95</v>
      </c>
      <c r="AP95" s="320">
        <f>'Quotation Sheet'!H106</f>
        <v>0</v>
      </c>
      <c r="AQ95">
        <v>94</v>
      </c>
      <c r="AR95">
        <f>IF($AU$1='OPSİYON SORGU'!AO95,1,0)</f>
        <v>0</v>
      </c>
      <c r="AS95">
        <f t="shared" si="11"/>
        <v>0</v>
      </c>
    </row>
    <row r="96" spans="1:45">
      <c r="A96" t="s">
        <v>95</v>
      </c>
      <c r="B96" s="320">
        <f>'Quotation Sheet'!H107</f>
        <v>0</v>
      </c>
      <c r="C96">
        <v>95</v>
      </c>
      <c r="D96">
        <f>IF($G$1='OPSİYON SORGU'!A96,1,0)</f>
        <v>0</v>
      </c>
      <c r="E96">
        <f t="shared" si="6"/>
        <v>0</v>
      </c>
      <c r="I96" t="s">
        <v>95</v>
      </c>
      <c r="J96" s="320">
        <f>'Quotation Sheet'!H107</f>
        <v>0</v>
      </c>
      <c r="K96">
        <v>95</v>
      </c>
      <c r="L96">
        <f>IF($O$1='OPSİYON SORGU'!I96,1,0)</f>
        <v>0</v>
      </c>
      <c r="M96">
        <f t="shared" si="7"/>
        <v>0</v>
      </c>
      <c r="Q96" t="s">
        <v>95</v>
      </c>
      <c r="R96" s="320">
        <f>'Quotation Sheet'!H107</f>
        <v>0</v>
      </c>
      <c r="S96">
        <v>95</v>
      </c>
      <c r="T96">
        <f>IF($W$1='OPSİYON SORGU'!Q96,1,0)</f>
        <v>0</v>
      </c>
      <c r="U96">
        <f t="shared" si="8"/>
        <v>0</v>
      </c>
      <c r="Y96" t="s">
        <v>95</v>
      </c>
      <c r="Z96" s="320">
        <f>'Quotation Sheet'!H107</f>
        <v>0</v>
      </c>
      <c r="AA96">
        <v>95</v>
      </c>
      <c r="AB96">
        <f>IF($AE$1='OPSİYON SORGU'!Y96,1,0)</f>
        <v>0</v>
      </c>
      <c r="AC96">
        <f t="shared" si="9"/>
        <v>0</v>
      </c>
      <c r="AG96" t="s">
        <v>95</v>
      </c>
      <c r="AH96" s="320">
        <f>'Quotation Sheet'!H107</f>
        <v>0</v>
      </c>
      <c r="AI96">
        <v>95</v>
      </c>
      <c r="AJ96">
        <f>IF($AM$1='OPSİYON SORGU'!AG96,1,0)</f>
        <v>0</v>
      </c>
      <c r="AK96">
        <f t="shared" si="10"/>
        <v>0</v>
      </c>
      <c r="AO96" t="s">
        <v>95</v>
      </c>
      <c r="AP96" s="320">
        <f>'Quotation Sheet'!H107</f>
        <v>0</v>
      </c>
      <c r="AQ96">
        <v>95</v>
      </c>
      <c r="AR96">
        <f>IF($AU$1='OPSİYON SORGU'!AO96,1,0)</f>
        <v>0</v>
      </c>
      <c r="AS96">
        <f t="shared" si="11"/>
        <v>0</v>
      </c>
    </row>
    <row r="97" spans="1:45">
      <c r="A97" t="s">
        <v>95</v>
      </c>
      <c r="B97" s="320">
        <f>'Quotation Sheet'!H109</f>
        <v>0</v>
      </c>
      <c r="C97">
        <v>96</v>
      </c>
      <c r="D97">
        <f>IF($G$1='OPSİYON SORGU'!A97,1,0)</f>
        <v>0</v>
      </c>
      <c r="E97">
        <f t="shared" si="6"/>
        <v>0</v>
      </c>
      <c r="I97" t="s">
        <v>95</v>
      </c>
      <c r="J97" s="320">
        <f>'Quotation Sheet'!H109</f>
        <v>0</v>
      </c>
      <c r="K97">
        <v>96</v>
      </c>
      <c r="L97">
        <f>IF($O$1='OPSİYON SORGU'!I97,1,0)</f>
        <v>0</v>
      </c>
      <c r="M97">
        <f t="shared" si="7"/>
        <v>0</v>
      </c>
      <c r="Q97" t="s">
        <v>95</v>
      </c>
      <c r="R97" s="320">
        <f>'Quotation Sheet'!H109</f>
        <v>0</v>
      </c>
      <c r="S97">
        <v>96</v>
      </c>
      <c r="T97">
        <f>IF($W$1='OPSİYON SORGU'!Q97,1,0)</f>
        <v>0</v>
      </c>
      <c r="U97">
        <f t="shared" si="8"/>
        <v>0</v>
      </c>
      <c r="Y97" t="s">
        <v>95</v>
      </c>
      <c r="Z97" s="320">
        <f>'Quotation Sheet'!H109</f>
        <v>0</v>
      </c>
      <c r="AA97">
        <v>96</v>
      </c>
      <c r="AB97">
        <f>IF($AE$1='OPSİYON SORGU'!Y97,1,0)</f>
        <v>0</v>
      </c>
      <c r="AC97">
        <f t="shared" si="9"/>
        <v>0</v>
      </c>
      <c r="AG97" t="s">
        <v>95</v>
      </c>
      <c r="AH97" s="320">
        <f>'Quotation Sheet'!H109</f>
        <v>0</v>
      </c>
      <c r="AI97">
        <v>96</v>
      </c>
      <c r="AJ97">
        <f>IF($AM$1='OPSİYON SORGU'!AG97,1,0)</f>
        <v>0</v>
      </c>
      <c r="AK97">
        <f t="shared" si="10"/>
        <v>0</v>
      </c>
      <c r="AO97" t="s">
        <v>95</v>
      </c>
      <c r="AP97" s="320">
        <f>'Quotation Sheet'!H109</f>
        <v>0</v>
      </c>
      <c r="AQ97">
        <v>96</v>
      </c>
      <c r="AR97">
        <f>IF($AU$1='OPSİYON SORGU'!AO97,1,0)</f>
        <v>0</v>
      </c>
      <c r="AS97">
        <f t="shared" si="11"/>
        <v>0</v>
      </c>
    </row>
    <row r="98" spans="1:45">
      <c r="A98" t="s">
        <v>95</v>
      </c>
      <c r="B98" s="320">
        <f>'Quotation Sheet'!H110</f>
        <v>0</v>
      </c>
      <c r="C98">
        <v>97</v>
      </c>
      <c r="D98">
        <f>IF($G$1='OPSİYON SORGU'!A98,1,0)</f>
        <v>0</v>
      </c>
      <c r="E98">
        <f t="shared" si="6"/>
        <v>0</v>
      </c>
      <c r="I98" t="s">
        <v>95</v>
      </c>
      <c r="J98" s="320">
        <f>'Quotation Sheet'!H110</f>
        <v>0</v>
      </c>
      <c r="K98">
        <v>97</v>
      </c>
      <c r="L98">
        <f>IF($O$1='OPSİYON SORGU'!I98,1,0)</f>
        <v>0</v>
      </c>
      <c r="M98">
        <f t="shared" si="7"/>
        <v>0</v>
      </c>
      <c r="Q98" t="s">
        <v>95</v>
      </c>
      <c r="R98" s="320">
        <f>'Quotation Sheet'!H110</f>
        <v>0</v>
      </c>
      <c r="S98">
        <v>97</v>
      </c>
      <c r="T98">
        <f>IF($W$1='OPSİYON SORGU'!Q98,1,0)</f>
        <v>0</v>
      </c>
      <c r="U98">
        <f t="shared" si="8"/>
        <v>0</v>
      </c>
      <c r="Y98" t="s">
        <v>95</v>
      </c>
      <c r="Z98" s="320">
        <f>'Quotation Sheet'!H110</f>
        <v>0</v>
      </c>
      <c r="AA98">
        <v>97</v>
      </c>
      <c r="AB98">
        <f>IF($AE$1='OPSİYON SORGU'!Y98,1,0)</f>
        <v>0</v>
      </c>
      <c r="AC98">
        <f t="shared" si="9"/>
        <v>0</v>
      </c>
      <c r="AG98" t="s">
        <v>95</v>
      </c>
      <c r="AH98" s="320">
        <f>'Quotation Sheet'!H110</f>
        <v>0</v>
      </c>
      <c r="AI98">
        <v>97</v>
      </c>
      <c r="AJ98">
        <f>IF($AM$1='OPSİYON SORGU'!AG98,1,0)</f>
        <v>0</v>
      </c>
      <c r="AK98">
        <f t="shared" si="10"/>
        <v>0</v>
      </c>
      <c r="AO98" t="s">
        <v>95</v>
      </c>
      <c r="AP98" s="320">
        <f>'Quotation Sheet'!H110</f>
        <v>0</v>
      </c>
      <c r="AQ98">
        <v>97</v>
      </c>
      <c r="AR98">
        <f>IF($AU$1='OPSİYON SORGU'!AO98,1,0)</f>
        <v>0</v>
      </c>
      <c r="AS98">
        <f t="shared" si="11"/>
        <v>0</v>
      </c>
    </row>
    <row r="99" spans="1:45">
      <c r="A99" t="s">
        <v>95</v>
      </c>
      <c r="B99" s="320">
        <f>'Quotation Sheet'!H111</f>
        <v>0</v>
      </c>
      <c r="C99">
        <v>98</v>
      </c>
      <c r="D99">
        <f>IF($G$1='OPSİYON SORGU'!A99,1,0)</f>
        <v>0</v>
      </c>
      <c r="E99">
        <f t="shared" si="6"/>
        <v>0</v>
      </c>
      <c r="I99" t="s">
        <v>95</v>
      </c>
      <c r="J99" s="320">
        <f>'Quotation Sheet'!H111</f>
        <v>0</v>
      </c>
      <c r="K99">
        <v>98</v>
      </c>
      <c r="L99">
        <f>IF($O$1='OPSİYON SORGU'!I99,1,0)</f>
        <v>0</v>
      </c>
      <c r="M99">
        <f t="shared" si="7"/>
        <v>0</v>
      </c>
      <c r="Q99" t="s">
        <v>95</v>
      </c>
      <c r="R99" s="320">
        <f>'Quotation Sheet'!H111</f>
        <v>0</v>
      </c>
      <c r="S99">
        <v>98</v>
      </c>
      <c r="T99">
        <f>IF($W$1='OPSİYON SORGU'!Q99,1,0)</f>
        <v>0</v>
      </c>
      <c r="U99">
        <f t="shared" si="8"/>
        <v>0</v>
      </c>
      <c r="Y99" t="s">
        <v>95</v>
      </c>
      <c r="Z99" s="320">
        <f>'Quotation Sheet'!H111</f>
        <v>0</v>
      </c>
      <c r="AA99">
        <v>98</v>
      </c>
      <c r="AB99">
        <f>IF($AE$1='OPSİYON SORGU'!Y99,1,0)</f>
        <v>0</v>
      </c>
      <c r="AC99">
        <f t="shared" si="9"/>
        <v>0</v>
      </c>
      <c r="AG99" t="s">
        <v>95</v>
      </c>
      <c r="AH99" s="320">
        <f>'Quotation Sheet'!H111</f>
        <v>0</v>
      </c>
      <c r="AI99">
        <v>98</v>
      </c>
      <c r="AJ99">
        <f>IF($AM$1='OPSİYON SORGU'!AG99,1,0)</f>
        <v>0</v>
      </c>
      <c r="AK99">
        <f t="shared" si="10"/>
        <v>0</v>
      </c>
      <c r="AO99" t="s">
        <v>95</v>
      </c>
      <c r="AP99" s="320">
        <f>'Quotation Sheet'!H111</f>
        <v>0</v>
      </c>
      <c r="AQ99">
        <v>98</v>
      </c>
      <c r="AR99">
        <f>IF($AU$1='OPSİYON SORGU'!AO99,1,0)</f>
        <v>0</v>
      </c>
      <c r="AS99">
        <f t="shared" si="11"/>
        <v>0</v>
      </c>
    </row>
    <row r="100" spans="1:45">
      <c r="A100" t="s">
        <v>95</v>
      </c>
      <c r="B100" s="320">
        <f>'Quotation Sheet'!H112</f>
        <v>0</v>
      </c>
      <c r="C100">
        <v>99</v>
      </c>
      <c r="D100">
        <f>IF($G$1='OPSİYON SORGU'!A100,1,0)</f>
        <v>0</v>
      </c>
      <c r="E100">
        <f t="shared" si="6"/>
        <v>0</v>
      </c>
      <c r="I100" t="s">
        <v>95</v>
      </c>
      <c r="J100" s="320">
        <f>'Quotation Sheet'!H112</f>
        <v>0</v>
      </c>
      <c r="K100">
        <v>99</v>
      </c>
      <c r="L100">
        <f>IF($O$1='OPSİYON SORGU'!I100,1,0)</f>
        <v>0</v>
      </c>
      <c r="M100">
        <f t="shared" si="7"/>
        <v>0</v>
      </c>
      <c r="Q100" t="s">
        <v>95</v>
      </c>
      <c r="R100" s="320">
        <f>'Quotation Sheet'!H112</f>
        <v>0</v>
      </c>
      <c r="S100">
        <v>99</v>
      </c>
      <c r="T100">
        <f>IF($W$1='OPSİYON SORGU'!Q100,1,0)</f>
        <v>0</v>
      </c>
      <c r="U100">
        <f t="shared" si="8"/>
        <v>0</v>
      </c>
      <c r="Y100" t="s">
        <v>95</v>
      </c>
      <c r="Z100" s="320">
        <f>'Quotation Sheet'!H112</f>
        <v>0</v>
      </c>
      <c r="AA100">
        <v>99</v>
      </c>
      <c r="AB100">
        <f>IF($AE$1='OPSİYON SORGU'!Y100,1,0)</f>
        <v>0</v>
      </c>
      <c r="AC100">
        <f t="shared" si="9"/>
        <v>0</v>
      </c>
      <c r="AG100" t="s">
        <v>95</v>
      </c>
      <c r="AH100" s="320">
        <f>'Quotation Sheet'!H112</f>
        <v>0</v>
      </c>
      <c r="AI100">
        <v>99</v>
      </c>
      <c r="AJ100">
        <f>IF($AM$1='OPSİYON SORGU'!AG100,1,0)</f>
        <v>0</v>
      </c>
      <c r="AK100">
        <f t="shared" si="10"/>
        <v>0</v>
      </c>
      <c r="AO100" t="s">
        <v>95</v>
      </c>
      <c r="AP100" s="320">
        <f>'Quotation Sheet'!H112</f>
        <v>0</v>
      </c>
      <c r="AQ100">
        <v>99</v>
      </c>
      <c r="AR100">
        <f>IF($AU$1='OPSİYON SORGU'!AO100,1,0)</f>
        <v>0</v>
      </c>
      <c r="AS100">
        <f t="shared" si="11"/>
        <v>0</v>
      </c>
    </row>
    <row r="101" spans="1:45">
      <c r="A101" t="s">
        <v>95</v>
      </c>
      <c r="B101" s="320">
        <f>'Quotation Sheet'!H113</f>
        <v>0</v>
      </c>
      <c r="C101">
        <v>100</v>
      </c>
      <c r="D101">
        <f>IF($G$1='OPSİYON SORGU'!A101,1,0)</f>
        <v>0</v>
      </c>
      <c r="E101">
        <f t="shared" si="6"/>
        <v>0</v>
      </c>
      <c r="I101" t="s">
        <v>95</v>
      </c>
      <c r="J101" s="320">
        <f>'Quotation Sheet'!H113</f>
        <v>0</v>
      </c>
      <c r="K101">
        <v>100</v>
      </c>
      <c r="L101">
        <f>IF($O$1='OPSİYON SORGU'!I101,1,0)</f>
        <v>0</v>
      </c>
      <c r="M101">
        <f t="shared" si="7"/>
        <v>0</v>
      </c>
      <c r="Q101" t="s">
        <v>95</v>
      </c>
      <c r="R101" s="320">
        <f>'Quotation Sheet'!H113</f>
        <v>0</v>
      </c>
      <c r="S101">
        <v>100</v>
      </c>
      <c r="T101">
        <f>IF($W$1='OPSİYON SORGU'!Q101,1,0)</f>
        <v>0</v>
      </c>
      <c r="U101">
        <f t="shared" si="8"/>
        <v>0</v>
      </c>
      <c r="Y101" t="s">
        <v>95</v>
      </c>
      <c r="Z101" s="320">
        <f>'Quotation Sheet'!H113</f>
        <v>0</v>
      </c>
      <c r="AA101">
        <v>100</v>
      </c>
      <c r="AB101">
        <f>IF($AE$1='OPSİYON SORGU'!Y101,1,0)</f>
        <v>0</v>
      </c>
      <c r="AC101">
        <f t="shared" si="9"/>
        <v>0</v>
      </c>
      <c r="AG101" t="s">
        <v>95</v>
      </c>
      <c r="AH101" s="320">
        <f>'Quotation Sheet'!H113</f>
        <v>0</v>
      </c>
      <c r="AI101">
        <v>100</v>
      </c>
      <c r="AJ101">
        <f>IF($AM$1='OPSİYON SORGU'!AG101,1,0)</f>
        <v>0</v>
      </c>
      <c r="AK101">
        <f t="shared" si="10"/>
        <v>0</v>
      </c>
      <c r="AO101" t="s">
        <v>95</v>
      </c>
      <c r="AP101" s="320">
        <f>'Quotation Sheet'!H113</f>
        <v>0</v>
      </c>
      <c r="AQ101">
        <v>100</v>
      </c>
      <c r="AR101">
        <f>IF($AU$1='OPSİYON SORGU'!AO101,1,0)</f>
        <v>0</v>
      </c>
      <c r="AS101">
        <f t="shared" si="11"/>
        <v>0</v>
      </c>
    </row>
    <row r="102" spans="1:45">
      <c r="A102" t="s">
        <v>96</v>
      </c>
      <c r="B102" s="320">
        <f>'Quotation Sheet'!I85</f>
        <v>0</v>
      </c>
      <c r="C102">
        <v>101</v>
      </c>
      <c r="D102">
        <f>IF($G$1='OPSİYON SORGU'!A102,1,0)</f>
        <v>0</v>
      </c>
      <c r="E102">
        <f t="shared" si="6"/>
        <v>0</v>
      </c>
      <c r="I102" t="s">
        <v>96</v>
      </c>
      <c r="J102" s="320">
        <f>'Quotation Sheet'!I85</f>
        <v>0</v>
      </c>
      <c r="K102">
        <v>101</v>
      </c>
      <c r="L102">
        <f>IF($O$1='OPSİYON SORGU'!I102,1,0)</f>
        <v>0</v>
      </c>
      <c r="M102">
        <f t="shared" si="7"/>
        <v>0</v>
      </c>
      <c r="Q102" t="s">
        <v>96</v>
      </c>
      <c r="R102" s="320">
        <f>'Quotation Sheet'!I85</f>
        <v>0</v>
      </c>
      <c r="S102">
        <v>101</v>
      </c>
      <c r="T102">
        <f>IF($W$1='OPSİYON SORGU'!Q102,1,0)</f>
        <v>0</v>
      </c>
      <c r="U102">
        <f t="shared" si="8"/>
        <v>0</v>
      </c>
      <c r="Y102" t="s">
        <v>96</v>
      </c>
      <c r="Z102" s="320">
        <f>'Quotation Sheet'!I85</f>
        <v>0</v>
      </c>
      <c r="AA102">
        <v>101</v>
      </c>
      <c r="AB102">
        <f>IF($AE$1='OPSİYON SORGU'!Y102,1,0)</f>
        <v>0</v>
      </c>
      <c r="AC102">
        <f t="shared" si="9"/>
        <v>0</v>
      </c>
      <c r="AG102" t="s">
        <v>96</v>
      </c>
      <c r="AH102" s="320">
        <f>'Quotation Sheet'!I85</f>
        <v>0</v>
      </c>
      <c r="AI102">
        <v>101</v>
      </c>
      <c r="AJ102">
        <f>IF($AM$1='OPSİYON SORGU'!AG102,1,0)</f>
        <v>0</v>
      </c>
      <c r="AK102">
        <f t="shared" si="10"/>
        <v>0</v>
      </c>
      <c r="AO102" t="s">
        <v>96</v>
      </c>
      <c r="AP102" s="320">
        <f>'Quotation Sheet'!I85</f>
        <v>0</v>
      </c>
      <c r="AQ102">
        <v>101</v>
      </c>
      <c r="AR102">
        <f>IF($AU$1='OPSİYON SORGU'!AO102,1,0)</f>
        <v>0</v>
      </c>
      <c r="AS102">
        <f t="shared" si="11"/>
        <v>0</v>
      </c>
    </row>
    <row r="103" spans="1:45">
      <c r="A103" t="s">
        <v>96</v>
      </c>
      <c r="B103" s="320">
        <f>'Quotation Sheet'!I86</f>
        <v>0</v>
      </c>
      <c r="C103">
        <v>102</v>
      </c>
      <c r="D103">
        <f>IF($G$1='OPSİYON SORGU'!A103,1,0)</f>
        <v>0</v>
      </c>
      <c r="E103">
        <f t="shared" si="6"/>
        <v>0</v>
      </c>
      <c r="I103" t="s">
        <v>96</v>
      </c>
      <c r="J103" s="320">
        <f>'Quotation Sheet'!I86</f>
        <v>0</v>
      </c>
      <c r="K103">
        <v>102</v>
      </c>
      <c r="L103">
        <f>IF($O$1='OPSİYON SORGU'!I103,1,0)</f>
        <v>0</v>
      </c>
      <c r="M103">
        <f t="shared" si="7"/>
        <v>0</v>
      </c>
      <c r="Q103" t="s">
        <v>96</v>
      </c>
      <c r="R103" s="320">
        <f>'Quotation Sheet'!I86</f>
        <v>0</v>
      </c>
      <c r="S103">
        <v>102</v>
      </c>
      <c r="T103">
        <f>IF($W$1='OPSİYON SORGU'!Q103,1,0)</f>
        <v>0</v>
      </c>
      <c r="U103">
        <f t="shared" si="8"/>
        <v>0</v>
      </c>
      <c r="Y103" t="s">
        <v>96</v>
      </c>
      <c r="Z103" s="320">
        <f>'Quotation Sheet'!I86</f>
        <v>0</v>
      </c>
      <c r="AA103">
        <v>102</v>
      </c>
      <c r="AB103">
        <f>IF($AE$1='OPSİYON SORGU'!Y103,1,0)</f>
        <v>0</v>
      </c>
      <c r="AC103">
        <f t="shared" si="9"/>
        <v>0</v>
      </c>
      <c r="AG103" t="s">
        <v>96</v>
      </c>
      <c r="AH103" s="320">
        <f>'Quotation Sheet'!I86</f>
        <v>0</v>
      </c>
      <c r="AI103">
        <v>102</v>
      </c>
      <c r="AJ103">
        <f>IF($AM$1='OPSİYON SORGU'!AG103,1,0)</f>
        <v>0</v>
      </c>
      <c r="AK103">
        <f t="shared" si="10"/>
        <v>0</v>
      </c>
      <c r="AO103" t="s">
        <v>96</v>
      </c>
      <c r="AP103" s="320">
        <f>'Quotation Sheet'!I86</f>
        <v>0</v>
      </c>
      <c r="AQ103">
        <v>102</v>
      </c>
      <c r="AR103">
        <f>IF($AU$1='OPSİYON SORGU'!AO103,1,0)</f>
        <v>0</v>
      </c>
      <c r="AS103">
        <f t="shared" si="11"/>
        <v>0</v>
      </c>
    </row>
    <row r="104" spans="1:45">
      <c r="A104" t="s">
        <v>96</v>
      </c>
      <c r="B104" s="320">
        <f>'Quotation Sheet'!I87</f>
        <v>0</v>
      </c>
      <c r="C104">
        <v>103</v>
      </c>
      <c r="D104">
        <f>IF($G$1='OPSİYON SORGU'!A104,1,0)</f>
        <v>0</v>
      </c>
      <c r="E104">
        <f t="shared" si="6"/>
        <v>0</v>
      </c>
      <c r="I104" t="s">
        <v>96</v>
      </c>
      <c r="J104" s="320">
        <f>'Quotation Sheet'!I87</f>
        <v>0</v>
      </c>
      <c r="K104">
        <v>103</v>
      </c>
      <c r="L104">
        <f>IF($O$1='OPSİYON SORGU'!I104,1,0)</f>
        <v>0</v>
      </c>
      <c r="M104">
        <f t="shared" si="7"/>
        <v>0</v>
      </c>
      <c r="Q104" t="s">
        <v>96</v>
      </c>
      <c r="R104" s="320">
        <f>'Quotation Sheet'!I87</f>
        <v>0</v>
      </c>
      <c r="S104">
        <v>103</v>
      </c>
      <c r="T104">
        <f>IF($W$1='OPSİYON SORGU'!Q104,1,0)</f>
        <v>0</v>
      </c>
      <c r="U104">
        <f t="shared" si="8"/>
        <v>0</v>
      </c>
      <c r="Y104" t="s">
        <v>96</v>
      </c>
      <c r="Z104" s="320">
        <f>'Quotation Sheet'!I87</f>
        <v>0</v>
      </c>
      <c r="AA104">
        <v>103</v>
      </c>
      <c r="AB104">
        <f>IF($AE$1='OPSİYON SORGU'!Y104,1,0)</f>
        <v>0</v>
      </c>
      <c r="AC104">
        <f t="shared" si="9"/>
        <v>0</v>
      </c>
      <c r="AG104" t="s">
        <v>96</v>
      </c>
      <c r="AH104" s="320">
        <f>'Quotation Sheet'!I87</f>
        <v>0</v>
      </c>
      <c r="AI104">
        <v>103</v>
      </c>
      <c r="AJ104">
        <f>IF($AM$1='OPSİYON SORGU'!AG104,1,0)</f>
        <v>0</v>
      </c>
      <c r="AK104">
        <f t="shared" si="10"/>
        <v>0</v>
      </c>
      <c r="AO104" t="s">
        <v>96</v>
      </c>
      <c r="AP104" s="320">
        <f>'Quotation Sheet'!I87</f>
        <v>0</v>
      </c>
      <c r="AQ104">
        <v>103</v>
      </c>
      <c r="AR104">
        <f>IF($AU$1='OPSİYON SORGU'!AO104,1,0)</f>
        <v>0</v>
      </c>
      <c r="AS104">
        <f t="shared" si="11"/>
        <v>0</v>
      </c>
    </row>
    <row r="105" spans="1:45">
      <c r="A105" t="s">
        <v>96</v>
      </c>
      <c r="B105" s="320">
        <f>'Quotation Sheet'!I88</f>
        <v>0</v>
      </c>
      <c r="C105">
        <v>104</v>
      </c>
      <c r="D105">
        <f>IF($G$1='OPSİYON SORGU'!A105,1,0)</f>
        <v>0</v>
      </c>
      <c r="E105">
        <f t="shared" si="6"/>
        <v>0</v>
      </c>
      <c r="I105" t="s">
        <v>96</v>
      </c>
      <c r="J105" s="320">
        <f>'Quotation Sheet'!I88</f>
        <v>0</v>
      </c>
      <c r="K105">
        <v>104</v>
      </c>
      <c r="L105">
        <f>IF($O$1='OPSİYON SORGU'!I105,1,0)</f>
        <v>0</v>
      </c>
      <c r="M105">
        <f t="shared" si="7"/>
        <v>0</v>
      </c>
      <c r="Q105" t="s">
        <v>96</v>
      </c>
      <c r="R105" s="320">
        <f>'Quotation Sheet'!I88</f>
        <v>0</v>
      </c>
      <c r="S105">
        <v>104</v>
      </c>
      <c r="T105">
        <f>IF($W$1='OPSİYON SORGU'!Q105,1,0)</f>
        <v>0</v>
      </c>
      <c r="U105">
        <f t="shared" si="8"/>
        <v>0</v>
      </c>
      <c r="Y105" t="s">
        <v>96</v>
      </c>
      <c r="Z105" s="320">
        <f>'Quotation Sheet'!I88</f>
        <v>0</v>
      </c>
      <c r="AA105">
        <v>104</v>
      </c>
      <c r="AB105">
        <f>IF($AE$1='OPSİYON SORGU'!Y105,1,0)</f>
        <v>0</v>
      </c>
      <c r="AC105">
        <f t="shared" si="9"/>
        <v>0</v>
      </c>
      <c r="AG105" t="s">
        <v>96</v>
      </c>
      <c r="AH105" s="320">
        <f>'Quotation Sheet'!I88</f>
        <v>0</v>
      </c>
      <c r="AI105">
        <v>104</v>
      </c>
      <c r="AJ105">
        <f>IF($AM$1='OPSİYON SORGU'!AG105,1,0)</f>
        <v>0</v>
      </c>
      <c r="AK105">
        <f t="shared" si="10"/>
        <v>0</v>
      </c>
      <c r="AO105" t="s">
        <v>96</v>
      </c>
      <c r="AP105" s="320">
        <f>'Quotation Sheet'!I88</f>
        <v>0</v>
      </c>
      <c r="AQ105">
        <v>104</v>
      </c>
      <c r="AR105">
        <f>IF($AU$1='OPSİYON SORGU'!AO105,1,0)</f>
        <v>0</v>
      </c>
      <c r="AS105">
        <f t="shared" si="11"/>
        <v>0</v>
      </c>
    </row>
    <row r="106" spans="1:45">
      <c r="A106" t="s">
        <v>96</v>
      </c>
      <c r="B106" s="320">
        <f>'Quotation Sheet'!I89</f>
        <v>0</v>
      </c>
      <c r="C106">
        <v>105</v>
      </c>
      <c r="D106">
        <f>IF($G$1='OPSİYON SORGU'!A106,1,0)</f>
        <v>0</v>
      </c>
      <c r="E106">
        <f t="shared" si="6"/>
        <v>0</v>
      </c>
      <c r="I106" t="s">
        <v>96</v>
      </c>
      <c r="J106" s="320">
        <f>'Quotation Sheet'!I89</f>
        <v>0</v>
      </c>
      <c r="K106">
        <v>105</v>
      </c>
      <c r="L106">
        <f>IF($O$1='OPSİYON SORGU'!I106,1,0)</f>
        <v>0</v>
      </c>
      <c r="M106">
        <f t="shared" si="7"/>
        <v>0</v>
      </c>
      <c r="Q106" t="s">
        <v>96</v>
      </c>
      <c r="R106" s="320">
        <f>'Quotation Sheet'!I89</f>
        <v>0</v>
      </c>
      <c r="S106">
        <v>105</v>
      </c>
      <c r="T106">
        <f>IF($W$1='OPSİYON SORGU'!Q106,1,0)</f>
        <v>0</v>
      </c>
      <c r="U106">
        <f t="shared" si="8"/>
        <v>0</v>
      </c>
      <c r="Y106" t="s">
        <v>96</v>
      </c>
      <c r="Z106" s="320">
        <f>'Quotation Sheet'!I89</f>
        <v>0</v>
      </c>
      <c r="AA106">
        <v>105</v>
      </c>
      <c r="AB106">
        <f>IF($AE$1='OPSİYON SORGU'!Y106,1,0)</f>
        <v>0</v>
      </c>
      <c r="AC106">
        <f t="shared" si="9"/>
        <v>0</v>
      </c>
      <c r="AG106" t="s">
        <v>96</v>
      </c>
      <c r="AH106" s="320">
        <f>'Quotation Sheet'!I89</f>
        <v>0</v>
      </c>
      <c r="AI106">
        <v>105</v>
      </c>
      <c r="AJ106">
        <f>IF($AM$1='OPSİYON SORGU'!AG106,1,0)</f>
        <v>0</v>
      </c>
      <c r="AK106">
        <f t="shared" si="10"/>
        <v>0</v>
      </c>
      <c r="AO106" t="s">
        <v>96</v>
      </c>
      <c r="AP106" s="320">
        <f>'Quotation Sheet'!I89</f>
        <v>0</v>
      </c>
      <c r="AQ106">
        <v>105</v>
      </c>
      <c r="AR106">
        <f>IF($AU$1='OPSİYON SORGU'!AO106,1,0)</f>
        <v>0</v>
      </c>
      <c r="AS106">
        <f t="shared" si="11"/>
        <v>0</v>
      </c>
    </row>
    <row r="107" spans="1:45">
      <c r="A107" t="s">
        <v>96</v>
      </c>
      <c r="B107" s="320">
        <f>'Quotation Sheet'!I91</f>
        <v>0</v>
      </c>
      <c r="C107">
        <v>106</v>
      </c>
      <c r="D107">
        <f>IF($G$1='OPSİYON SORGU'!A107,1,0)</f>
        <v>0</v>
      </c>
      <c r="E107">
        <f t="shared" si="6"/>
        <v>0</v>
      </c>
      <c r="I107" t="s">
        <v>96</v>
      </c>
      <c r="J107" s="320">
        <f>'Quotation Sheet'!I91</f>
        <v>0</v>
      </c>
      <c r="K107">
        <v>106</v>
      </c>
      <c r="L107">
        <f>IF($O$1='OPSİYON SORGU'!I107,1,0)</f>
        <v>0</v>
      </c>
      <c r="M107">
        <f t="shared" si="7"/>
        <v>0</v>
      </c>
      <c r="Q107" t="s">
        <v>96</v>
      </c>
      <c r="R107" s="320">
        <f>'Quotation Sheet'!I91</f>
        <v>0</v>
      </c>
      <c r="S107">
        <v>106</v>
      </c>
      <c r="T107">
        <f>IF($W$1='OPSİYON SORGU'!Q107,1,0)</f>
        <v>0</v>
      </c>
      <c r="U107">
        <f t="shared" si="8"/>
        <v>0</v>
      </c>
      <c r="Y107" t="s">
        <v>96</v>
      </c>
      <c r="Z107" s="320">
        <f>'Quotation Sheet'!I91</f>
        <v>0</v>
      </c>
      <c r="AA107">
        <v>106</v>
      </c>
      <c r="AB107">
        <f>IF($AE$1='OPSİYON SORGU'!Y107,1,0)</f>
        <v>0</v>
      </c>
      <c r="AC107">
        <f t="shared" si="9"/>
        <v>0</v>
      </c>
      <c r="AG107" t="s">
        <v>96</v>
      </c>
      <c r="AH107" s="320">
        <f>'Quotation Sheet'!I91</f>
        <v>0</v>
      </c>
      <c r="AI107">
        <v>106</v>
      </c>
      <c r="AJ107">
        <f>IF($AM$1='OPSİYON SORGU'!AG107,1,0)</f>
        <v>0</v>
      </c>
      <c r="AK107">
        <f t="shared" si="10"/>
        <v>0</v>
      </c>
      <c r="AO107" t="s">
        <v>96</v>
      </c>
      <c r="AP107" s="320">
        <f>'Quotation Sheet'!I91</f>
        <v>0</v>
      </c>
      <c r="AQ107">
        <v>106</v>
      </c>
      <c r="AR107">
        <f>IF($AU$1='OPSİYON SORGU'!AO107,1,0)</f>
        <v>0</v>
      </c>
      <c r="AS107">
        <f t="shared" si="11"/>
        <v>0</v>
      </c>
    </row>
    <row r="108" spans="1:45">
      <c r="A108" t="s">
        <v>96</v>
      </c>
      <c r="B108" s="320">
        <f>'Quotation Sheet'!I92</f>
        <v>0</v>
      </c>
      <c r="C108">
        <v>107</v>
      </c>
      <c r="D108">
        <f>IF($G$1='OPSİYON SORGU'!A108,1,0)</f>
        <v>0</v>
      </c>
      <c r="E108">
        <f t="shared" si="6"/>
        <v>0</v>
      </c>
      <c r="I108" t="s">
        <v>96</v>
      </c>
      <c r="J108" s="320">
        <f>'Quotation Sheet'!I92</f>
        <v>0</v>
      </c>
      <c r="K108">
        <v>107</v>
      </c>
      <c r="L108">
        <f>IF($O$1='OPSİYON SORGU'!I108,1,0)</f>
        <v>0</v>
      </c>
      <c r="M108">
        <f t="shared" si="7"/>
        <v>0</v>
      </c>
      <c r="Q108" t="s">
        <v>96</v>
      </c>
      <c r="R108" s="320">
        <f>'Quotation Sheet'!I92</f>
        <v>0</v>
      </c>
      <c r="S108">
        <v>107</v>
      </c>
      <c r="T108">
        <f>IF($W$1='OPSİYON SORGU'!Q108,1,0)</f>
        <v>0</v>
      </c>
      <c r="U108">
        <f t="shared" si="8"/>
        <v>0</v>
      </c>
      <c r="Y108" t="s">
        <v>96</v>
      </c>
      <c r="Z108" s="320">
        <f>'Quotation Sheet'!I92</f>
        <v>0</v>
      </c>
      <c r="AA108">
        <v>107</v>
      </c>
      <c r="AB108">
        <f>IF($AE$1='OPSİYON SORGU'!Y108,1,0)</f>
        <v>0</v>
      </c>
      <c r="AC108">
        <f t="shared" si="9"/>
        <v>0</v>
      </c>
      <c r="AG108" t="s">
        <v>96</v>
      </c>
      <c r="AH108" s="320">
        <f>'Quotation Sheet'!I92</f>
        <v>0</v>
      </c>
      <c r="AI108">
        <v>107</v>
      </c>
      <c r="AJ108">
        <f>IF($AM$1='OPSİYON SORGU'!AG108,1,0)</f>
        <v>0</v>
      </c>
      <c r="AK108">
        <f t="shared" si="10"/>
        <v>0</v>
      </c>
      <c r="AO108" t="s">
        <v>96</v>
      </c>
      <c r="AP108" s="320">
        <f>'Quotation Sheet'!I92</f>
        <v>0</v>
      </c>
      <c r="AQ108">
        <v>107</v>
      </c>
      <c r="AR108">
        <f>IF($AU$1='OPSİYON SORGU'!AO108,1,0)</f>
        <v>0</v>
      </c>
      <c r="AS108">
        <f t="shared" si="11"/>
        <v>0</v>
      </c>
    </row>
    <row r="109" spans="1:45">
      <c r="A109" t="s">
        <v>96</v>
      </c>
      <c r="B109" s="320">
        <f>'Quotation Sheet'!I93</f>
        <v>0</v>
      </c>
      <c r="C109">
        <v>108</v>
      </c>
      <c r="D109">
        <f>IF($G$1='OPSİYON SORGU'!A109,1,0)</f>
        <v>0</v>
      </c>
      <c r="E109">
        <f t="shared" si="6"/>
        <v>0</v>
      </c>
      <c r="I109" t="s">
        <v>96</v>
      </c>
      <c r="J109" s="320">
        <f>'Quotation Sheet'!I93</f>
        <v>0</v>
      </c>
      <c r="K109">
        <v>108</v>
      </c>
      <c r="L109">
        <f>IF($O$1='OPSİYON SORGU'!I109,1,0)</f>
        <v>0</v>
      </c>
      <c r="M109">
        <f t="shared" si="7"/>
        <v>0</v>
      </c>
      <c r="Q109" t="s">
        <v>96</v>
      </c>
      <c r="R109" s="320">
        <f>'Quotation Sheet'!I93</f>
        <v>0</v>
      </c>
      <c r="S109">
        <v>108</v>
      </c>
      <c r="T109">
        <f>IF($W$1='OPSİYON SORGU'!Q109,1,0)</f>
        <v>0</v>
      </c>
      <c r="U109">
        <f t="shared" si="8"/>
        <v>0</v>
      </c>
      <c r="Y109" t="s">
        <v>96</v>
      </c>
      <c r="Z109" s="320">
        <f>'Quotation Sheet'!I93</f>
        <v>0</v>
      </c>
      <c r="AA109">
        <v>108</v>
      </c>
      <c r="AB109">
        <f>IF($AE$1='OPSİYON SORGU'!Y109,1,0)</f>
        <v>0</v>
      </c>
      <c r="AC109">
        <f t="shared" si="9"/>
        <v>0</v>
      </c>
      <c r="AG109" t="s">
        <v>96</v>
      </c>
      <c r="AH109" s="320">
        <f>'Quotation Sheet'!I93</f>
        <v>0</v>
      </c>
      <c r="AI109">
        <v>108</v>
      </c>
      <c r="AJ109">
        <f>IF($AM$1='OPSİYON SORGU'!AG109,1,0)</f>
        <v>0</v>
      </c>
      <c r="AK109">
        <f t="shared" si="10"/>
        <v>0</v>
      </c>
      <c r="AO109" t="s">
        <v>96</v>
      </c>
      <c r="AP109" s="320">
        <f>'Quotation Sheet'!I93</f>
        <v>0</v>
      </c>
      <c r="AQ109">
        <v>108</v>
      </c>
      <c r="AR109">
        <f>IF($AU$1='OPSİYON SORGU'!AO109,1,0)</f>
        <v>0</v>
      </c>
      <c r="AS109">
        <f t="shared" si="11"/>
        <v>0</v>
      </c>
    </row>
    <row r="110" spans="1:45">
      <c r="A110" t="s">
        <v>96</v>
      </c>
      <c r="B110" s="320">
        <f>'Quotation Sheet'!I94</f>
        <v>0</v>
      </c>
      <c r="C110">
        <v>109</v>
      </c>
      <c r="D110">
        <f>IF($G$1='OPSİYON SORGU'!A110,1,0)</f>
        <v>0</v>
      </c>
      <c r="E110">
        <f t="shared" si="6"/>
        <v>0</v>
      </c>
      <c r="I110" t="s">
        <v>96</v>
      </c>
      <c r="J110" s="320">
        <f>'Quotation Sheet'!I94</f>
        <v>0</v>
      </c>
      <c r="K110">
        <v>109</v>
      </c>
      <c r="L110">
        <f>IF($O$1='OPSİYON SORGU'!I110,1,0)</f>
        <v>0</v>
      </c>
      <c r="M110">
        <f t="shared" si="7"/>
        <v>0</v>
      </c>
      <c r="Q110" t="s">
        <v>96</v>
      </c>
      <c r="R110" s="320">
        <f>'Quotation Sheet'!I94</f>
        <v>0</v>
      </c>
      <c r="S110">
        <v>109</v>
      </c>
      <c r="T110">
        <f>IF($W$1='OPSİYON SORGU'!Q110,1,0)</f>
        <v>0</v>
      </c>
      <c r="U110">
        <f t="shared" si="8"/>
        <v>0</v>
      </c>
      <c r="Y110" t="s">
        <v>96</v>
      </c>
      <c r="Z110" s="320">
        <f>'Quotation Sheet'!I94</f>
        <v>0</v>
      </c>
      <c r="AA110">
        <v>109</v>
      </c>
      <c r="AB110">
        <f>IF($AE$1='OPSİYON SORGU'!Y110,1,0)</f>
        <v>0</v>
      </c>
      <c r="AC110">
        <f t="shared" si="9"/>
        <v>0</v>
      </c>
      <c r="AG110" t="s">
        <v>96</v>
      </c>
      <c r="AH110" s="320">
        <f>'Quotation Sheet'!I94</f>
        <v>0</v>
      </c>
      <c r="AI110">
        <v>109</v>
      </c>
      <c r="AJ110">
        <f>IF($AM$1='OPSİYON SORGU'!AG110,1,0)</f>
        <v>0</v>
      </c>
      <c r="AK110">
        <f t="shared" si="10"/>
        <v>0</v>
      </c>
      <c r="AO110" t="s">
        <v>96</v>
      </c>
      <c r="AP110" s="320">
        <f>'Quotation Sheet'!I94</f>
        <v>0</v>
      </c>
      <c r="AQ110">
        <v>109</v>
      </c>
      <c r="AR110">
        <f>IF($AU$1='OPSİYON SORGU'!AO110,1,0)</f>
        <v>0</v>
      </c>
      <c r="AS110">
        <f t="shared" si="11"/>
        <v>0</v>
      </c>
    </row>
    <row r="111" spans="1:45">
      <c r="A111" t="s">
        <v>96</v>
      </c>
      <c r="B111" s="320">
        <f>'Quotation Sheet'!I95</f>
        <v>0</v>
      </c>
      <c r="C111">
        <v>110</v>
      </c>
      <c r="D111">
        <f>IF($G$1='OPSİYON SORGU'!A111,1,0)</f>
        <v>0</v>
      </c>
      <c r="E111">
        <f t="shared" si="6"/>
        <v>0</v>
      </c>
      <c r="I111" t="s">
        <v>96</v>
      </c>
      <c r="J111" s="320">
        <f>'Quotation Sheet'!I95</f>
        <v>0</v>
      </c>
      <c r="K111">
        <v>110</v>
      </c>
      <c r="L111">
        <f>IF($O$1='OPSİYON SORGU'!I111,1,0)</f>
        <v>0</v>
      </c>
      <c r="M111">
        <f t="shared" si="7"/>
        <v>0</v>
      </c>
      <c r="Q111" t="s">
        <v>96</v>
      </c>
      <c r="R111" s="320">
        <f>'Quotation Sheet'!I95</f>
        <v>0</v>
      </c>
      <c r="S111">
        <v>110</v>
      </c>
      <c r="T111">
        <f>IF($W$1='OPSİYON SORGU'!Q111,1,0)</f>
        <v>0</v>
      </c>
      <c r="U111">
        <f t="shared" si="8"/>
        <v>0</v>
      </c>
      <c r="Y111" t="s">
        <v>96</v>
      </c>
      <c r="Z111" s="320">
        <f>'Quotation Sheet'!I95</f>
        <v>0</v>
      </c>
      <c r="AA111">
        <v>110</v>
      </c>
      <c r="AB111">
        <f>IF($AE$1='OPSİYON SORGU'!Y111,1,0)</f>
        <v>0</v>
      </c>
      <c r="AC111">
        <f t="shared" si="9"/>
        <v>0</v>
      </c>
      <c r="AG111" t="s">
        <v>96</v>
      </c>
      <c r="AH111" s="320">
        <f>'Quotation Sheet'!I95</f>
        <v>0</v>
      </c>
      <c r="AI111">
        <v>110</v>
      </c>
      <c r="AJ111">
        <f>IF($AM$1='OPSİYON SORGU'!AG111,1,0)</f>
        <v>0</v>
      </c>
      <c r="AK111">
        <f t="shared" si="10"/>
        <v>0</v>
      </c>
      <c r="AO111" t="s">
        <v>96</v>
      </c>
      <c r="AP111" s="320">
        <f>'Quotation Sheet'!I95</f>
        <v>0</v>
      </c>
      <c r="AQ111">
        <v>110</v>
      </c>
      <c r="AR111">
        <f>IF($AU$1='OPSİYON SORGU'!AO111,1,0)</f>
        <v>0</v>
      </c>
      <c r="AS111">
        <f t="shared" si="11"/>
        <v>0</v>
      </c>
    </row>
    <row r="112" spans="1:45">
      <c r="A112" t="s">
        <v>96</v>
      </c>
      <c r="B112" s="320">
        <f>'Quotation Sheet'!I97</f>
        <v>0</v>
      </c>
      <c r="C112">
        <v>111</v>
      </c>
      <c r="D112">
        <f>IF($G$1='OPSİYON SORGU'!A112,1,0)</f>
        <v>0</v>
      </c>
      <c r="E112">
        <f t="shared" si="6"/>
        <v>0</v>
      </c>
      <c r="I112" t="s">
        <v>96</v>
      </c>
      <c r="J112" s="320">
        <f>'Quotation Sheet'!I97</f>
        <v>0</v>
      </c>
      <c r="K112">
        <v>111</v>
      </c>
      <c r="L112">
        <f>IF($O$1='OPSİYON SORGU'!I112,1,0)</f>
        <v>0</v>
      </c>
      <c r="M112">
        <f t="shared" si="7"/>
        <v>0</v>
      </c>
      <c r="Q112" t="s">
        <v>96</v>
      </c>
      <c r="R112" s="320">
        <f>'Quotation Sheet'!I97</f>
        <v>0</v>
      </c>
      <c r="S112">
        <v>111</v>
      </c>
      <c r="T112">
        <f>IF($W$1='OPSİYON SORGU'!Q112,1,0)</f>
        <v>0</v>
      </c>
      <c r="U112">
        <f t="shared" si="8"/>
        <v>0</v>
      </c>
      <c r="Y112" t="s">
        <v>96</v>
      </c>
      <c r="Z112" s="320">
        <f>'Quotation Sheet'!I97</f>
        <v>0</v>
      </c>
      <c r="AA112">
        <v>111</v>
      </c>
      <c r="AB112">
        <f>IF($AE$1='OPSİYON SORGU'!Y112,1,0)</f>
        <v>0</v>
      </c>
      <c r="AC112">
        <f t="shared" si="9"/>
        <v>0</v>
      </c>
      <c r="AG112" t="s">
        <v>96</v>
      </c>
      <c r="AH112" s="320">
        <f>'Quotation Sheet'!I97</f>
        <v>0</v>
      </c>
      <c r="AI112">
        <v>111</v>
      </c>
      <c r="AJ112">
        <f>IF($AM$1='OPSİYON SORGU'!AG112,1,0)</f>
        <v>0</v>
      </c>
      <c r="AK112">
        <f t="shared" si="10"/>
        <v>0</v>
      </c>
      <c r="AO112" t="s">
        <v>96</v>
      </c>
      <c r="AP112" s="320">
        <f>'Quotation Sheet'!I97</f>
        <v>0</v>
      </c>
      <c r="AQ112">
        <v>111</v>
      </c>
      <c r="AR112">
        <f>IF($AU$1='OPSİYON SORGU'!AO112,1,0)</f>
        <v>0</v>
      </c>
      <c r="AS112">
        <f t="shared" si="11"/>
        <v>0</v>
      </c>
    </row>
    <row r="113" spans="1:45">
      <c r="A113" t="s">
        <v>96</v>
      </c>
      <c r="B113" s="320">
        <f>'Quotation Sheet'!I98</f>
        <v>0</v>
      </c>
      <c r="C113">
        <v>112</v>
      </c>
      <c r="D113">
        <f>IF($G$1='OPSİYON SORGU'!A113,1,0)</f>
        <v>0</v>
      </c>
      <c r="E113">
        <f t="shared" si="6"/>
        <v>0</v>
      </c>
      <c r="I113" t="s">
        <v>96</v>
      </c>
      <c r="J113" s="320">
        <f>'Quotation Sheet'!I98</f>
        <v>0</v>
      </c>
      <c r="K113">
        <v>112</v>
      </c>
      <c r="L113">
        <f>IF($O$1='OPSİYON SORGU'!I113,1,0)</f>
        <v>0</v>
      </c>
      <c r="M113">
        <f t="shared" si="7"/>
        <v>0</v>
      </c>
      <c r="Q113" t="s">
        <v>96</v>
      </c>
      <c r="R113" s="320">
        <f>'Quotation Sheet'!I98</f>
        <v>0</v>
      </c>
      <c r="S113">
        <v>112</v>
      </c>
      <c r="T113">
        <f>IF($W$1='OPSİYON SORGU'!Q113,1,0)</f>
        <v>0</v>
      </c>
      <c r="U113">
        <f t="shared" si="8"/>
        <v>0</v>
      </c>
      <c r="Y113" t="s">
        <v>96</v>
      </c>
      <c r="Z113" s="320">
        <f>'Quotation Sheet'!I98</f>
        <v>0</v>
      </c>
      <c r="AA113">
        <v>112</v>
      </c>
      <c r="AB113">
        <f>IF($AE$1='OPSİYON SORGU'!Y113,1,0)</f>
        <v>0</v>
      </c>
      <c r="AC113">
        <f t="shared" si="9"/>
        <v>0</v>
      </c>
      <c r="AG113" t="s">
        <v>96</v>
      </c>
      <c r="AH113" s="320">
        <f>'Quotation Sheet'!I98</f>
        <v>0</v>
      </c>
      <c r="AI113">
        <v>112</v>
      </c>
      <c r="AJ113">
        <f>IF($AM$1='OPSİYON SORGU'!AG113,1,0)</f>
        <v>0</v>
      </c>
      <c r="AK113">
        <f t="shared" si="10"/>
        <v>0</v>
      </c>
      <c r="AO113" t="s">
        <v>96</v>
      </c>
      <c r="AP113" s="320">
        <f>'Quotation Sheet'!I98</f>
        <v>0</v>
      </c>
      <c r="AQ113">
        <v>112</v>
      </c>
      <c r="AR113">
        <f>IF($AU$1='OPSİYON SORGU'!AO113,1,0)</f>
        <v>0</v>
      </c>
      <c r="AS113">
        <f t="shared" si="11"/>
        <v>0</v>
      </c>
    </row>
    <row r="114" spans="1:45">
      <c r="A114" t="s">
        <v>96</v>
      </c>
      <c r="B114" s="320">
        <f>'Quotation Sheet'!J100</f>
        <v>0</v>
      </c>
      <c r="C114">
        <v>113</v>
      </c>
      <c r="D114">
        <f>IF($G$1='OPSİYON SORGU'!A114,1,0)</f>
        <v>0</v>
      </c>
      <c r="E114">
        <f t="shared" si="6"/>
        <v>0</v>
      </c>
      <c r="I114" t="s">
        <v>96</v>
      </c>
      <c r="J114" s="320">
        <f>'Quotation Sheet'!J100</f>
        <v>0</v>
      </c>
      <c r="K114">
        <v>113</v>
      </c>
      <c r="L114">
        <f>IF($O$1='OPSİYON SORGU'!I114,1,0)</f>
        <v>0</v>
      </c>
      <c r="M114">
        <f t="shared" si="7"/>
        <v>0</v>
      </c>
      <c r="Q114" t="s">
        <v>96</v>
      </c>
      <c r="R114" s="320">
        <f>'Quotation Sheet'!J100</f>
        <v>0</v>
      </c>
      <c r="S114">
        <v>113</v>
      </c>
      <c r="T114">
        <f>IF($W$1='OPSİYON SORGU'!Q114,1,0)</f>
        <v>0</v>
      </c>
      <c r="U114">
        <f t="shared" si="8"/>
        <v>0</v>
      </c>
      <c r="Y114" t="s">
        <v>96</v>
      </c>
      <c r="Z114" s="320">
        <f>'Quotation Sheet'!J100</f>
        <v>0</v>
      </c>
      <c r="AA114">
        <v>113</v>
      </c>
      <c r="AB114">
        <f>IF($AE$1='OPSİYON SORGU'!Y114,1,0)</f>
        <v>0</v>
      </c>
      <c r="AC114">
        <f t="shared" si="9"/>
        <v>0</v>
      </c>
      <c r="AG114" t="s">
        <v>96</v>
      </c>
      <c r="AH114" s="320">
        <f>'Quotation Sheet'!J100</f>
        <v>0</v>
      </c>
      <c r="AI114">
        <v>113</v>
      </c>
      <c r="AJ114">
        <f>IF($AM$1='OPSİYON SORGU'!AG114,1,0)</f>
        <v>0</v>
      </c>
      <c r="AK114">
        <f t="shared" si="10"/>
        <v>0</v>
      </c>
      <c r="AO114" t="s">
        <v>96</v>
      </c>
      <c r="AP114" s="320">
        <f>'Quotation Sheet'!J100</f>
        <v>0</v>
      </c>
      <c r="AQ114">
        <v>113</v>
      </c>
      <c r="AR114">
        <f>IF($AU$1='OPSİYON SORGU'!AO114,1,0)</f>
        <v>0</v>
      </c>
      <c r="AS114">
        <f t="shared" si="11"/>
        <v>0</v>
      </c>
    </row>
    <row r="115" spans="1:45">
      <c r="A115" t="s">
        <v>96</v>
      </c>
      <c r="B115" s="320">
        <f>'Quotation Sheet'!I100</f>
        <v>0</v>
      </c>
      <c r="C115">
        <v>114</v>
      </c>
      <c r="D115">
        <f>IF($G$1='OPSİYON SORGU'!A115,1,0)</f>
        <v>0</v>
      </c>
      <c r="E115">
        <f t="shared" si="6"/>
        <v>0</v>
      </c>
      <c r="I115" t="s">
        <v>96</v>
      </c>
      <c r="J115" s="320">
        <f>'Quotation Sheet'!I100</f>
        <v>0</v>
      </c>
      <c r="K115">
        <v>114</v>
      </c>
      <c r="L115">
        <f>IF($O$1='OPSİYON SORGU'!I115,1,0)</f>
        <v>0</v>
      </c>
      <c r="M115">
        <f t="shared" si="7"/>
        <v>0</v>
      </c>
      <c r="Q115" t="s">
        <v>96</v>
      </c>
      <c r="R115" s="320">
        <f>'Quotation Sheet'!I100</f>
        <v>0</v>
      </c>
      <c r="S115">
        <v>114</v>
      </c>
      <c r="T115">
        <f>IF($W$1='OPSİYON SORGU'!Q115,1,0)</f>
        <v>0</v>
      </c>
      <c r="U115">
        <f t="shared" si="8"/>
        <v>0</v>
      </c>
      <c r="Y115" t="s">
        <v>96</v>
      </c>
      <c r="Z115" s="320">
        <f>'Quotation Sheet'!I100</f>
        <v>0</v>
      </c>
      <c r="AA115">
        <v>114</v>
      </c>
      <c r="AB115">
        <f>IF($AE$1='OPSİYON SORGU'!Y115,1,0)</f>
        <v>0</v>
      </c>
      <c r="AC115">
        <f t="shared" si="9"/>
        <v>0</v>
      </c>
      <c r="AG115" t="s">
        <v>96</v>
      </c>
      <c r="AH115" s="320">
        <f>'Quotation Sheet'!I100</f>
        <v>0</v>
      </c>
      <c r="AI115">
        <v>114</v>
      </c>
      <c r="AJ115">
        <f>IF($AM$1='OPSİYON SORGU'!AG115,1,0)</f>
        <v>0</v>
      </c>
      <c r="AK115">
        <f t="shared" si="10"/>
        <v>0</v>
      </c>
      <c r="AO115" t="s">
        <v>96</v>
      </c>
      <c r="AP115" s="320">
        <f>'Quotation Sheet'!I100</f>
        <v>0</v>
      </c>
      <c r="AQ115">
        <v>114</v>
      </c>
      <c r="AR115">
        <f>IF($AU$1='OPSİYON SORGU'!AO115,1,0)</f>
        <v>0</v>
      </c>
      <c r="AS115">
        <f t="shared" si="11"/>
        <v>0</v>
      </c>
    </row>
    <row r="116" spans="1:45">
      <c r="A116" t="s">
        <v>96</v>
      </c>
      <c r="B116" s="320">
        <f>'Quotation Sheet'!I101</f>
        <v>0</v>
      </c>
      <c r="C116">
        <v>115</v>
      </c>
      <c r="D116">
        <f>IF($G$1='OPSİYON SORGU'!A116,1,0)</f>
        <v>0</v>
      </c>
      <c r="E116">
        <f t="shared" si="6"/>
        <v>0</v>
      </c>
      <c r="I116" t="s">
        <v>96</v>
      </c>
      <c r="J116" s="320">
        <f>'Quotation Sheet'!I101</f>
        <v>0</v>
      </c>
      <c r="K116">
        <v>115</v>
      </c>
      <c r="L116">
        <f>IF($O$1='OPSİYON SORGU'!I116,1,0)</f>
        <v>0</v>
      </c>
      <c r="M116">
        <f t="shared" si="7"/>
        <v>0</v>
      </c>
      <c r="Q116" t="s">
        <v>96</v>
      </c>
      <c r="R116" s="320">
        <f>'Quotation Sheet'!I101</f>
        <v>0</v>
      </c>
      <c r="S116">
        <v>115</v>
      </c>
      <c r="T116">
        <f>IF($W$1='OPSİYON SORGU'!Q116,1,0)</f>
        <v>0</v>
      </c>
      <c r="U116">
        <f t="shared" si="8"/>
        <v>0</v>
      </c>
      <c r="Y116" t="s">
        <v>96</v>
      </c>
      <c r="Z116" s="320">
        <f>'Quotation Sheet'!I101</f>
        <v>0</v>
      </c>
      <c r="AA116">
        <v>115</v>
      </c>
      <c r="AB116">
        <f>IF($AE$1='OPSİYON SORGU'!Y116,1,0)</f>
        <v>0</v>
      </c>
      <c r="AC116">
        <f t="shared" si="9"/>
        <v>0</v>
      </c>
      <c r="AG116" t="s">
        <v>96</v>
      </c>
      <c r="AH116" s="320">
        <f>'Quotation Sheet'!I101</f>
        <v>0</v>
      </c>
      <c r="AI116">
        <v>115</v>
      </c>
      <c r="AJ116">
        <f>IF($AM$1='OPSİYON SORGU'!AG116,1,0)</f>
        <v>0</v>
      </c>
      <c r="AK116">
        <f t="shared" si="10"/>
        <v>0</v>
      </c>
      <c r="AO116" t="s">
        <v>96</v>
      </c>
      <c r="AP116" s="320">
        <f>'Quotation Sheet'!I101</f>
        <v>0</v>
      </c>
      <c r="AQ116">
        <v>115</v>
      </c>
      <c r="AR116">
        <f>IF($AU$1='OPSİYON SORGU'!AO116,1,0)</f>
        <v>0</v>
      </c>
      <c r="AS116">
        <f t="shared" si="11"/>
        <v>0</v>
      </c>
    </row>
    <row r="117" spans="1:45">
      <c r="A117" t="s">
        <v>96</v>
      </c>
      <c r="B117" s="320">
        <f>'Quotation Sheet'!I103</f>
        <v>0</v>
      </c>
      <c r="C117">
        <v>116</v>
      </c>
      <c r="D117">
        <f>IF($G$1='OPSİYON SORGU'!A117,1,0)</f>
        <v>0</v>
      </c>
      <c r="E117">
        <f t="shared" si="6"/>
        <v>0</v>
      </c>
      <c r="I117" t="s">
        <v>96</v>
      </c>
      <c r="J117" s="320">
        <f>'Quotation Sheet'!I103</f>
        <v>0</v>
      </c>
      <c r="K117">
        <v>116</v>
      </c>
      <c r="L117">
        <f>IF($O$1='OPSİYON SORGU'!I117,1,0)</f>
        <v>0</v>
      </c>
      <c r="M117">
        <f t="shared" si="7"/>
        <v>0</v>
      </c>
      <c r="Q117" t="s">
        <v>96</v>
      </c>
      <c r="R117" s="320">
        <f>'Quotation Sheet'!I103</f>
        <v>0</v>
      </c>
      <c r="S117">
        <v>116</v>
      </c>
      <c r="T117">
        <f>IF($W$1='OPSİYON SORGU'!Q117,1,0)</f>
        <v>0</v>
      </c>
      <c r="U117">
        <f t="shared" si="8"/>
        <v>0</v>
      </c>
      <c r="Y117" t="s">
        <v>96</v>
      </c>
      <c r="Z117" s="320">
        <f>'Quotation Sheet'!I103</f>
        <v>0</v>
      </c>
      <c r="AA117">
        <v>116</v>
      </c>
      <c r="AB117">
        <f>IF($AE$1='OPSİYON SORGU'!Y117,1,0)</f>
        <v>0</v>
      </c>
      <c r="AC117">
        <f t="shared" si="9"/>
        <v>0</v>
      </c>
      <c r="AG117" t="s">
        <v>96</v>
      </c>
      <c r="AH117" s="320">
        <f>'Quotation Sheet'!I103</f>
        <v>0</v>
      </c>
      <c r="AI117">
        <v>116</v>
      </c>
      <c r="AJ117">
        <f>IF($AM$1='OPSİYON SORGU'!AG117,1,0)</f>
        <v>0</v>
      </c>
      <c r="AK117">
        <f t="shared" si="10"/>
        <v>0</v>
      </c>
      <c r="AO117" t="s">
        <v>96</v>
      </c>
      <c r="AP117" s="320">
        <f>'Quotation Sheet'!I103</f>
        <v>0</v>
      </c>
      <c r="AQ117">
        <v>116</v>
      </c>
      <c r="AR117">
        <f>IF($AU$1='OPSİYON SORGU'!AO117,1,0)</f>
        <v>0</v>
      </c>
      <c r="AS117">
        <f t="shared" si="11"/>
        <v>0</v>
      </c>
    </row>
    <row r="118" spans="1:45">
      <c r="A118" t="s">
        <v>96</v>
      </c>
      <c r="B118" s="320">
        <f>'Quotation Sheet'!I104</f>
        <v>0</v>
      </c>
      <c r="C118">
        <v>117</v>
      </c>
      <c r="D118">
        <f>IF($G$1='OPSİYON SORGU'!A118,1,0)</f>
        <v>0</v>
      </c>
      <c r="E118">
        <f t="shared" si="6"/>
        <v>0</v>
      </c>
      <c r="I118" t="s">
        <v>96</v>
      </c>
      <c r="J118" s="320">
        <f>'Quotation Sheet'!I104</f>
        <v>0</v>
      </c>
      <c r="K118">
        <v>117</v>
      </c>
      <c r="L118">
        <f>IF($O$1='OPSİYON SORGU'!I118,1,0)</f>
        <v>0</v>
      </c>
      <c r="M118">
        <f t="shared" si="7"/>
        <v>0</v>
      </c>
      <c r="Q118" t="s">
        <v>96</v>
      </c>
      <c r="R118" s="320">
        <f>'Quotation Sheet'!I104</f>
        <v>0</v>
      </c>
      <c r="S118">
        <v>117</v>
      </c>
      <c r="T118">
        <f>IF($W$1='OPSİYON SORGU'!Q118,1,0)</f>
        <v>0</v>
      </c>
      <c r="U118">
        <f t="shared" si="8"/>
        <v>0</v>
      </c>
      <c r="Y118" t="s">
        <v>96</v>
      </c>
      <c r="Z118" s="320">
        <f>'Quotation Sheet'!I104</f>
        <v>0</v>
      </c>
      <c r="AA118">
        <v>117</v>
      </c>
      <c r="AB118">
        <f>IF($AE$1='OPSİYON SORGU'!Y118,1,0)</f>
        <v>0</v>
      </c>
      <c r="AC118">
        <f t="shared" si="9"/>
        <v>0</v>
      </c>
      <c r="AG118" t="s">
        <v>96</v>
      </c>
      <c r="AH118" s="320">
        <f>'Quotation Sheet'!I104</f>
        <v>0</v>
      </c>
      <c r="AI118">
        <v>117</v>
      </c>
      <c r="AJ118">
        <f>IF($AM$1='OPSİYON SORGU'!AG118,1,0)</f>
        <v>0</v>
      </c>
      <c r="AK118">
        <f t="shared" si="10"/>
        <v>0</v>
      </c>
      <c r="AO118" t="s">
        <v>96</v>
      </c>
      <c r="AP118" s="320">
        <f>'Quotation Sheet'!I104</f>
        <v>0</v>
      </c>
      <c r="AQ118">
        <v>117</v>
      </c>
      <c r="AR118">
        <f>IF($AU$1='OPSİYON SORGU'!AO118,1,0)</f>
        <v>0</v>
      </c>
      <c r="AS118">
        <f t="shared" si="11"/>
        <v>0</v>
      </c>
    </row>
    <row r="119" spans="1:45">
      <c r="A119" t="s">
        <v>96</v>
      </c>
      <c r="B119" s="320">
        <f>'Quotation Sheet'!I105</f>
        <v>0</v>
      </c>
      <c r="C119">
        <v>118</v>
      </c>
      <c r="D119">
        <f>IF($G$1='OPSİYON SORGU'!A119,1,0)</f>
        <v>0</v>
      </c>
      <c r="E119">
        <f t="shared" si="6"/>
        <v>0</v>
      </c>
      <c r="I119" t="s">
        <v>96</v>
      </c>
      <c r="J119" s="320">
        <f>'Quotation Sheet'!I105</f>
        <v>0</v>
      </c>
      <c r="K119">
        <v>118</v>
      </c>
      <c r="L119">
        <f>IF($O$1='OPSİYON SORGU'!I119,1,0)</f>
        <v>0</v>
      </c>
      <c r="M119">
        <f t="shared" si="7"/>
        <v>0</v>
      </c>
      <c r="Q119" t="s">
        <v>96</v>
      </c>
      <c r="R119" s="320">
        <f>'Quotation Sheet'!I105</f>
        <v>0</v>
      </c>
      <c r="S119">
        <v>118</v>
      </c>
      <c r="T119">
        <f>IF($W$1='OPSİYON SORGU'!Q119,1,0)</f>
        <v>0</v>
      </c>
      <c r="U119">
        <f t="shared" si="8"/>
        <v>0</v>
      </c>
      <c r="Y119" t="s">
        <v>96</v>
      </c>
      <c r="Z119" s="320">
        <f>'Quotation Sheet'!I105</f>
        <v>0</v>
      </c>
      <c r="AA119">
        <v>118</v>
      </c>
      <c r="AB119">
        <f>IF($AE$1='OPSİYON SORGU'!Y119,1,0)</f>
        <v>0</v>
      </c>
      <c r="AC119">
        <f t="shared" si="9"/>
        <v>0</v>
      </c>
      <c r="AG119" t="s">
        <v>96</v>
      </c>
      <c r="AH119" s="320">
        <f>'Quotation Sheet'!I105</f>
        <v>0</v>
      </c>
      <c r="AI119">
        <v>118</v>
      </c>
      <c r="AJ119">
        <f>IF($AM$1='OPSİYON SORGU'!AG119,1,0)</f>
        <v>0</v>
      </c>
      <c r="AK119">
        <f t="shared" si="10"/>
        <v>0</v>
      </c>
      <c r="AO119" t="s">
        <v>96</v>
      </c>
      <c r="AP119" s="320">
        <f>'Quotation Sheet'!I105</f>
        <v>0</v>
      </c>
      <c r="AQ119">
        <v>118</v>
      </c>
      <c r="AR119">
        <f>IF($AU$1='OPSİYON SORGU'!AO119,1,0)</f>
        <v>0</v>
      </c>
      <c r="AS119">
        <f t="shared" si="11"/>
        <v>0</v>
      </c>
    </row>
    <row r="120" spans="1:45">
      <c r="A120" t="s">
        <v>96</v>
      </c>
      <c r="B120" s="320">
        <f>'Quotation Sheet'!I106</f>
        <v>0</v>
      </c>
      <c r="C120">
        <v>119</v>
      </c>
      <c r="D120">
        <f>IF($G$1='OPSİYON SORGU'!A120,1,0)</f>
        <v>0</v>
      </c>
      <c r="E120">
        <f t="shared" si="6"/>
        <v>0</v>
      </c>
      <c r="I120" t="s">
        <v>96</v>
      </c>
      <c r="J120" s="320">
        <f>'Quotation Sheet'!I106</f>
        <v>0</v>
      </c>
      <c r="K120">
        <v>119</v>
      </c>
      <c r="L120">
        <f>IF($O$1='OPSİYON SORGU'!I120,1,0)</f>
        <v>0</v>
      </c>
      <c r="M120">
        <f t="shared" si="7"/>
        <v>0</v>
      </c>
      <c r="Q120" t="s">
        <v>96</v>
      </c>
      <c r="R120" s="320">
        <f>'Quotation Sheet'!I106</f>
        <v>0</v>
      </c>
      <c r="S120">
        <v>119</v>
      </c>
      <c r="T120">
        <f>IF($W$1='OPSİYON SORGU'!Q120,1,0)</f>
        <v>0</v>
      </c>
      <c r="U120">
        <f t="shared" si="8"/>
        <v>0</v>
      </c>
      <c r="Y120" t="s">
        <v>96</v>
      </c>
      <c r="Z120" s="320">
        <f>'Quotation Sheet'!I106</f>
        <v>0</v>
      </c>
      <c r="AA120">
        <v>119</v>
      </c>
      <c r="AB120">
        <f>IF($AE$1='OPSİYON SORGU'!Y120,1,0)</f>
        <v>0</v>
      </c>
      <c r="AC120">
        <f t="shared" si="9"/>
        <v>0</v>
      </c>
      <c r="AG120" t="s">
        <v>96</v>
      </c>
      <c r="AH120" s="320">
        <f>'Quotation Sheet'!I106</f>
        <v>0</v>
      </c>
      <c r="AI120">
        <v>119</v>
      </c>
      <c r="AJ120">
        <f>IF($AM$1='OPSİYON SORGU'!AG120,1,0)</f>
        <v>0</v>
      </c>
      <c r="AK120">
        <f t="shared" si="10"/>
        <v>0</v>
      </c>
      <c r="AO120" t="s">
        <v>96</v>
      </c>
      <c r="AP120" s="320">
        <f>'Quotation Sheet'!I106</f>
        <v>0</v>
      </c>
      <c r="AQ120">
        <v>119</v>
      </c>
      <c r="AR120">
        <f>IF($AU$1='OPSİYON SORGU'!AO120,1,0)</f>
        <v>0</v>
      </c>
      <c r="AS120">
        <f t="shared" si="11"/>
        <v>0</v>
      </c>
    </row>
    <row r="121" spans="1:45">
      <c r="A121" t="s">
        <v>96</v>
      </c>
      <c r="B121" s="320">
        <f>'Quotation Sheet'!I107</f>
        <v>0</v>
      </c>
      <c r="C121">
        <v>120</v>
      </c>
      <c r="D121">
        <f>IF($G$1='OPSİYON SORGU'!A121,1,0)</f>
        <v>0</v>
      </c>
      <c r="E121">
        <f t="shared" si="6"/>
        <v>0</v>
      </c>
      <c r="I121" t="s">
        <v>96</v>
      </c>
      <c r="J121" s="320">
        <f>'Quotation Sheet'!I107</f>
        <v>0</v>
      </c>
      <c r="K121">
        <v>120</v>
      </c>
      <c r="L121">
        <f>IF($O$1='OPSİYON SORGU'!I121,1,0)</f>
        <v>0</v>
      </c>
      <c r="M121">
        <f t="shared" si="7"/>
        <v>0</v>
      </c>
      <c r="Q121" t="s">
        <v>96</v>
      </c>
      <c r="R121" s="320">
        <f>'Quotation Sheet'!I107</f>
        <v>0</v>
      </c>
      <c r="S121">
        <v>120</v>
      </c>
      <c r="T121">
        <f>IF($W$1='OPSİYON SORGU'!Q121,1,0)</f>
        <v>0</v>
      </c>
      <c r="U121">
        <f t="shared" si="8"/>
        <v>0</v>
      </c>
      <c r="Y121" t="s">
        <v>96</v>
      </c>
      <c r="Z121" s="320">
        <f>'Quotation Sheet'!I107</f>
        <v>0</v>
      </c>
      <c r="AA121">
        <v>120</v>
      </c>
      <c r="AB121">
        <f>IF($AE$1='OPSİYON SORGU'!Y121,1,0)</f>
        <v>0</v>
      </c>
      <c r="AC121">
        <f t="shared" si="9"/>
        <v>0</v>
      </c>
      <c r="AG121" t="s">
        <v>96</v>
      </c>
      <c r="AH121" s="320">
        <f>'Quotation Sheet'!I107</f>
        <v>0</v>
      </c>
      <c r="AI121">
        <v>120</v>
      </c>
      <c r="AJ121">
        <f>IF($AM$1='OPSİYON SORGU'!AG121,1,0)</f>
        <v>0</v>
      </c>
      <c r="AK121">
        <f t="shared" si="10"/>
        <v>0</v>
      </c>
      <c r="AO121" t="s">
        <v>96</v>
      </c>
      <c r="AP121" s="320">
        <f>'Quotation Sheet'!I107</f>
        <v>0</v>
      </c>
      <c r="AQ121">
        <v>120</v>
      </c>
      <c r="AR121">
        <f>IF($AU$1='OPSİYON SORGU'!AO121,1,0)</f>
        <v>0</v>
      </c>
      <c r="AS121">
        <f t="shared" si="11"/>
        <v>0</v>
      </c>
    </row>
    <row r="122" spans="1:45">
      <c r="A122" t="s">
        <v>96</v>
      </c>
      <c r="B122" s="320">
        <f>'Quotation Sheet'!I109</f>
        <v>0</v>
      </c>
      <c r="C122">
        <v>121</v>
      </c>
      <c r="D122">
        <f>IF($G$1='OPSİYON SORGU'!A122,1,0)</f>
        <v>0</v>
      </c>
      <c r="E122">
        <f t="shared" si="6"/>
        <v>0</v>
      </c>
      <c r="I122" t="s">
        <v>96</v>
      </c>
      <c r="J122" s="320">
        <f>'Quotation Sheet'!I109</f>
        <v>0</v>
      </c>
      <c r="K122">
        <v>121</v>
      </c>
      <c r="L122">
        <f>IF($O$1='OPSİYON SORGU'!I122,1,0)</f>
        <v>0</v>
      </c>
      <c r="M122">
        <f t="shared" si="7"/>
        <v>0</v>
      </c>
      <c r="Q122" t="s">
        <v>96</v>
      </c>
      <c r="R122" s="320">
        <f>'Quotation Sheet'!I109</f>
        <v>0</v>
      </c>
      <c r="S122">
        <v>121</v>
      </c>
      <c r="T122">
        <f>IF($W$1='OPSİYON SORGU'!Q122,1,0)</f>
        <v>0</v>
      </c>
      <c r="U122">
        <f t="shared" si="8"/>
        <v>0</v>
      </c>
      <c r="Y122" t="s">
        <v>96</v>
      </c>
      <c r="Z122" s="320">
        <f>'Quotation Sheet'!I109</f>
        <v>0</v>
      </c>
      <c r="AA122">
        <v>121</v>
      </c>
      <c r="AB122">
        <f>IF($AE$1='OPSİYON SORGU'!Y122,1,0)</f>
        <v>0</v>
      </c>
      <c r="AC122">
        <f t="shared" si="9"/>
        <v>0</v>
      </c>
      <c r="AG122" t="s">
        <v>96</v>
      </c>
      <c r="AH122" s="320">
        <f>'Quotation Sheet'!I109</f>
        <v>0</v>
      </c>
      <c r="AI122">
        <v>121</v>
      </c>
      <c r="AJ122">
        <f>IF($AM$1='OPSİYON SORGU'!AG122,1,0)</f>
        <v>0</v>
      </c>
      <c r="AK122">
        <f t="shared" si="10"/>
        <v>0</v>
      </c>
      <c r="AO122" t="s">
        <v>96</v>
      </c>
      <c r="AP122" s="320">
        <f>'Quotation Sheet'!I109</f>
        <v>0</v>
      </c>
      <c r="AQ122">
        <v>121</v>
      </c>
      <c r="AR122">
        <f>IF($AU$1='OPSİYON SORGU'!AO122,1,0)</f>
        <v>0</v>
      </c>
      <c r="AS122">
        <f t="shared" si="11"/>
        <v>0</v>
      </c>
    </row>
    <row r="123" spans="1:45">
      <c r="A123" t="s">
        <v>96</v>
      </c>
      <c r="B123" s="320">
        <f>'Quotation Sheet'!I110</f>
        <v>0</v>
      </c>
      <c r="C123">
        <v>122</v>
      </c>
      <c r="D123">
        <f>IF($G$1='OPSİYON SORGU'!A123,1,0)</f>
        <v>0</v>
      </c>
      <c r="E123">
        <f t="shared" si="6"/>
        <v>0</v>
      </c>
      <c r="I123" t="s">
        <v>96</v>
      </c>
      <c r="J123" s="320">
        <f>'Quotation Sheet'!I110</f>
        <v>0</v>
      </c>
      <c r="K123">
        <v>122</v>
      </c>
      <c r="L123">
        <f>IF($O$1='OPSİYON SORGU'!I123,1,0)</f>
        <v>0</v>
      </c>
      <c r="M123">
        <f t="shared" si="7"/>
        <v>0</v>
      </c>
      <c r="Q123" t="s">
        <v>96</v>
      </c>
      <c r="R123" s="320">
        <f>'Quotation Sheet'!I110</f>
        <v>0</v>
      </c>
      <c r="S123">
        <v>122</v>
      </c>
      <c r="T123">
        <f>IF($W$1='OPSİYON SORGU'!Q123,1,0)</f>
        <v>0</v>
      </c>
      <c r="U123">
        <f t="shared" si="8"/>
        <v>0</v>
      </c>
      <c r="Y123" t="s">
        <v>96</v>
      </c>
      <c r="Z123" s="320">
        <f>'Quotation Sheet'!I110</f>
        <v>0</v>
      </c>
      <c r="AA123">
        <v>122</v>
      </c>
      <c r="AB123">
        <f>IF($AE$1='OPSİYON SORGU'!Y123,1,0)</f>
        <v>0</v>
      </c>
      <c r="AC123">
        <f t="shared" si="9"/>
        <v>0</v>
      </c>
      <c r="AG123" t="s">
        <v>96</v>
      </c>
      <c r="AH123" s="320">
        <f>'Quotation Sheet'!I110</f>
        <v>0</v>
      </c>
      <c r="AI123">
        <v>122</v>
      </c>
      <c r="AJ123">
        <f>IF($AM$1='OPSİYON SORGU'!AG123,1,0)</f>
        <v>0</v>
      </c>
      <c r="AK123">
        <f t="shared" si="10"/>
        <v>0</v>
      </c>
      <c r="AO123" t="s">
        <v>96</v>
      </c>
      <c r="AP123" s="320">
        <f>'Quotation Sheet'!I110</f>
        <v>0</v>
      </c>
      <c r="AQ123">
        <v>122</v>
      </c>
      <c r="AR123">
        <f>IF($AU$1='OPSİYON SORGU'!AO123,1,0)</f>
        <v>0</v>
      </c>
      <c r="AS123">
        <f t="shared" si="11"/>
        <v>0</v>
      </c>
    </row>
    <row r="124" spans="1:45">
      <c r="A124" t="s">
        <v>96</v>
      </c>
      <c r="B124" s="320">
        <f>'Quotation Sheet'!I111</f>
        <v>0</v>
      </c>
      <c r="C124">
        <v>123</v>
      </c>
      <c r="D124">
        <f>IF($G$1='OPSİYON SORGU'!A124,1,0)</f>
        <v>0</v>
      </c>
      <c r="E124">
        <f t="shared" si="6"/>
        <v>0</v>
      </c>
      <c r="I124" t="s">
        <v>96</v>
      </c>
      <c r="J124" s="320">
        <f>'Quotation Sheet'!I111</f>
        <v>0</v>
      </c>
      <c r="K124">
        <v>123</v>
      </c>
      <c r="L124">
        <f>IF($O$1='OPSİYON SORGU'!I124,1,0)</f>
        <v>0</v>
      </c>
      <c r="M124">
        <f t="shared" si="7"/>
        <v>0</v>
      </c>
      <c r="Q124" t="s">
        <v>96</v>
      </c>
      <c r="R124" s="320">
        <f>'Quotation Sheet'!I111</f>
        <v>0</v>
      </c>
      <c r="S124">
        <v>123</v>
      </c>
      <c r="T124">
        <f>IF($W$1='OPSİYON SORGU'!Q124,1,0)</f>
        <v>0</v>
      </c>
      <c r="U124">
        <f t="shared" si="8"/>
        <v>0</v>
      </c>
      <c r="Y124" t="s">
        <v>96</v>
      </c>
      <c r="Z124" s="320">
        <f>'Quotation Sheet'!I111</f>
        <v>0</v>
      </c>
      <c r="AA124">
        <v>123</v>
      </c>
      <c r="AB124">
        <f>IF($AE$1='OPSİYON SORGU'!Y124,1,0)</f>
        <v>0</v>
      </c>
      <c r="AC124">
        <f t="shared" si="9"/>
        <v>0</v>
      </c>
      <c r="AG124" t="s">
        <v>96</v>
      </c>
      <c r="AH124" s="320">
        <f>'Quotation Sheet'!I111</f>
        <v>0</v>
      </c>
      <c r="AI124">
        <v>123</v>
      </c>
      <c r="AJ124">
        <f>IF($AM$1='OPSİYON SORGU'!AG124,1,0)</f>
        <v>0</v>
      </c>
      <c r="AK124">
        <f t="shared" si="10"/>
        <v>0</v>
      </c>
      <c r="AO124" t="s">
        <v>96</v>
      </c>
      <c r="AP124" s="320">
        <f>'Quotation Sheet'!I111</f>
        <v>0</v>
      </c>
      <c r="AQ124">
        <v>123</v>
      </c>
      <c r="AR124">
        <f>IF($AU$1='OPSİYON SORGU'!AO124,1,0)</f>
        <v>0</v>
      </c>
      <c r="AS124">
        <f t="shared" si="11"/>
        <v>0</v>
      </c>
    </row>
    <row r="125" spans="1:45">
      <c r="A125" t="s">
        <v>96</v>
      </c>
      <c r="B125" s="320">
        <f>'Quotation Sheet'!I112</f>
        <v>0</v>
      </c>
      <c r="C125">
        <v>124</v>
      </c>
      <c r="D125">
        <f>IF($G$1='OPSİYON SORGU'!A125,1,0)</f>
        <v>0</v>
      </c>
      <c r="E125">
        <f t="shared" si="6"/>
        <v>0</v>
      </c>
      <c r="I125" t="s">
        <v>96</v>
      </c>
      <c r="J125" s="320">
        <f>'Quotation Sheet'!I112</f>
        <v>0</v>
      </c>
      <c r="K125">
        <v>124</v>
      </c>
      <c r="L125">
        <f>IF($O$1='OPSİYON SORGU'!I125,1,0)</f>
        <v>0</v>
      </c>
      <c r="M125">
        <f t="shared" si="7"/>
        <v>0</v>
      </c>
      <c r="Q125" t="s">
        <v>96</v>
      </c>
      <c r="R125" s="320">
        <f>'Quotation Sheet'!I112</f>
        <v>0</v>
      </c>
      <c r="S125">
        <v>124</v>
      </c>
      <c r="T125">
        <f>IF($W$1='OPSİYON SORGU'!Q125,1,0)</f>
        <v>0</v>
      </c>
      <c r="U125">
        <f t="shared" si="8"/>
        <v>0</v>
      </c>
      <c r="Y125" t="s">
        <v>96</v>
      </c>
      <c r="Z125" s="320">
        <f>'Quotation Sheet'!I112</f>
        <v>0</v>
      </c>
      <c r="AA125">
        <v>124</v>
      </c>
      <c r="AB125">
        <f>IF($AE$1='OPSİYON SORGU'!Y125,1,0)</f>
        <v>0</v>
      </c>
      <c r="AC125">
        <f t="shared" si="9"/>
        <v>0</v>
      </c>
      <c r="AG125" t="s">
        <v>96</v>
      </c>
      <c r="AH125" s="320">
        <f>'Quotation Sheet'!I112</f>
        <v>0</v>
      </c>
      <c r="AI125">
        <v>124</v>
      </c>
      <c r="AJ125">
        <f>IF($AM$1='OPSİYON SORGU'!AG125,1,0)</f>
        <v>0</v>
      </c>
      <c r="AK125">
        <f t="shared" si="10"/>
        <v>0</v>
      </c>
      <c r="AO125" t="s">
        <v>96</v>
      </c>
      <c r="AP125" s="320">
        <f>'Quotation Sheet'!I112</f>
        <v>0</v>
      </c>
      <c r="AQ125">
        <v>124</v>
      </c>
      <c r="AR125">
        <f>IF($AU$1='OPSİYON SORGU'!AO125,1,0)</f>
        <v>0</v>
      </c>
      <c r="AS125">
        <f t="shared" si="11"/>
        <v>0</v>
      </c>
    </row>
    <row r="126" spans="1:45">
      <c r="A126" t="s">
        <v>96</v>
      </c>
      <c r="B126" s="320">
        <f>'Quotation Sheet'!I113</f>
        <v>0</v>
      </c>
      <c r="C126">
        <v>125</v>
      </c>
      <c r="D126">
        <f>IF($G$1='OPSİYON SORGU'!A126,1,0)</f>
        <v>0</v>
      </c>
      <c r="E126">
        <f t="shared" si="6"/>
        <v>0</v>
      </c>
      <c r="I126" t="s">
        <v>96</v>
      </c>
      <c r="J126" s="320">
        <f>'Quotation Sheet'!I113</f>
        <v>0</v>
      </c>
      <c r="K126">
        <v>125</v>
      </c>
      <c r="L126">
        <f>IF($O$1='OPSİYON SORGU'!I126,1,0)</f>
        <v>0</v>
      </c>
      <c r="M126">
        <f t="shared" si="7"/>
        <v>0</v>
      </c>
      <c r="Q126" t="s">
        <v>96</v>
      </c>
      <c r="R126" s="320">
        <f>'Quotation Sheet'!I113</f>
        <v>0</v>
      </c>
      <c r="S126">
        <v>125</v>
      </c>
      <c r="T126">
        <f>IF($W$1='OPSİYON SORGU'!Q126,1,0)</f>
        <v>0</v>
      </c>
      <c r="U126">
        <f t="shared" si="8"/>
        <v>0</v>
      </c>
      <c r="Y126" t="s">
        <v>96</v>
      </c>
      <c r="Z126" s="320">
        <f>'Quotation Sheet'!I113</f>
        <v>0</v>
      </c>
      <c r="AA126">
        <v>125</v>
      </c>
      <c r="AB126">
        <f>IF($AE$1='OPSİYON SORGU'!Y126,1,0)</f>
        <v>0</v>
      </c>
      <c r="AC126">
        <f t="shared" si="9"/>
        <v>0</v>
      </c>
      <c r="AG126" t="s">
        <v>96</v>
      </c>
      <c r="AH126" s="320">
        <f>'Quotation Sheet'!I113</f>
        <v>0</v>
      </c>
      <c r="AI126">
        <v>125</v>
      </c>
      <c r="AJ126">
        <f>IF($AM$1='OPSİYON SORGU'!AG126,1,0)</f>
        <v>0</v>
      </c>
      <c r="AK126">
        <f t="shared" si="10"/>
        <v>0</v>
      </c>
      <c r="AO126" t="s">
        <v>96</v>
      </c>
      <c r="AP126" s="320">
        <f>'Quotation Sheet'!I113</f>
        <v>0</v>
      </c>
      <c r="AQ126">
        <v>125</v>
      </c>
      <c r="AR126">
        <f>IF($AU$1='OPSİYON SORGU'!AO126,1,0)</f>
        <v>0</v>
      </c>
      <c r="AS126">
        <f t="shared" si="11"/>
        <v>0</v>
      </c>
    </row>
    <row r="127" spans="1:45">
      <c r="A127" t="s">
        <v>97</v>
      </c>
      <c r="B127" s="320">
        <f>'Quotation Sheet'!K85</f>
        <v>0</v>
      </c>
      <c r="C127">
        <v>126</v>
      </c>
      <c r="D127">
        <f>IF($G$1='OPSİYON SORGU'!A127,1,0)</f>
        <v>0</v>
      </c>
      <c r="E127">
        <f t="shared" si="6"/>
        <v>0</v>
      </c>
      <c r="I127" t="s">
        <v>97</v>
      </c>
      <c r="J127" s="320">
        <f>'Quotation Sheet'!K85</f>
        <v>0</v>
      </c>
      <c r="K127">
        <v>126</v>
      </c>
      <c r="L127">
        <f>IF($O$1='OPSİYON SORGU'!I127,1,0)</f>
        <v>0</v>
      </c>
      <c r="M127">
        <f t="shared" si="7"/>
        <v>0</v>
      </c>
      <c r="Q127" t="s">
        <v>97</v>
      </c>
      <c r="R127" s="320">
        <f>'Quotation Sheet'!K85</f>
        <v>0</v>
      </c>
      <c r="S127">
        <v>126</v>
      </c>
      <c r="T127">
        <f>IF($W$1='OPSİYON SORGU'!Q127,1,0)</f>
        <v>0</v>
      </c>
      <c r="U127">
        <f t="shared" si="8"/>
        <v>0</v>
      </c>
      <c r="Y127" t="s">
        <v>97</v>
      </c>
      <c r="Z127" s="320">
        <f>'Quotation Sheet'!K85</f>
        <v>0</v>
      </c>
      <c r="AA127">
        <v>126</v>
      </c>
      <c r="AB127">
        <f>IF($AE$1='OPSİYON SORGU'!Y127,1,0)</f>
        <v>0</v>
      </c>
      <c r="AC127">
        <f t="shared" si="9"/>
        <v>0</v>
      </c>
      <c r="AG127" t="s">
        <v>97</v>
      </c>
      <c r="AH127" s="320">
        <f>'Quotation Sheet'!K85</f>
        <v>0</v>
      </c>
      <c r="AI127">
        <v>126</v>
      </c>
      <c r="AJ127">
        <f>IF($AM$1='OPSİYON SORGU'!AG127,1,0)</f>
        <v>0</v>
      </c>
      <c r="AK127">
        <f t="shared" si="10"/>
        <v>0</v>
      </c>
      <c r="AO127" t="s">
        <v>97</v>
      </c>
      <c r="AP127" s="320">
        <f>'Quotation Sheet'!K85</f>
        <v>0</v>
      </c>
      <c r="AQ127">
        <v>126</v>
      </c>
      <c r="AR127">
        <f>IF($AU$1='OPSİYON SORGU'!AO127,1,0)</f>
        <v>0</v>
      </c>
      <c r="AS127">
        <f t="shared" si="11"/>
        <v>0</v>
      </c>
    </row>
    <row r="128" spans="1:45">
      <c r="A128" t="s">
        <v>97</v>
      </c>
      <c r="B128" s="320">
        <f>'Quotation Sheet'!K86</f>
        <v>0</v>
      </c>
      <c r="C128">
        <v>127</v>
      </c>
      <c r="D128">
        <f>IF($G$1='OPSİYON SORGU'!A128,1,0)</f>
        <v>0</v>
      </c>
      <c r="E128">
        <f t="shared" si="6"/>
        <v>0</v>
      </c>
      <c r="I128" t="s">
        <v>97</v>
      </c>
      <c r="J128" s="320">
        <f>'Quotation Sheet'!K86</f>
        <v>0</v>
      </c>
      <c r="K128">
        <v>127</v>
      </c>
      <c r="L128">
        <f>IF($O$1='OPSİYON SORGU'!I128,1,0)</f>
        <v>0</v>
      </c>
      <c r="M128">
        <f t="shared" si="7"/>
        <v>0</v>
      </c>
      <c r="Q128" t="s">
        <v>97</v>
      </c>
      <c r="R128" s="320">
        <f>'Quotation Sheet'!K86</f>
        <v>0</v>
      </c>
      <c r="S128">
        <v>127</v>
      </c>
      <c r="T128">
        <f>IF($W$1='OPSİYON SORGU'!Q128,1,0)</f>
        <v>0</v>
      </c>
      <c r="U128">
        <f t="shared" si="8"/>
        <v>0</v>
      </c>
      <c r="Y128" t="s">
        <v>97</v>
      </c>
      <c r="Z128" s="320">
        <f>'Quotation Sheet'!K86</f>
        <v>0</v>
      </c>
      <c r="AA128">
        <v>127</v>
      </c>
      <c r="AB128">
        <f>IF($AE$1='OPSİYON SORGU'!Y128,1,0)</f>
        <v>0</v>
      </c>
      <c r="AC128">
        <f t="shared" si="9"/>
        <v>0</v>
      </c>
      <c r="AG128" t="s">
        <v>97</v>
      </c>
      <c r="AH128" s="320">
        <f>'Quotation Sheet'!K86</f>
        <v>0</v>
      </c>
      <c r="AI128">
        <v>127</v>
      </c>
      <c r="AJ128">
        <f>IF($AM$1='OPSİYON SORGU'!AG128,1,0)</f>
        <v>0</v>
      </c>
      <c r="AK128">
        <f t="shared" si="10"/>
        <v>0</v>
      </c>
      <c r="AO128" t="s">
        <v>97</v>
      </c>
      <c r="AP128" s="320">
        <f>'Quotation Sheet'!K86</f>
        <v>0</v>
      </c>
      <c r="AQ128">
        <v>127</v>
      </c>
      <c r="AR128">
        <f>IF($AU$1='OPSİYON SORGU'!AO128,1,0)</f>
        <v>0</v>
      </c>
      <c r="AS128">
        <f t="shared" si="11"/>
        <v>0</v>
      </c>
    </row>
    <row r="129" spans="1:45">
      <c r="A129" t="s">
        <v>97</v>
      </c>
      <c r="B129" s="320">
        <f>'Quotation Sheet'!K87</f>
        <v>0</v>
      </c>
      <c r="C129">
        <v>128</v>
      </c>
      <c r="D129">
        <f>IF($G$1='OPSİYON SORGU'!A129,1,0)</f>
        <v>0</v>
      </c>
      <c r="E129">
        <f t="shared" si="6"/>
        <v>0</v>
      </c>
      <c r="I129" t="s">
        <v>97</v>
      </c>
      <c r="J129" s="320">
        <f>'Quotation Sheet'!K87</f>
        <v>0</v>
      </c>
      <c r="K129">
        <v>128</v>
      </c>
      <c r="L129">
        <f>IF($O$1='OPSİYON SORGU'!I129,1,0)</f>
        <v>0</v>
      </c>
      <c r="M129">
        <f t="shared" si="7"/>
        <v>0</v>
      </c>
      <c r="Q129" t="s">
        <v>97</v>
      </c>
      <c r="R129" s="320">
        <f>'Quotation Sheet'!K87</f>
        <v>0</v>
      </c>
      <c r="S129">
        <v>128</v>
      </c>
      <c r="T129">
        <f>IF($W$1='OPSİYON SORGU'!Q129,1,0)</f>
        <v>0</v>
      </c>
      <c r="U129">
        <f t="shared" si="8"/>
        <v>0</v>
      </c>
      <c r="Y129" t="s">
        <v>97</v>
      </c>
      <c r="Z129" s="320">
        <f>'Quotation Sheet'!K87</f>
        <v>0</v>
      </c>
      <c r="AA129">
        <v>128</v>
      </c>
      <c r="AB129">
        <f>IF($AE$1='OPSİYON SORGU'!Y129,1,0)</f>
        <v>0</v>
      </c>
      <c r="AC129">
        <f t="shared" si="9"/>
        <v>0</v>
      </c>
      <c r="AG129" t="s">
        <v>97</v>
      </c>
      <c r="AH129" s="320">
        <f>'Quotation Sheet'!K87</f>
        <v>0</v>
      </c>
      <c r="AI129">
        <v>128</v>
      </c>
      <c r="AJ129">
        <f>IF($AM$1='OPSİYON SORGU'!AG129,1,0)</f>
        <v>0</v>
      </c>
      <c r="AK129">
        <f t="shared" si="10"/>
        <v>0</v>
      </c>
      <c r="AO129" t="s">
        <v>97</v>
      </c>
      <c r="AP129" s="320">
        <f>'Quotation Sheet'!K87</f>
        <v>0</v>
      </c>
      <c r="AQ129">
        <v>128</v>
      </c>
      <c r="AR129">
        <f>IF($AU$1='OPSİYON SORGU'!AO129,1,0)</f>
        <v>0</v>
      </c>
      <c r="AS129">
        <f t="shared" si="11"/>
        <v>0</v>
      </c>
    </row>
    <row r="130" spans="1:45">
      <c r="A130" t="s">
        <v>97</v>
      </c>
      <c r="B130" s="320">
        <f>'Quotation Sheet'!K88</f>
        <v>0</v>
      </c>
      <c r="C130">
        <v>129</v>
      </c>
      <c r="D130">
        <f>IF($G$1='OPSİYON SORGU'!A130,1,0)</f>
        <v>0</v>
      </c>
      <c r="E130">
        <f t="shared" si="6"/>
        <v>0</v>
      </c>
      <c r="I130" t="s">
        <v>97</v>
      </c>
      <c r="J130" s="320">
        <f>'Quotation Sheet'!K88</f>
        <v>0</v>
      </c>
      <c r="K130">
        <v>129</v>
      </c>
      <c r="L130">
        <f>IF($O$1='OPSİYON SORGU'!I130,1,0)</f>
        <v>0</v>
      </c>
      <c r="M130">
        <f t="shared" si="7"/>
        <v>0</v>
      </c>
      <c r="Q130" t="s">
        <v>97</v>
      </c>
      <c r="R130" s="320">
        <f>'Quotation Sheet'!K88</f>
        <v>0</v>
      </c>
      <c r="S130">
        <v>129</v>
      </c>
      <c r="T130">
        <f>IF($W$1='OPSİYON SORGU'!Q130,1,0)</f>
        <v>0</v>
      </c>
      <c r="U130">
        <f t="shared" si="8"/>
        <v>0</v>
      </c>
      <c r="Y130" t="s">
        <v>97</v>
      </c>
      <c r="Z130" s="320">
        <f>'Quotation Sheet'!K88</f>
        <v>0</v>
      </c>
      <c r="AA130">
        <v>129</v>
      </c>
      <c r="AB130">
        <f>IF($AE$1='OPSİYON SORGU'!Y130,1,0)</f>
        <v>0</v>
      </c>
      <c r="AC130">
        <f t="shared" si="9"/>
        <v>0</v>
      </c>
      <c r="AG130" t="s">
        <v>97</v>
      </c>
      <c r="AH130" s="320">
        <f>'Quotation Sheet'!K88</f>
        <v>0</v>
      </c>
      <c r="AI130">
        <v>129</v>
      </c>
      <c r="AJ130">
        <f>IF($AM$1='OPSİYON SORGU'!AG130,1,0)</f>
        <v>0</v>
      </c>
      <c r="AK130">
        <f t="shared" si="10"/>
        <v>0</v>
      </c>
      <c r="AO130" t="s">
        <v>97</v>
      </c>
      <c r="AP130" s="320">
        <f>'Quotation Sheet'!K88</f>
        <v>0</v>
      </c>
      <c r="AQ130">
        <v>129</v>
      </c>
      <c r="AR130">
        <f>IF($AU$1='OPSİYON SORGU'!AO130,1,0)</f>
        <v>0</v>
      </c>
      <c r="AS130">
        <f t="shared" si="11"/>
        <v>0</v>
      </c>
    </row>
    <row r="131" spans="1:45">
      <c r="A131" t="s">
        <v>97</v>
      </c>
      <c r="B131" s="320">
        <f>'Quotation Sheet'!K89</f>
        <v>0</v>
      </c>
      <c r="C131">
        <v>130</v>
      </c>
      <c r="D131">
        <f>IF($G$1='OPSİYON SORGU'!A131,1,0)</f>
        <v>0</v>
      </c>
      <c r="E131">
        <f t="shared" si="6"/>
        <v>0</v>
      </c>
      <c r="I131" t="s">
        <v>97</v>
      </c>
      <c r="J131" s="320">
        <f>'Quotation Sheet'!K89</f>
        <v>0</v>
      </c>
      <c r="K131">
        <v>130</v>
      </c>
      <c r="L131">
        <f>IF($O$1='OPSİYON SORGU'!I131,1,0)</f>
        <v>0</v>
      </c>
      <c r="M131">
        <f t="shared" si="7"/>
        <v>0</v>
      </c>
      <c r="Q131" t="s">
        <v>97</v>
      </c>
      <c r="R131" s="320">
        <f>'Quotation Sheet'!K89</f>
        <v>0</v>
      </c>
      <c r="S131">
        <v>130</v>
      </c>
      <c r="T131">
        <f>IF($W$1='OPSİYON SORGU'!Q131,1,0)</f>
        <v>0</v>
      </c>
      <c r="U131">
        <f t="shared" si="8"/>
        <v>0</v>
      </c>
      <c r="Y131" t="s">
        <v>97</v>
      </c>
      <c r="Z131" s="320">
        <f>'Quotation Sheet'!K89</f>
        <v>0</v>
      </c>
      <c r="AA131">
        <v>130</v>
      </c>
      <c r="AB131">
        <f>IF($AE$1='OPSİYON SORGU'!Y131,1,0)</f>
        <v>0</v>
      </c>
      <c r="AC131">
        <f t="shared" si="9"/>
        <v>0</v>
      </c>
      <c r="AG131" t="s">
        <v>97</v>
      </c>
      <c r="AH131" s="320">
        <f>'Quotation Sheet'!K89</f>
        <v>0</v>
      </c>
      <c r="AI131">
        <v>130</v>
      </c>
      <c r="AJ131">
        <f>IF($AM$1='OPSİYON SORGU'!AG131,1,0)</f>
        <v>0</v>
      </c>
      <c r="AK131">
        <f t="shared" si="10"/>
        <v>0</v>
      </c>
      <c r="AO131" t="s">
        <v>97</v>
      </c>
      <c r="AP131" s="320">
        <f>'Quotation Sheet'!K89</f>
        <v>0</v>
      </c>
      <c r="AQ131">
        <v>130</v>
      </c>
      <c r="AR131">
        <f>IF($AU$1='OPSİYON SORGU'!AO131,1,0)</f>
        <v>0</v>
      </c>
      <c r="AS131">
        <f t="shared" si="11"/>
        <v>0</v>
      </c>
    </row>
    <row r="132" spans="1:45">
      <c r="A132" t="s">
        <v>97</v>
      </c>
      <c r="B132" s="320">
        <f>'Quotation Sheet'!K91</f>
        <v>0</v>
      </c>
      <c r="C132">
        <v>131</v>
      </c>
      <c r="D132">
        <f>IF($G$1='OPSİYON SORGU'!A132,1,0)</f>
        <v>0</v>
      </c>
      <c r="E132">
        <f t="shared" ref="E132:E151" si="12">+IF(D132=0,0,E131+1)</f>
        <v>0</v>
      </c>
      <c r="I132" t="s">
        <v>97</v>
      </c>
      <c r="J132" s="320">
        <f>'Quotation Sheet'!K91</f>
        <v>0</v>
      </c>
      <c r="K132">
        <v>131</v>
      </c>
      <c r="L132">
        <f>IF($O$1='OPSİYON SORGU'!I132,1,0)</f>
        <v>0</v>
      </c>
      <c r="M132">
        <f t="shared" ref="M132:M151" si="13">+IF(L132=0,0,M131+1)</f>
        <v>0</v>
      </c>
      <c r="Q132" t="s">
        <v>97</v>
      </c>
      <c r="R132" s="320">
        <f>'Quotation Sheet'!K91</f>
        <v>0</v>
      </c>
      <c r="S132">
        <v>131</v>
      </c>
      <c r="T132">
        <f>IF($W$1='OPSİYON SORGU'!Q132,1,0)</f>
        <v>0</v>
      </c>
      <c r="U132">
        <f t="shared" ref="U132:U151" si="14">+IF(T132=0,0,U131+1)</f>
        <v>0</v>
      </c>
      <c r="Y132" t="s">
        <v>97</v>
      </c>
      <c r="Z132" s="320">
        <f>'Quotation Sheet'!K91</f>
        <v>0</v>
      </c>
      <c r="AA132">
        <v>131</v>
      </c>
      <c r="AB132">
        <f>IF($AE$1='OPSİYON SORGU'!Y132,1,0)</f>
        <v>0</v>
      </c>
      <c r="AC132">
        <f t="shared" ref="AC132:AC151" si="15">+IF(AB132=0,0,AC131+1)</f>
        <v>0</v>
      </c>
      <c r="AG132" t="s">
        <v>97</v>
      </c>
      <c r="AH132" s="320">
        <f>'Quotation Sheet'!K91</f>
        <v>0</v>
      </c>
      <c r="AI132">
        <v>131</v>
      </c>
      <c r="AJ132">
        <f>IF($AM$1='OPSİYON SORGU'!AG132,1,0)</f>
        <v>0</v>
      </c>
      <c r="AK132">
        <f t="shared" ref="AK132:AK151" si="16">+IF(AJ132=0,0,AK131+1)</f>
        <v>0</v>
      </c>
      <c r="AO132" t="s">
        <v>97</v>
      </c>
      <c r="AP132" s="320">
        <f>'Quotation Sheet'!K91</f>
        <v>0</v>
      </c>
      <c r="AQ132">
        <v>131</v>
      </c>
      <c r="AR132">
        <f>IF($AU$1='OPSİYON SORGU'!AO132,1,0)</f>
        <v>0</v>
      </c>
      <c r="AS132">
        <f t="shared" ref="AS132:AS151" si="17">+IF(AR132=0,0,AS131+1)</f>
        <v>0</v>
      </c>
    </row>
    <row r="133" spans="1:45">
      <c r="A133" t="s">
        <v>97</v>
      </c>
      <c r="B133" s="320">
        <f>'Quotation Sheet'!K92</f>
        <v>0</v>
      </c>
      <c r="C133">
        <v>132</v>
      </c>
      <c r="D133">
        <f>IF($G$1='OPSİYON SORGU'!A133,1,0)</f>
        <v>0</v>
      </c>
      <c r="E133">
        <f t="shared" si="12"/>
        <v>0</v>
      </c>
      <c r="I133" t="s">
        <v>97</v>
      </c>
      <c r="J133" s="320">
        <f>'Quotation Sheet'!K92</f>
        <v>0</v>
      </c>
      <c r="K133">
        <v>132</v>
      </c>
      <c r="L133">
        <f>IF($O$1='OPSİYON SORGU'!I133,1,0)</f>
        <v>0</v>
      </c>
      <c r="M133">
        <f t="shared" si="13"/>
        <v>0</v>
      </c>
      <c r="Q133" t="s">
        <v>97</v>
      </c>
      <c r="R133" s="320">
        <f>'Quotation Sheet'!K92</f>
        <v>0</v>
      </c>
      <c r="S133">
        <v>132</v>
      </c>
      <c r="T133">
        <f>IF($W$1='OPSİYON SORGU'!Q133,1,0)</f>
        <v>0</v>
      </c>
      <c r="U133">
        <f t="shared" si="14"/>
        <v>0</v>
      </c>
      <c r="Y133" t="s">
        <v>97</v>
      </c>
      <c r="Z133" s="320">
        <f>'Quotation Sheet'!K92</f>
        <v>0</v>
      </c>
      <c r="AA133">
        <v>132</v>
      </c>
      <c r="AB133">
        <f>IF($AE$1='OPSİYON SORGU'!Y133,1,0)</f>
        <v>0</v>
      </c>
      <c r="AC133">
        <f t="shared" si="15"/>
        <v>0</v>
      </c>
      <c r="AG133" t="s">
        <v>97</v>
      </c>
      <c r="AH133" s="320">
        <f>'Quotation Sheet'!K92</f>
        <v>0</v>
      </c>
      <c r="AI133">
        <v>132</v>
      </c>
      <c r="AJ133">
        <f>IF($AM$1='OPSİYON SORGU'!AG133,1,0)</f>
        <v>0</v>
      </c>
      <c r="AK133">
        <f t="shared" si="16"/>
        <v>0</v>
      </c>
      <c r="AO133" t="s">
        <v>97</v>
      </c>
      <c r="AP133" s="320">
        <f>'Quotation Sheet'!K92</f>
        <v>0</v>
      </c>
      <c r="AQ133">
        <v>132</v>
      </c>
      <c r="AR133">
        <f>IF($AU$1='OPSİYON SORGU'!AO133,1,0)</f>
        <v>0</v>
      </c>
      <c r="AS133">
        <f t="shared" si="17"/>
        <v>0</v>
      </c>
    </row>
    <row r="134" spans="1:45">
      <c r="A134" t="s">
        <v>97</v>
      </c>
      <c r="B134" s="320">
        <f>'Quotation Sheet'!K93</f>
        <v>0</v>
      </c>
      <c r="C134">
        <v>133</v>
      </c>
      <c r="D134">
        <f>IF($G$1='OPSİYON SORGU'!A134,1,0)</f>
        <v>0</v>
      </c>
      <c r="E134">
        <f t="shared" si="12"/>
        <v>0</v>
      </c>
      <c r="I134" t="s">
        <v>97</v>
      </c>
      <c r="J134" s="320">
        <f>'Quotation Sheet'!K93</f>
        <v>0</v>
      </c>
      <c r="K134">
        <v>133</v>
      </c>
      <c r="L134">
        <f>IF($O$1='OPSİYON SORGU'!I134,1,0)</f>
        <v>0</v>
      </c>
      <c r="M134">
        <f t="shared" si="13"/>
        <v>0</v>
      </c>
      <c r="Q134" t="s">
        <v>97</v>
      </c>
      <c r="R134" s="320">
        <f>'Quotation Sheet'!K93</f>
        <v>0</v>
      </c>
      <c r="S134">
        <v>133</v>
      </c>
      <c r="T134">
        <f>IF($W$1='OPSİYON SORGU'!Q134,1,0)</f>
        <v>0</v>
      </c>
      <c r="U134">
        <f t="shared" si="14"/>
        <v>0</v>
      </c>
      <c r="Y134" t="s">
        <v>97</v>
      </c>
      <c r="Z134" s="320">
        <f>'Quotation Sheet'!K93</f>
        <v>0</v>
      </c>
      <c r="AA134">
        <v>133</v>
      </c>
      <c r="AB134">
        <f>IF($AE$1='OPSİYON SORGU'!Y134,1,0)</f>
        <v>0</v>
      </c>
      <c r="AC134">
        <f t="shared" si="15"/>
        <v>0</v>
      </c>
      <c r="AG134" t="s">
        <v>97</v>
      </c>
      <c r="AH134" s="320">
        <f>'Quotation Sheet'!K93</f>
        <v>0</v>
      </c>
      <c r="AI134">
        <v>133</v>
      </c>
      <c r="AJ134">
        <f>IF($AM$1='OPSİYON SORGU'!AG134,1,0)</f>
        <v>0</v>
      </c>
      <c r="AK134">
        <f t="shared" si="16"/>
        <v>0</v>
      </c>
      <c r="AO134" t="s">
        <v>97</v>
      </c>
      <c r="AP134" s="320">
        <f>'Quotation Sheet'!K93</f>
        <v>0</v>
      </c>
      <c r="AQ134">
        <v>133</v>
      </c>
      <c r="AR134">
        <f>IF($AU$1='OPSİYON SORGU'!AO134,1,0)</f>
        <v>0</v>
      </c>
      <c r="AS134">
        <f t="shared" si="17"/>
        <v>0</v>
      </c>
    </row>
    <row r="135" spans="1:45">
      <c r="A135" t="s">
        <v>97</v>
      </c>
      <c r="B135" s="320">
        <f>'Quotation Sheet'!K94</f>
        <v>0</v>
      </c>
      <c r="C135">
        <v>134</v>
      </c>
      <c r="D135">
        <f>IF($G$1='OPSİYON SORGU'!A135,1,0)</f>
        <v>0</v>
      </c>
      <c r="E135">
        <f t="shared" si="12"/>
        <v>0</v>
      </c>
      <c r="I135" t="s">
        <v>97</v>
      </c>
      <c r="J135" s="320">
        <f>'Quotation Sheet'!K94</f>
        <v>0</v>
      </c>
      <c r="K135">
        <v>134</v>
      </c>
      <c r="L135">
        <f>IF($O$1='OPSİYON SORGU'!I135,1,0)</f>
        <v>0</v>
      </c>
      <c r="M135">
        <f t="shared" si="13"/>
        <v>0</v>
      </c>
      <c r="Q135" t="s">
        <v>97</v>
      </c>
      <c r="R135" s="320">
        <f>'Quotation Sheet'!K94</f>
        <v>0</v>
      </c>
      <c r="S135">
        <v>134</v>
      </c>
      <c r="T135">
        <f>IF($W$1='OPSİYON SORGU'!Q135,1,0)</f>
        <v>0</v>
      </c>
      <c r="U135">
        <f t="shared" si="14"/>
        <v>0</v>
      </c>
      <c r="Y135" t="s">
        <v>97</v>
      </c>
      <c r="Z135" s="320">
        <f>'Quotation Sheet'!K94</f>
        <v>0</v>
      </c>
      <c r="AA135">
        <v>134</v>
      </c>
      <c r="AB135">
        <f>IF($AE$1='OPSİYON SORGU'!Y135,1,0)</f>
        <v>0</v>
      </c>
      <c r="AC135">
        <f t="shared" si="15"/>
        <v>0</v>
      </c>
      <c r="AG135" t="s">
        <v>97</v>
      </c>
      <c r="AH135" s="320">
        <f>'Quotation Sheet'!K94</f>
        <v>0</v>
      </c>
      <c r="AI135">
        <v>134</v>
      </c>
      <c r="AJ135">
        <f>IF($AM$1='OPSİYON SORGU'!AG135,1,0)</f>
        <v>0</v>
      </c>
      <c r="AK135">
        <f t="shared" si="16"/>
        <v>0</v>
      </c>
      <c r="AO135" t="s">
        <v>97</v>
      </c>
      <c r="AP135" s="320">
        <f>'Quotation Sheet'!K94</f>
        <v>0</v>
      </c>
      <c r="AQ135">
        <v>134</v>
      </c>
      <c r="AR135">
        <f>IF($AU$1='OPSİYON SORGU'!AO135,1,0)</f>
        <v>0</v>
      </c>
      <c r="AS135">
        <f t="shared" si="17"/>
        <v>0</v>
      </c>
    </row>
    <row r="136" spans="1:45">
      <c r="A136" t="s">
        <v>97</v>
      </c>
      <c r="B136" s="320">
        <f>'Quotation Sheet'!K95</f>
        <v>0</v>
      </c>
      <c r="C136">
        <v>135</v>
      </c>
      <c r="D136">
        <f>IF($G$1='OPSİYON SORGU'!A136,1,0)</f>
        <v>0</v>
      </c>
      <c r="E136">
        <f t="shared" si="12"/>
        <v>0</v>
      </c>
      <c r="I136" t="s">
        <v>97</v>
      </c>
      <c r="J136" s="320">
        <f>'Quotation Sheet'!K95</f>
        <v>0</v>
      </c>
      <c r="K136">
        <v>135</v>
      </c>
      <c r="L136">
        <f>IF($O$1='OPSİYON SORGU'!I136,1,0)</f>
        <v>0</v>
      </c>
      <c r="M136">
        <f t="shared" si="13"/>
        <v>0</v>
      </c>
      <c r="Q136" t="s">
        <v>97</v>
      </c>
      <c r="R136" s="320">
        <f>'Quotation Sheet'!K95</f>
        <v>0</v>
      </c>
      <c r="S136">
        <v>135</v>
      </c>
      <c r="T136">
        <f>IF($W$1='OPSİYON SORGU'!Q136,1,0)</f>
        <v>0</v>
      </c>
      <c r="U136">
        <f t="shared" si="14"/>
        <v>0</v>
      </c>
      <c r="Y136" t="s">
        <v>97</v>
      </c>
      <c r="Z136" s="320">
        <f>'Quotation Sheet'!K95</f>
        <v>0</v>
      </c>
      <c r="AA136">
        <v>135</v>
      </c>
      <c r="AB136">
        <f>IF($AE$1='OPSİYON SORGU'!Y136,1,0)</f>
        <v>0</v>
      </c>
      <c r="AC136">
        <f t="shared" si="15"/>
        <v>0</v>
      </c>
      <c r="AG136" t="s">
        <v>97</v>
      </c>
      <c r="AH136" s="320">
        <f>'Quotation Sheet'!K95</f>
        <v>0</v>
      </c>
      <c r="AI136">
        <v>135</v>
      </c>
      <c r="AJ136">
        <f>IF($AM$1='OPSİYON SORGU'!AG136,1,0)</f>
        <v>0</v>
      </c>
      <c r="AK136">
        <f t="shared" si="16"/>
        <v>0</v>
      </c>
      <c r="AO136" t="s">
        <v>97</v>
      </c>
      <c r="AP136" s="320">
        <f>'Quotation Sheet'!K95</f>
        <v>0</v>
      </c>
      <c r="AQ136">
        <v>135</v>
      </c>
      <c r="AR136">
        <f>IF($AU$1='OPSİYON SORGU'!AO136,1,0)</f>
        <v>0</v>
      </c>
      <c r="AS136">
        <f t="shared" si="17"/>
        <v>0</v>
      </c>
    </row>
    <row r="137" spans="1:45">
      <c r="A137" t="s">
        <v>97</v>
      </c>
      <c r="B137" s="320">
        <f>'Quotation Sheet'!K97</f>
        <v>0</v>
      </c>
      <c r="C137">
        <v>136</v>
      </c>
      <c r="D137">
        <f>IF($G$1='OPSİYON SORGU'!A137,1,0)</f>
        <v>0</v>
      </c>
      <c r="E137">
        <f t="shared" si="12"/>
        <v>0</v>
      </c>
      <c r="I137" t="s">
        <v>97</v>
      </c>
      <c r="J137" s="320">
        <f>'Quotation Sheet'!K97</f>
        <v>0</v>
      </c>
      <c r="K137">
        <v>136</v>
      </c>
      <c r="L137">
        <f>IF($O$1='OPSİYON SORGU'!I137,1,0)</f>
        <v>0</v>
      </c>
      <c r="M137">
        <f t="shared" si="13"/>
        <v>0</v>
      </c>
      <c r="Q137" t="s">
        <v>97</v>
      </c>
      <c r="R137" s="320">
        <f>'Quotation Sheet'!K97</f>
        <v>0</v>
      </c>
      <c r="S137">
        <v>136</v>
      </c>
      <c r="T137">
        <f>IF($W$1='OPSİYON SORGU'!Q137,1,0)</f>
        <v>0</v>
      </c>
      <c r="U137">
        <f t="shared" si="14"/>
        <v>0</v>
      </c>
      <c r="Y137" t="s">
        <v>97</v>
      </c>
      <c r="Z137" s="320">
        <f>'Quotation Sheet'!K97</f>
        <v>0</v>
      </c>
      <c r="AA137">
        <v>136</v>
      </c>
      <c r="AB137">
        <f>IF($AE$1='OPSİYON SORGU'!Y137,1,0)</f>
        <v>0</v>
      </c>
      <c r="AC137">
        <f t="shared" si="15"/>
        <v>0</v>
      </c>
      <c r="AG137" t="s">
        <v>97</v>
      </c>
      <c r="AH137" s="320">
        <f>'Quotation Sheet'!K97</f>
        <v>0</v>
      </c>
      <c r="AI137">
        <v>136</v>
      </c>
      <c r="AJ137">
        <f>IF($AM$1='OPSİYON SORGU'!AG137,1,0)</f>
        <v>0</v>
      </c>
      <c r="AK137">
        <f t="shared" si="16"/>
        <v>0</v>
      </c>
      <c r="AO137" t="s">
        <v>97</v>
      </c>
      <c r="AP137" s="320">
        <f>'Quotation Sheet'!K97</f>
        <v>0</v>
      </c>
      <c r="AQ137">
        <v>136</v>
      </c>
      <c r="AR137">
        <f>IF($AU$1='OPSİYON SORGU'!AO137,1,0)</f>
        <v>0</v>
      </c>
      <c r="AS137">
        <f t="shared" si="17"/>
        <v>0</v>
      </c>
    </row>
    <row r="138" spans="1:45">
      <c r="A138" t="s">
        <v>97</v>
      </c>
      <c r="B138" s="320">
        <f>'Quotation Sheet'!K98</f>
        <v>0</v>
      </c>
      <c r="C138">
        <v>137</v>
      </c>
      <c r="D138">
        <f>IF($G$1='OPSİYON SORGU'!A138,1,0)</f>
        <v>0</v>
      </c>
      <c r="E138">
        <f t="shared" si="12"/>
        <v>0</v>
      </c>
      <c r="I138" t="s">
        <v>97</v>
      </c>
      <c r="J138" s="320">
        <f>'Quotation Sheet'!K98</f>
        <v>0</v>
      </c>
      <c r="K138">
        <v>137</v>
      </c>
      <c r="L138">
        <f>IF($O$1='OPSİYON SORGU'!I138,1,0)</f>
        <v>0</v>
      </c>
      <c r="M138">
        <f t="shared" si="13"/>
        <v>0</v>
      </c>
      <c r="Q138" t="s">
        <v>97</v>
      </c>
      <c r="R138" s="320">
        <f>'Quotation Sheet'!K98</f>
        <v>0</v>
      </c>
      <c r="S138">
        <v>137</v>
      </c>
      <c r="T138">
        <f>IF($W$1='OPSİYON SORGU'!Q138,1,0)</f>
        <v>0</v>
      </c>
      <c r="U138">
        <f t="shared" si="14"/>
        <v>0</v>
      </c>
      <c r="Y138" t="s">
        <v>97</v>
      </c>
      <c r="Z138" s="320">
        <f>'Quotation Sheet'!K98</f>
        <v>0</v>
      </c>
      <c r="AA138">
        <v>137</v>
      </c>
      <c r="AB138">
        <f>IF($AE$1='OPSİYON SORGU'!Y138,1,0)</f>
        <v>0</v>
      </c>
      <c r="AC138">
        <f t="shared" si="15"/>
        <v>0</v>
      </c>
      <c r="AG138" t="s">
        <v>97</v>
      </c>
      <c r="AH138" s="320">
        <f>'Quotation Sheet'!K98</f>
        <v>0</v>
      </c>
      <c r="AI138">
        <v>137</v>
      </c>
      <c r="AJ138">
        <f>IF($AM$1='OPSİYON SORGU'!AG138,1,0)</f>
        <v>0</v>
      </c>
      <c r="AK138">
        <f t="shared" si="16"/>
        <v>0</v>
      </c>
      <c r="AO138" t="s">
        <v>97</v>
      </c>
      <c r="AP138" s="320">
        <f>'Quotation Sheet'!K98</f>
        <v>0</v>
      </c>
      <c r="AQ138">
        <v>137</v>
      </c>
      <c r="AR138">
        <f>IF($AU$1='OPSİYON SORGU'!AO138,1,0)</f>
        <v>0</v>
      </c>
      <c r="AS138">
        <f t="shared" si="17"/>
        <v>0</v>
      </c>
    </row>
    <row r="139" spans="1:45">
      <c r="A139" t="s">
        <v>97</v>
      </c>
      <c r="B139" s="320">
        <f>'Quotation Sheet'!K99</f>
        <v>0</v>
      </c>
      <c r="C139">
        <v>138</v>
      </c>
      <c r="D139">
        <f>IF($G$1='OPSİYON SORGU'!A139,1,0)</f>
        <v>0</v>
      </c>
      <c r="E139">
        <f t="shared" si="12"/>
        <v>0</v>
      </c>
      <c r="I139" t="s">
        <v>97</v>
      </c>
      <c r="J139" s="320">
        <f>'Quotation Sheet'!K99</f>
        <v>0</v>
      </c>
      <c r="K139">
        <v>138</v>
      </c>
      <c r="L139">
        <f>IF($O$1='OPSİYON SORGU'!I139,1,0)</f>
        <v>0</v>
      </c>
      <c r="M139">
        <f t="shared" si="13"/>
        <v>0</v>
      </c>
      <c r="Q139" t="s">
        <v>97</v>
      </c>
      <c r="R139" s="320">
        <f>'Quotation Sheet'!K99</f>
        <v>0</v>
      </c>
      <c r="S139">
        <v>138</v>
      </c>
      <c r="T139">
        <f>IF($W$1='OPSİYON SORGU'!Q139,1,0)</f>
        <v>0</v>
      </c>
      <c r="U139">
        <f t="shared" si="14"/>
        <v>0</v>
      </c>
      <c r="Y139" t="s">
        <v>97</v>
      </c>
      <c r="Z139" s="320">
        <f>'Quotation Sheet'!K99</f>
        <v>0</v>
      </c>
      <c r="AA139">
        <v>138</v>
      </c>
      <c r="AB139">
        <f>IF($AE$1='OPSİYON SORGU'!Y139,1,0)</f>
        <v>0</v>
      </c>
      <c r="AC139">
        <f t="shared" si="15"/>
        <v>0</v>
      </c>
      <c r="AG139" t="s">
        <v>97</v>
      </c>
      <c r="AH139" s="320">
        <f>'Quotation Sheet'!K99</f>
        <v>0</v>
      </c>
      <c r="AI139">
        <v>138</v>
      </c>
      <c r="AJ139">
        <f>IF($AM$1='OPSİYON SORGU'!AG139,1,0)</f>
        <v>0</v>
      </c>
      <c r="AK139">
        <f t="shared" si="16"/>
        <v>0</v>
      </c>
      <c r="AO139" t="s">
        <v>97</v>
      </c>
      <c r="AP139" s="320">
        <f>'Quotation Sheet'!K99</f>
        <v>0</v>
      </c>
      <c r="AQ139">
        <v>138</v>
      </c>
      <c r="AR139">
        <f>IF($AU$1='OPSİYON SORGU'!AO139,1,0)</f>
        <v>0</v>
      </c>
      <c r="AS139">
        <f t="shared" si="17"/>
        <v>0</v>
      </c>
    </row>
    <row r="140" spans="1:45">
      <c r="A140" t="s">
        <v>97</v>
      </c>
      <c r="B140" s="320" t="e">
        <f>'Quotation Sheet'!#REF!</f>
        <v>#REF!</v>
      </c>
      <c r="C140">
        <v>139</v>
      </c>
      <c r="D140">
        <f>IF($G$1='OPSİYON SORGU'!A140,1,0)</f>
        <v>0</v>
      </c>
      <c r="E140">
        <f t="shared" si="12"/>
        <v>0</v>
      </c>
      <c r="I140" t="s">
        <v>97</v>
      </c>
      <c r="J140" s="320" t="e">
        <f>'Quotation Sheet'!#REF!</f>
        <v>#REF!</v>
      </c>
      <c r="K140">
        <v>139</v>
      </c>
      <c r="L140">
        <f>IF($O$1='OPSİYON SORGU'!I140,1,0)</f>
        <v>0</v>
      </c>
      <c r="M140">
        <f t="shared" si="13"/>
        <v>0</v>
      </c>
      <c r="Q140" t="s">
        <v>97</v>
      </c>
      <c r="R140" s="320" t="e">
        <f>'Quotation Sheet'!#REF!</f>
        <v>#REF!</v>
      </c>
      <c r="S140">
        <v>139</v>
      </c>
      <c r="T140">
        <f>IF($W$1='OPSİYON SORGU'!Q140,1,0)</f>
        <v>0</v>
      </c>
      <c r="U140">
        <f t="shared" si="14"/>
        <v>0</v>
      </c>
      <c r="Y140" t="s">
        <v>97</v>
      </c>
      <c r="Z140" s="320" t="e">
        <f>'Quotation Sheet'!#REF!</f>
        <v>#REF!</v>
      </c>
      <c r="AA140">
        <v>139</v>
      </c>
      <c r="AB140">
        <f>IF($AE$1='OPSİYON SORGU'!Y140,1,0)</f>
        <v>0</v>
      </c>
      <c r="AC140">
        <f t="shared" si="15"/>
        <v>0</v>
      </c>
      <c r="AG140" t="s">
        <v>97</v>
      </c>
      <c r="AH140" s="320" t="e">
        <f>'Quotation Sheet'!#REF!</f>
        <v>#REF!</v>
      </c>
      <c r="AI140">
        <v>139</v>
      </c>
      <c r="AJ140">
        <f>IF($AM$1='OPSİYON SORGU'!AG140,1,0)</f>
        <v>0</v>
      </c>
      <c r="AK140">
        <f t="shared" si="16"/>
        <v>0</v>
      </c>
      <c r="AO140" t="s">
        <v>97</v>
      </c>
      <c r="AP140" s="320" t="e">
        <f>'Quotation Sheet'!#REF!</f>
        <v>#REF!</v>
      </c>
      <c r="AQ140">
        <v>139</v>
      </c>
      <c r="AR140">
        <f>IF($AU$1='OPSİYON SORGU'!AO140,1,0)</f>
        <v>0</v>
      </c>
      <c r="AS140">
        <f t="shared" si="17"/>
        <v>0</v>
      </c>
    </row>
    <row r="141" spans="1:45">
      <c r="A141" t="s">
        <v>97</v>
      </c>
      <c r="B141" s="320">
        <f>'Quotation Sheet'!K101</f>
        <v>0</v>
      </c>
      <c r="C141">
        <v>140</v>
      </c>
      <c r="D141">
        <f>IF($G$1='OPSİYON SORGU'!A141,1,0)</f>
        <v>0</v>
      </c>
      <c r="E141">
        <f t="shared" si="12"/>
        <v>0</v>
      </c>
      <c r="I141" t="s">
        <v>97</v>
      </c>
      <c r="J141" s="320">
        <f>'Quotation Sheet'!K101</f>
        <v>0</v>
      </c>
      <c r="K141">
        <v>140</v>
      </c>
      <c r="L141">
        <f>IF($O$1='OPSİYON SORGU'!I141,1,0)</f>
        <v>0</v>
      </c>
      <c r="M141">
        <f t="shared" si="13"/>
        <v>0</v>
      </c>
      <c r="Q141" t="s">
        <v>97</v>
      </c>
      <c r="R141" s="320">
        <f>'Quotation Sheet'!K101</f>
        <v>0</v>
      </c>
      <c r="S141">
        <v>140</v>
      </c>
      <c r="T141">
        <f>IF($W$1='OPSİYON SORGU'!Q141,1,0)</f>
        <v>0</v>
      </c>
      <c r="U141">
        <f t="shared" si="14"/>
        <v>0</v>
      </c>
      <c r="Y141" t="s">
        <v>97</v>
      </c>
      <c r="Z141" s="320">
        <f>'Quotation Sheet'!K101</f>
        <v>0</v>
      </c>
      <c r="AA141">
        <v>140</v>
      </c>
      <c r="AB141">
        <f>IF($AE$1='OPSİYON SORGU'!Y141,1,0)</f>
        <v>0</v>
      </c>
      <c r="AC141">
        <f t="shared" si="15"/>
        <v>0</v>
      </c>
      <c r="AG141" t="s">
        <v>97</v>
      </c>
      <c r="AH141" s="320">
        <f>'Quotation Sheet'!K101</f>
        <v>0</v>
      </c>
      <c r="AI141">
        <v>140</v>
      </c>
      <c r="AJ141">
        <f>IF($AM$1='OPSİYON SORGU'!AG141,1,0)</f>
        <v>0</v>
      </c>
      <c r="AK141">
        <f t="shared" si="16"/>
        <v>0</v>
      </c>
      <c r="AO141" t="s">
        <v>97</v>
      </c>
      <c r="AP141" s="320">
        <f>'Quotation Sheet'!K101</f>
        <v>0</v>
      </c>
      <c r="AQ141">
        <v>140</v>
      </c>
      <c r="AR141">
        <f>IF($AU$1='OPSİYON SORGU'!AO141,1,0)</f>
        <v>0</v>
      </c>
      <c r="AS141">
        <f t="shared" si="17"/>
        <v>0</v>
      </c>
    </row>
    <row r="142" spans="1:45">
      <c r="A142" t="s">
        <v>97</v>
      </c>
      <c r="B142" s="320">
        <f>'Quotation Sheet'!K103</f>
        <v>0</v>
      </c>
      <c r="C142">
        <v>141</v>
      </c>
      <c r="D142">
        <f>IF($G$1='OPSİYON SORGU'!A142,1,0)</f>
        <v>0</v>
      </c>
      <c r="E142">
        <f t="shared" si="12"/>
        <v>0</v>
      </c>
      <c r="I142" t="s">
        <v>97</v>
      </c>
      <c r="J142" s="320">
        <f>'Quotation Sheet'!K103</f>
        <v>0</v>
      </c>
      <c r="K142">
        <v>141</v>
      </c>
      <c r="L142">
        <f>IF($O$1='OPSİYON SORGU'!I142,1,0)</f>
        <v>0</v>
      </c>
      <c r="M142">
        <f t="shared" si="13"/>
        <v>0</v>
      </c>
      <c r="Q142" t="s">
        <v>97</v>
      </c>
      <c r="R142" s="320">
        <f>'Quotation Sheet'!K103</f>
        <v>0</v>
      </c>
      <c r="S142">
        <v>141</v>
      </c>
      <c r="T142">
        <f>IF($W$1='OPSİYON SORGU'!Q142,1,0)</f>
        <v>0</v>
      </c>
      <c r="U142">
        <f t="shared" si="14"/>
        <v>0</v>
      </c>
      <c r="Y142" t="s">
        <v>97</v>
      </c>
      <c r="Z142" s="320">
        <f>'Quotation Sheet'!K103</f>
        <v>0</v>
      </c>
      <c r="AA142">
        <v>141</v>
      </c>
      <c r="AB142">
        <f>IF($AE$1='OPSİYON SORGU'!Y142,1,0)</f>
        <v>0</v>
      </c>
      <c r="AC142">
        <f t="shared" si="15"/>
        <v>0</v>
      </c>
      <c r="AG142" t="s">
        <v>97</v>
      </c>
      <c r="AH142" s="320">
        <f>'Quotation Sheet'!K103</f>
        <v>0</v>
      </c>
      <c r="AI142">
        <v>141</v>
      </c>
      <c r="AJ142">
        <f>IF($AM$1='OPSİYON SORGU'!AG142,1,0)</f>
        <v>0</v>
      </c>
      <c r="AK142">
        <f t="shared" si="16"/>
        <v>0</v>
      </c>
      <c r="AO142" t="s">
        <v>97</v>
      </c>
      <c r="AP142" s="320">
        <f>'Quotation Sheet'!K103</f>
        <v>0</v>
      </c>
      <c r="AQ142">
        <v>141</v>
      </c>
      <c r="AR142">
        <f>IF($AU$1='OPSİYON SORGU'!AO142,1,0)</f>
        <v>0</v>
      </c>
      <c r="AS142">
        <f t="shared" si="17"/>
        <v>0</v>
      </c>
    </row>
    <row r="143" spans="1:45">
      <c r="A143" t="s">
        <v>97</v>
      </c>
      <c r="B143" s="320">
        <f>'Quotation Sheet'!K104</f>
        <v>0</v>
      </c>
      <c r="C143">
        <v>142</v>
      </c>
      <c r="D143">
        <f>IF($G$1='OPSİYON SORGU'!A143,1,0)</f>
        <v>0</v>
      </c>
      <c r="E143">
        <f t="shared" si="12"/>
        <v>0</v>
      </c>
      <c r="I143" t="s">
        <v>97</v>
      </c>
      <c r="J143" s="320">
        <f>'Quotation Sheet'!K104</f>
        <v>0</v>
      </c>
      <c r="K143">
        <v>142</v>
      </c>
      <c r="L143">
        <f>IF($O$1='OPSİYON SORGU'!I143,1,0)</f>
        <v>0</v>
      </c>
      <c r="M143">
        <f t="shared" si="13"/>
        <v>0</v>
      </c>
      <c r="Q143" t="s">
        <v>97</v>
      </c>
      <c r="R143" s="320">
        <f>'Quotation Sheet'!K104</f>
        <v>0</v>
      </c>
      <c r="S143">
        <v>142</v>
      </c>
      <c r="T143">
        <f>IF($W$1='OPSİYON SORGU'!Q143,1,0)</f>
        <v>0</v>
      </c>
      <c r="U143">
        <f t="shared" si="14"/>
        <v>0</v>
      </c>
      <c r="Y143" t="s">
        <v>97</v>
      </c>
      <c r="Z143" s="320">
        <f>'Quotation Sheet'!K104</f>
        <v>0</v>
      </c>
      <c r="AA143">
        <v>142</v>
      </c>
      <c r="AB143">
        <f>IF($AE$1='OPSİYON SORGU'!Y143,1,0)</f>
        <v>0</v>
      </c>
      <c r="AC143">
        <f t="shared" si="15"/>
        <v>0</v>
      </c>
      <c r="AG143" t="s">
        <v>97</v>
      </c>
      <c r="AH143" s="320">
        <f>'Quotation Sheet'!K104</f>
        <v>0</v>
      </c>
      <c r="AI143">
        <v>142</v>
      </c>
      <c r="AJ143">
        <f>IF($AM$1='OPSİYON SORGU'!AG143,1,0)</f>
        <v>0</v>
      </c>
      <c r="AK143">
        <f t="shared" si="16"/>
        <v>0</v>
      </c>
      <c r="AO143" t="s">
        <v>97</v>
      </c>
      <c r="AP143" s="320">
        <f>'Quotation Sheet'!K104</f>
        <v>0</v>
      </c>
      <c r="AQ143">
        <v>142</v>
      </c>
      <c r="AR143">
        <f>IF($AU$1='OPSİYON SORGU'!AO143,1,0)</f>
        <v>0</v>
      </c>
      <c r="AS143">
        <f t="shared" si="17"/>
        <v>0</v>
      </c>
    </row>
    <row r="144" spans="1:45">
      <c r="A144" t="s">
        <v>97</v>
      </c>
      <c r="B144" s="320">
        <f>'Quotation Sheet'!K105</f>
        <v>0</v>
      </c>
      <c r="C144">
        <v>143</v>
      </c>
      <c r="D144">
        <f>IF($G$1='OPSİYON SORGU'!A144,1,0)</f>
        <v>0</v>
      </c>
      <c r="E144">
        <f t="shared" si="12"/>
        <v>0</v>
      </c>
      <c r="I144" t="s">
        <v>97</v>
      </c>
      <c r="J144" s="320">
        <f>'Quotation Sheet'!K105</f>
        <v>0</v>
      </c>
      <c r="K144">
        <v>143</v>
      </c>
      <c r="L144">
        <f>IF($O$1='OPSİYON SORGU'!I144,1,0)</f>
        <v>0</v>
      </c>
      <c r="M144">
        <f t="shared" si="13"/>
        <v>0</v>
      </c>
      <c r="Q144" t="s">
        <v>97</v>
      </c>
      <c r="R144" s="320">
        <f>'Quotation Sheet'!K105</f>
        <v>0</v>
      </c>
      <c r="S144">
        <v>143</v>
      </c>
      <c r="T144">
        <f>IF($W$1='OPSİYON SORGU'!Q144,1,0)</f>
        <v>0</v>
      </c>
      <c r="U144">
        <f t="shared" si="14"/>
        <v>0</v>
      </c>
      <c r="Y144" t="s">
        <v>97</v>
      </c>
      <c r="Z144" s="320">
        <f>'Quotation Sheet'!K105</f>
        <v>0</v>
      </c>
      <c r="AA144">
        <v>143</v>
      </c>
      <c r="AB144">
        <f>IF($AE$1='OPSİYON SORGU'!Y144,1,0)</f>
        <v>0</v>
      </c>
      <c r="AC144">
        <f t="shared" si="15"/>
        <v>0</v>
      </c>
      <c r="AG144" t="s">
        <v>97</v>
      </c>
      <c r="AH144" s="320">
        <f>'Quotation Sheet'!K105</f>
        <v>0</v>
      </c>
      <c r="AI144">
        <v>143</v>
      </c>
      <c r="AJ144">
        <f>IF($AM$1='OPSİYON SORGU'!AG144,1,0)</f>
        <v>0</v>
      </c>
      <c r="AK144">
        <f t="shared" si="16"/>
        <v>0</v>
      </c>
      <c r="AO144" t="s">
        <v>97</v>
      </c>
      <c r="AP144" s="320">
        <f>'Quotation Sheet'!K105</f>
        <v>0</v>
      </c>
      <c r="AQ144">
        <v>143</v>
      </c>
      <c r="AR144">
        <f>IF($AU$1='OPSİYON SORGU'!AO144,1,0)</f>
        <v>0</v>
      </c>
      <c r="AS144">
        <f t="shared" si="17"/>
        <v>0</v>
      </c>
    </row>
    <row r="145" spans="1:45">
      <c r="A145" t="s">
        <v>97</v>
      </c>
      <c r="B145" s="320">
        <f>'Quotation Sheet'!K106</f>
        <v>0</v>
      </c>
      <c r="C145">
        <v>144</v>
      </c>
      <c r="D145">
        <f>IF($G$1='OPSİYON SORGU'!A145,1,0)</f>
        <v>0</v>
      </c>
      <c r="E145">
        <f t="shared" si="12"/>
        <v>0</v>
      </c>
      <c r="I145" t="s">
        <v>97</v>
      </c>
      <c r="J145" s="320">
        <f>'Quotation Sheet'!K106</f>
        <v>0</v>
      </c>
      <c r="K145">
        <v>144</v>
      </c>
      <c r="L145">
        <f>IF($O$1='OPSİYON SORGU'!I145,1,0)</f>
        <v>0</v>
      </c>
      <c r="M145">
        <f t="shared" si="13"/>
        <v>0</v>
      </c>
      <c r="Q145" t="s">
        <v>97</v>
      </c>
      <c r="R145" s="320">
        <f>'Quotation Sheet'!K106</f>
        <v>0</v>
      </c>
      <c r="S145">
        <v>144</v>
      </c>
      <c r="T145">
        <f>IF($W$1='OPSİYON SORGU'!Q145,1,0)</f>
        <v>0</v>
      </c>
      <c r="U145">
        <f t="shared" si="14"/>
        <v>0</v>
      </c>
      <c r="Y145" t="s">
        <v>97</v>
      </c>
      <c r="Z145" s="320">
        <f>'Quotation Sheet'!K106</f>
        <v>0</v>
      </c>
      <c r="AA145">
        <v>144</v>
      </c>
      <c r="AB145">
        <f>IF($AE$1='OPSİYON SORGU'!Y145,1,0)</f>
        <v>0</v>
      </c>
      <c r="AC145">
        <f t="shared" si="15"/>
        <v>0</v>
      </c>
      <c r="AG145" t="s">
        <v>97</v>
      </c>
      <c r="AH145" s="320">
        <f>'Quotation Sheet'!K106</f>
        <v>0</v>
      </c>
      <c r="AI145">
        <v>144</v>
      </c>
      <c r="AJ145">
        <f>IF($AM$1='OPSİYON SORGU'!AG145,1,0)</f>
        <v>0</v>
      </c>
      <c r="AK145">
        <f t="shared" si="16"/>
        <v>0</v>
      </c>
      <c r="AO145" t="s">
        <v>97</v>
      </c>
      <c r="AP145" s="320">
        <f>'Quotation Sheet'!K106</f>
        <v>0</v>
      </c>
      <c r="AQ145">
        <v>144</v>
      </c>
      <c r="AR145">
        <f>IF($AU$1='OPSİYON SORGU'!AO145,1,0)</f>
        <v>0</v>
      </c>
      <c r="AS145">
        <f t="shared" si="17"/>
        <v>0</v>
      </c>
    </row>
    <row r="146" spans="1:45">
      <c r="A146" t="s">
        <v>97</v>
      </c>
      <c r="B146" s="320">
        <f>'Quotation Sheet'!K107</f>
        <v>0</v>
      </c>
      <c r="C146">
        <v>145</v>
      </c>
      <c r="D146">
        <f>IF($G$1='OPSİYON SORGU'!A146,1,0)</f>
        <v>0</v>
      </c>
      <c r="E146">
        <f t="shared" si="12"/>
        <v>0</v>
      </c>
      <c r="I146" t="s">
        <v>97</v>
      </c>
      <c r="J146" s="320">
        <f>'Quotation Sheet'!K107</f>
        <v>0</v>
      </c>
      <c r="K146">
        <v>145</v>
      </c>
      <c r="L146">
        <f>IF($O$1='OPSİYON SORGU'!I146,1,0)</f>
        <v>0</v>
      </c>
      <c r="M146">
        <f t="shared" si="13"/>
        <v>0</v>
      </c>
      <c r="Q146" t="s">
        <v>97</v>
      </c>
      <c r="R146" s="320">
        <f>'Quotation Sheet'!K107</f>
        <v>0</v>
      </c>
      <c r="S146">
        <v>145</v>
      </c>
      <c r="T146">
        <f>IF($W$1='OPSİYON SORGU'!Q146,1,0)</f>
        <v>0</v>
      </c>
      <c r="U146">
        <f t="shared" si="14"/>
        <v>0</v>
      </c>
      <c r="Y146" t="s">
        <v>97</v>
      </c>
      <c r="Z146" s="320">
        <f>'Quotation Sheet'!K107</f>
        <v>0</v>
      </c>
      <c r="AA146">
        <v>145</v>
      </c>
      <c r="AB146">
        <f>IF($AE$1='OPSİYON SORGU'!Y146,1,0)</f>
        <v>0</v>
      </c>
      <c r="AC146">
        <f t="shared" si="15"/>
        <v>0</v>
      </c>
      <c r="AG146" t="s">
        <v>97</v>
      </c>
      <c r="AH146" s="320">
        <f>'Quotation Sheet'!K107</f>
        <v>0</v>
      </c>
      <c r="AI146">
        <v>145</v>
      </c>
      <c r="AJ146">
        <f>IF($AM$1='OPSİYON SORGU'!AG146,1,0)</f>
        <v>0</v>
      </c>
      <c r="AK146">
        <f t="shared" si="16"/>
        <v>0</v>
      </c>
      <c r="AO146" t="s">
        <v>97</v>
      </c>
      <c r="AP146" s="320">
        <f>'Quotation Sheet'!K107</f>
        <v>0</v>
      </c>
      <c r="AQ146">
        <v>145</v>
      </c>
      <c r="AR146">
        <f>IF($AU$1='OPSİYON SORGU'!AO146,1,0)</f>
        <v>0</v>
      </c>
      <c r="AS146">
        <f t="shared" si="17"/>
        <v>0</v>
      </c>
    </row>
    <row r="147" spans="1:45">
      <c r="A147" t="s">
        <v>97</v>
      </c>
      <c r="B147" s="320">
        <f>'Quotation Sheet'!K109</f>
        <v>0</v>
      </c>
      <c r="C147">
        <v>146</v>
      </c>
      <c r="D147">
        <f>IF($G$1='OPSİYON SORGU'!A147,1,0)</f>
        <v>0</v>
      </c>
      <c r="E147">
        <f t="shared" si="12"/>
        <v>0</v>
      </c>
      <c r="I147" t="s">
        <v>97</v>
      </c>
      <c r="J147" s="320">
        <f>'Quotation Sheet'!K109</f>
        <v>0</v>
      </c>
      <c r="K147">
        <v>146</v>
      </c>
      <c r="L147">
        <f>IF($O$1='OPSİYON SORGU'!I147,1,0)</f>
        <v>0</v>
      </c>
      <c r="M147">
        <f t="shared" si="13"/>
        <v>0</v>
      </c>
      <c r="Q147" t="s">
        <v>97</v>
      </c>
      <c r="R147" s="320">
        <f>'Quotation Sheet'!K109</f>
        <v>0</v>
      </c>
      <c r="S147">
        <v>146</v>
      </c>
      <c r="T147">
        <f>IF($W$1='OPSİYON SORGU'!Q147,1,0)</f>
        <v>0</v>
      </c>
      <c r="U147">
        <f t="shared" si="14"/>
        <v>0</v>
      </c>
      <c r="Y147" t="s">
        <v>97</v>
      </c>
      <c r="Z147" s="320">
        <f>'Quotation Sheet'!K109</f>
        <v>0</v>
      </c>
      <c r="AA147">
        <v>146</v>
      </c>
      <c r="AB147">
        <f>IF($AE$1='OPSİYON SORGU'!Y147,1,0)</f>
        <v>0</v>
      </c>
      <c r="AC147">
        <f t="shared" si="15"/>
        <v>0</v>
      </c>
      <c r="AG147" t="s">
        <v>97</v>
      </c>
      <c r="AH147" s="320">
        <f>'Quotation Sheet'!K109</f>
        <v>0</v>
      </c>
      <c r="AI147">
        <v>146</v>
      </c>
      <c r="AJ147">
        <f>IF($AM$1='OPSİYON SORGU'!AG147,1,0)</f>
        <v>0</v>
      </c>
      <c r="AK147">
        <f t="shared" si="16"/>
        <v>0</v>
      </c>
      <c r="AO147" t="s">
        <v>97</v>
      </c>
      <c r="AP147" s="320">
        <f>'Quotation Sheet'!K109</f>
        <v>0</v>
      </c>
      <c r="AQ147">
        <v>146</v>
      </c>
      <c r="AR147">
        <f>IF($AU$1='OPSİYON SORGU'!AO147,1,0)</f>
        <v>0</v>
      </c>
      <c r="AS147">
        <f t="shared" si="17"/>
        <v>0</v>
      </c>
    </row>
    <row r="148" spans="1:45">
      <c r="A148" t="s">
        <v>97</v>
      </c>
      <c r="B148" s="320">
        <f>'Quotation Sheet'!K110</f>
        <v>0</v>
      </c>
      <c r="C148">
        <v>147</v>
      </c>
      <c r="D148">
        <f>IF($G$1='OPSİYON SORGU'!A148,1,0)</f>
        <v>0</v>
      </c>
      <c r="E148">
        <f t="shared" si="12"/>
        <v>0</v>
      </c>
      <c r="I148" t="s">
        <v>97</v>
      </c>
      <c r="J148" s="320">
        <f>'Quotation Sheet'!K110</f>
        <v>0</v>
      </c>
      <c r="K148">
        <v>147</v>
      </c>
      <c r="L148">
        <f>IF($O$1='OPSİYON SORGU'!I148,1,0)</f>
        <v>0</v>
      </c>
      <c r="M148">
        <f t="shared" si="13"/>
        <v>0</v>
      </c>
      <c r="Q148" t="s">
        <v>97</v>
      </c>
      <c r="R148" s="320">
        <f>'Quotation Sheet'!K110</f>
        <v>0</v>
      </c>
      <c r="S148">
        <v>147</v>
      </c>
      <c r="T148">
        <f>IF($W$1='OPSİYON SORGU'!Q148,1,0)</f>
        <v>0</v>
      </c>
      <c r="U148">
        <f t="shared" si="14"/>
        <v>0</v>
      </c>
      <c r="Y148" t="s">
        <v>97</v>
      </c>
      <c r="Z148" s="320">
        <f>'Quotation Sheet'!K110</f>
        <v>0</v>
      </c>
      <c r="AA148">
        <v>147</v>
      </c>
      <c r="AB148">
        <f>IF($AE$1='OPSİYON SORGU'!Y148,1,0)</f>
        <v>0</v>
      </c>
      <c r="AC148">
        <f t="shared" si="15"/>
        <v>0</v>
      </c>
      <c r="AG148" t="s">
        <v>97</v>
      </c>
      <c r="AH148" s="320">
        <f>'Quotation Sheet'!K110</f>
        <v>0</v>
      </c>
      <c r="AI148">
        <v>147</v>
      </c>
      <c r="AJ148">
        <f>IF($AM$1='OPSİYON SORGU'!AG148,1,0)</f>
        <v>0</v>
      </c>
      <c r="AK148">
        <f t="shared" si="16"/>
        <v>0</v>
      </c>
      <c r="AO148" t="s">
        <v>97</v>
      </c>
      <c r="AP148" s="320">
        <f>'Quotation Sheet'!K110</f>
        <v>0</v>
      </c>
      <c r="AQ148">
        <v>147</v>
      </c>
      <c r="AR148">
        <f>IF($AU$1='OPSİYON SORGU'!AO148,1,0)</f>
        <v>0</v>
      </c>
      <c r="AS148">
        <f t="shared" si="17"/>
        <v>0</v>
      </c>
    </row>
    <row r="149" spans="1:45">
      <c r="A149" t="s">
        <v>97</v>
      </c>
      <c r="B149" s="320">
        <f>'Quotation Sheet'!K111</f>
        <v>0</v>
      </c>
      <c r="C149">
        <v>148</v>
      </c>
      <c r="D149">
        <f>IF($G$1='OPSİYON SORGU'!A149,1,0)</f>
        <v>0</v>
      </c>
      <c r="E149">
        <f t="shared" si="12"/>
        <v>0</v>
      </c>
      <c r="I149" t="s">
        <v>97</v>
      </c>
      <c r="J149" s="320">
        <f>'Quotation Sheet'!K111</f>
        <v>0</v>
      </c>
      <c r="K149">
        <v>148</v>
      </c>
      <c r="L149">
        <f>IF($O$1='OPSİYON SORGU'!I149,1,0)</f>
        <v>0</v>
      </c>
      <c r="M149">
        <f t="shared" si="13"/>
        <v>0</v>
      </c>
      <c r="Q149" t="s">
        <v>97</v>
      </c>
      <c r="R149" s="320">
        <f>'Quotation Sheet'!K111</f>
        <v>0</v>
      </c>
      <c r="S149">
        <v>148</v>
      </c>
      <c r="T149">
        <f>IF($W$1='OPSİYON SORGU'!Q149,1,0)</f>
        <v>0</v>
      </c>
      <c r="U149">
        <f t="shared" si="14"/>
        <v>0</v>
      </c>
      <c r="Y149" t="s">
        <v>97</v>
      </c>
      <c r="Z149" s="320">
        <f>'Quotation Sheet'!K111</f>
        <v>0</v>
      </c>
      <c r="AA149">
        <v>148</v>
      </c>
      <c r="AB149">
        <f>IF($AE$1='OPSİYON SORGU'!Y149,1,0)</f>
        <v>0</v>
      </c>
      <c r="AC149">
        <f t="shared" si="15"/>
        <v>0</v>
      </c>
      <c r="AG149" t="s">
        <v>97</v>
      </c>
      <c r="AH149" s="320">
        <f>'Quotation Sheet'!K111</f>
        <v>0</v>
      </c>
      <c r="AI149">
        <v>148</v>
      </c>
      <c r="AJ149">
        <f>IF($AM$1='OPSİYON SORGU'!AG149,1,0)</f>
        <v>0</v>
      </c>
      <c r="AK149">
        <f t="shared" si="16"/>
        <v>0</v>
      </c>
      <c r="AO149" t="s">
        <v>97</v>
      </c>
      <c r="AP149" s="320">
        <f>'Quotation Sheet'!K111</f>
        <v>0</v>
      </c>
      <c r="AQ149">
        <v>148</v>
      </c>
      <c r="AR149">
        <f>IF($AU$1='OPSİYON SORGU'!AO149,1,0)</f>
        <v>0</v>
      </c>
      <c r="AS149">
        <f t="shared" si="17"/>
        <v>0</v>
      </c>
    </row>
    <row r="150" spans="1:45">
      <c r="A150" t="s">
        <v>97</v>
      </c>
      <c r="B150" s="320">
        <f>'Quotation Sheet'!K112</f>
        <v>0</v>
      </c>
      <c r="C150">
        <v>149</v>
      </c>
      <c r="D150">
        <f>IF($G$1='OPSİYON SORGU'!A150,1,0)</f>
        <v>0</v>
      </c>
      <c r="E150">
        <f t="shared" si="12"/>
        <v>0</v>
      </c>
      <c r="I150" t="s">
        <v>97</v>
      </c>
      <c r="J150" s="320">
        <f>'Quotation Sheet'!K112</f>
        <v>0</v>
      </c>
      <c r="K150">
        <v>149</v>
      </c>
      <c r="L150">
        <f>IF($O$1='OPSİYON SORGU'!I150,1,0)</f>
        <v>0</v>
      </c>
      <c r="M150">
        <f t="shared" si="13"/>
        <v>0</v>
      </c>
      <c r="Q150" t="s">
        <v>97</v>
      </c>
      <c r="R150" s="320">
        <f>'Quotation Sheet'!K112</f>
        <v>0</v>
      </c>
      <c r="S150">
        <v>149</v>
      </c>
      <c r="T150">
        <f>IF($W$1='OPSİYON SORGU'!Q150,1,0)</f>
        <v>0</v>
      </c>
      <c r="U150">
        <f t="shared" si="14"/>
        <v>0</v>
      </c>
      <c r="Y150" t="s">
        <v>97</v>
      </c>
      <c r="Z150" s="320">
        <f>'Quotation Sheet'!K112</f>
        <v>0</v>
      </c>
      <c r="AA150">
        <v>149</v>
      </c>
      <c r="AB150">
        <f>IF($AE$1='OPSİYON SORGU'!Y150,1,0)</f>
        <v>0</v>
      </c>
      <c r="AC150">
        <f t="shared" si="15"/>
        <v>0</v>
      </c>
      <c r="AG150" t="s">
        <v>97</v>
      </c>
      <c r="AH150" s="320">
        <f>'Quotation Sheet'!K112</f>
        <v>0</v>
      </c>
      <c r="AI150">
        <v>149</v>
      </c>
      <c r="AJ150">
        <f>IF($AM$1='OPSİYON SORGU'!AG150,1,0)</f>
        <v>0</v>
      </c>
      <c r="AK150">
        <f t="shared" si="16"/>
        <v>0</v>
      </c>
      <c r="AO150" t="s">
        <v>97</v>
      </c>
      <c r="AP150" s="320">
        <f>'Quotation Sheet'!K112</f>
        <v>0</v>
      </c>
      <c r="AQ150">
        <v>149</v>
      </c>
      <c r="AR150">
        <f>IF($AU$1='OPSİYON SORGU'!AO150,1,0)</f>
        <v>0</v>
      </c>
      <c r="AS150">
        <f t="shared" si="17"/>
        <v>0</v>
      </c>
    </row>
    <row r="151" spans="1:45">
      <c r="A151" t="s">
        <v>97</v>
      </c>
      <c r="B151" s="320">
        <f>'Quotation Sheet'!K113</f>
        <v>0</v>
      </c>
      <c r="C151">
        <v>150</v>
      </c>
      <c r="D151">
        <f>IF($G$1='OPSİYON SORGU'!A151,1,0)</f>
        <v>0</v>
      </c>
      <c r="E151">
        <f t="shared" si="12"/>
        <v>0</v>
      </c>
      <c r="I151" t="s">
        <v>97</v>
      </c>
      <c r="J151" s="320">
        <f>'Quotation Sheet'!K113</f>
        <v>0</v>
      </c>
      <c r="K151">
        <v>150</v>
      </c>
      <c r="L151">
        <f>IF($O$1='OPSİYON SORGU'!I151,1,0)</f>
        <v>0</v>
      </c>
      <c r="M151">
        <f t="shared" si="13"/>
        <v>0</v>
      </c>
      <c r="Q151" t="s">
        <v>97</v>
      </c>
      <c r="R151" s="320">
        <f>'Quotation Sheet'!K113</f>
        <v>0</v>
      </c>
      <c r="S151">
        <v>150</v>
      </c>
      <c r="T151">
        <f>IF($W$1='OPSİYON SORGU'!Q151,1,0)</f>
        <v>0</v>
      </c>
      <c r="U151">
        <f t="shared" si="14"/>
        <v>0</v>
      </c>
      <c r="Y151" t="s">
        <v>97</v>
      </c>
      <c r="Z151" s="320">
        <f>'Quotation Sheet'!K113</f>
        <v>0</v>
      </c>
      <c r="AA151">
        <v>150</v>
      </c>
      <c r="AB151">
        <f>IF($AE$1='OPSİYON SORGU'!Y151,1,0)</f>
        <v>0</v>
      </c>
      <c r="AC151">
        <f t="shared" si="15"/>
        <v>0</v>
      </c>
      <c r="AG151" t="s">
        <v>97</v>
      </c>
      <c r="AH151" s="320">
        <f>'Quotation Sheet'!K113</f>
        <v>0</v>
      </c>
      <c r="AI151">
        <v>150</v>
      </c>
      <c r="AJ151">
        <f>IF($AM$1='OPSİYON SORGU'!AG151,1,0)</f>
        <v>0</v>
      </c>
      <c r="AK151">
        <f t="shared" si="16"/>
        <v>0</v>
      </c>
      <c r="AO151" t="s">
        <v>97</v>
      </c>
      <c r="AP151" s="320">
        <f>'Quotation Sheet'!K113</f>
        <v>0</v>
      </c>
      <c r="AQ151">
        <v>150</v>
      </c>
      <c r="AR151">
        <f>IF($AU$1='OPSİYON SORGU'!AO151,1,0)</f>
        <v>0</v>
      </c>
      <c r="AS151">
        <f t="shared" si="17"/>
        <v>0</v>
      </c>
    </row>
  </sheetData>
  <mergeCells count="6">
    <mergeCell ref="Y1:AC1"/>
    <mergeCell ref="AG1:AK1"/>
    <mergeCell ref="AP1:AS1"/>
    <mergeCell ref="A1:E1"/>
    <mergeCell ref="I1:M1"/>
    <mergeCell ref="Q1:U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B3308-56A2-46F7-8934-35266FFCBD10}">
  <sheetPr codeName="Sayfa12"/>
  <dimension ref="A1:J69"/>
  <sheetViews>
    <sheetView workbookViewId="0">
      <selection activeCell="I26" sqref="I26"/>
    </sheetView>
  </sheetViews>
  <sheetFormatPr defaultRowHeight="14.4"/>
  <cols>
    <col min="1" max="1" width="18.6640625" customWidth="1"/>
    <col min="3" max="3" width="36.33203125" customWidth="1"/>
  </cols>
  <sheetData>
    <row r="1" spans="1:10">
      <c r="A1" t="s">
        <v>281</v>
      </c>
      <c r="B1" t="s">
        <v>281</v>
      </c>
      <c r="G1" t="e">
        <f>IF(H1="SEÇİNİZ",0,"B"&amp;MATCH(1,F2:F1815,0)+1&amp;":"&amp;"B"&amp;MATCH(LARGE(F2:F1815,1),F2:F1815,0)+1)</f>
        <v>#N/A</v>
      </c>
      <c r="H1" t="str">
        <f>'iş emri'!H7</f>
        <v>Seçiniz.</v>
      </c>
      <c r="J1" t="s">
        <v>681</v>
      </c>
    </row>
    <row r="2" spans="1:10">
      <c r="A2" t="s">
        <v>676</v>
      </c>
      <c r="B2" t="s">
        <v>680</v>
      </c>
      <c r="C2" t="str">
        <f t="shared" ref="C2:C33" si="0">+A2&amp;B2</f>
        <v>Kişisel Bakım Ağız Bakım Ürünleri</v>
      </c>
      <c r="D2">
        <v>1</v>
      </c>
      <c r="E2">
        <f>IF('iş emri'!$H$7=Sayfa2!A2,1,0)</f>
        <v>0</v>
      </c>
      <c r="F2">
        <f>+IF(E2=1,1,0)</f>
        <v>0</v>
      </c>
      <c r="J2" t="s">
        <v>281</v>
      </c>
    </row>
    <row r="3" spans="1:10">
      <c r="A3" t="s">
        <v>676</v>
      </c>
      <c r="B3" t="s">
        <v>679</v>
      </c>
      <c r="C3" t="str">
        <f t="shared" si="0"/>
        <v>Kişisel Bakım Saç Bakım Ürünleri</v>
      </c>
      <c r="D3">
        <v>2</v>
      </c>
      <c r="E3">
        <f>IF('iş emri'!$H$7=Sayfa2!A3,1,0)</f>
        <v>0</v>
      </c>
      <c r="F3">
        <f>+IF(E3=0,0,F2+1)</f>
        <v>0</v>
      </c>
      <c r="J3" t="s">
        <v>676</v>
      </c>
    </row>
    <row r="4" spans="1:10">
      <c r="A4" t="s">
        <v>676</v>
      </c>
      <c r="B4" t="s">
        <v>678</v>
      </c>
      <c r="C4" t="str">
        <f t="shared" si="0"/>
        <v>Kişisel Bakım El-Ayak Bakım Ürünleri</v>
      </c>
      <c r="D4">
        <v>3</v>
      </c>
      <c r="E4">
        <f>IF('iş emri'!$H$7=Sayfa2!A4,1,0)</f>
        <v>0</v>
      </c>
      <c r="F4">
        <f t="shared" ref="F4:F67" si="1">+IF(E4=0,0,F3+1)</f>
        <v>0</v>
      </c>
      <c r="J4" t="s">
        <v>672</v>
      </c>
    </row>
    <row r="5" spans="1:10">
      <c r="A5" t="s">
        <v>676</v>
      </c>
      <c r="B5" t="s">
        <v>677</v>
      </c>
      <c r="C5" t="str">
        <f t="shared" si="0"/>
        <v xml:space="preserve">Kişisel Bakım Duş Ürünleri </v>
      </c>
      <c r="D5">
        <v>4</v>
      </c>
      <c r="E5">
        <f>IF('iş emri'!$H$7=Sayfa2!A5,1,0)</f>
        <v>0</v>
      </c>
      <c r="F5">
        <f t="shared" si="1"/>
        <v>0</v>
      </c>
      <c r="J5" t="s">
        <v>666</v>
      </c>
    </row>
    <row r="6" spans="1:10">
      <c r="A6" t="s">
        <v>676</v>
      </c>
      <c r="B6" t="s">
        <v>599</v>
      </c>
      <c r="C6" t="str">
        <f t="shared" si="0"/>
        <v>Kişisel Bakım Diğer</v>
      </c>
      <c r="D6">
        <v>5</v>
      </c>
      <c r="E6">
        <f>IF('iş emri'!$H$7=Sayfa2!A6,1,0)</f>
        <v>0</v>
      </c>
      <c r="F6">
        <f t="shared" si="1"/>
        <v>0</v>
      </c>
      <c r="J6" t="s">
        <v>664</v>
      </c>
    </row>
    <row r="7" spans="1:10">
      <c r="A7" t="s">
        <v>672</v>
      </c>
      <c r="B7" t="s">
        <v>675</v>
      </c>
      <c r="C7" t="str">
        <f t="shared" si="0"/>
        <v xml:space="preserve">Kozmetik Cilt Bakım Ürünleri </v>
      </c>
      <c r="D7">
        <v>6</v>
      </c>
      <c r="E7">
        <f>IF('iş emri'!$H$7=Sayfa2!A7,1,0)</f>
        <v>0</v>
      </c>
      <c r="F7">
        <f t="shared" si="1"/>
        <v>0</v>
      </c>
      <c r="J7" t="s">
        <v>657</v>
      </c>
    </row>
    <row r="8" spans="1:10">
      <c r="A8" t="s">
        <v>672</v>
      </c>
      <c r="B8" t="s">
        <v>674</v>
      </c>
      <c r="C8" t="str">
        <f t="shared" si="0"/>
        <v>Kozmetik Parfüm</v>
      </c>
      <c r="D8">
        <v>7</v>
      </c>
      <c r="E8">
        <f>IF('iş emri'!$H$7=Sayfa2!A8,1,0)</f>
        <v>0</v>
      </c>
      <c r="F8">
        <f t="shared" si="1"/>
        <v>0</v>
      </c>
      <c r="J8" t="s">
        <v>655</v>
      </c>
    </row>
    <row r="9" spans="1:10">
      <c r="A9" t="s">
        <v>672</v>
      </c>
      <c r="B9" t="s">
        <v>673</v>
      </c>
      <c r="C9" t="str">
        <f t="shared" si="0"/>
        <v>Kozmetik Makyaj Ürünleri</v>
      </c>
      <c r="D9">
        <v>8</v>
      </c>
      <c r="E9">
        <f>IF('iş emri'!$H$7=Sayfa2!A9,1,0)</f>
        <v>0</v>
      </c>
      <c r="F9">
        <f t="shared" si="1"/>
        <v>0</v>
      </c>
      <c r="J9" t="s">
        <v>643</v>
      </c>
    </row>
    <row r="10" spans="1:10">
      <c r="A10" t="s">
        <v>672</v>
      </c>
      <c r="B10" t="s">
        <v>599</v>
      </c>
      <c r="C10" t="str">
        <f t="shared" si="0"/>
        <v>Kozmetik Diğer</v>
      </c>
      <c r="D10">
        <v>9</v>
      </c>
      <c r="E10">
        <f>IF('iş emri'!$H$7=Sayfa2!A10,1,0)</f>
        <v>0</v>
      </c>
      <c r="F10">
        <f t="shared" si="1"/>
        <v>0</v>
      </c>
      <c r="J10" t="s">
        <v>637</v>
      </c>
    </row>
    <row r="11" spans="1:10">
      <c r="A11" t="s">
        <v>666</v>
      </c>
      <c r="B11" t="s">
        <v>671</v>
      </c>
      <c r="C11" t="str">
        <f t="shared" si="0"/>
        <v xml:space="preserve">ModaGiyim </v>
      </c>
      <c r="D11">
        <v>10</v>
      </c>
      <c r="E11">
        <f>IF('iş emri'!$H$7=Sayfa2!A11,1,0)</f>
        <v>0</v>
      </c>
      <c r="F11">
        <f t="shared" si="1"/>
        <v>0</v>
      </c>
      <c r="J11" t="s">
        <v>631</v>
      </c>
    </row>
    <row r="12" spans="1:10">
      <c r="A12" t="s">
        <v>666</v>
      </c>
      <c r="B12" t="s">
        <v>670</v>
      </c>
      <c r="C12" t="str">
        <f t="shared" si="0"/>
        <v>ModaAyakkabı</v>
      </c>
      <c r="D12">
        <v>11</v>
      </c>
      <c r="E12">
        <f>IF('iş emri'!$H$7=Sayfa2!A12,1,0)</f>
        <v>0</v>
      </c>
      <c r="F12">
        <f t="shared" si="1"/>
        <v>0</v>
      </c>
      <c r="J12" t="s">
        <v>627</v>
      </c>
    </row>
    <row r="13" spans="1:10">
      <c r="A13" t="s">
        <v>666</v>
      </c>
      <c r="B13" t="s">
        <v>283</v>
      </c>
      <c r="C13" t="str">
        <f t="shared" si="0"/>
        <v>ModaÇanta</v>
      </c>
      <c r="D13">
        <v>12</v>
      </c>
      <c r="E13">
        <f>IF('iş emri'!$H$7=Sayfa2!A13,1,0)</f>
        <v>0</v>
      </c>
      <c r="F13">
        <f t="shared" si="1"/>
        <v>0</v>
      </c>
      <c r="J13" t="s">
        <v>621</v>
      </c>
    </row>
    <row r="14" spans="1:10">
      <c r="A14" t="s">
        <v>666</v>
      </c>
      <c r="B14" t="s">
        <v>669</v>
      </c>
      <c r="C14" t="str">
        <f t="shared" si="0"/>
        <v>ModaCüzdan</v>
      </c>
      <c r="D14">
        <v>13</v>
      </c>
      <c r="E14">
        <f>IF('iş emri'!$H$7=Sayfa2!A14,1,0)</f>
        <v>0</v>
      </c>
      <c r="F14">
        <f t="shared" si="1"/>
        <v>0</v>
      </c>
      <c r="J14" t="s">
        <v>617</v>
      </c>
    </row>
    <row r="15" spans="1:10">
      <c r="A15" t="s">
        <v>666</v>
      </c>
      <c r="B15" t="s">
        <v>668</v>
      </c>
      <c r="C15" t="str">
        <f t="shared" si="0"/>
        <v>ModaGözlük</v>
      </c>
      <c r="D15">
        <v>14</v>
      </c>
      <c r="E15">
        <f>IF('iş emri'!$H$7=Sayfa2!A15,1,0)</f>
        <v>0</v>
      </c>
      <c r="F15">
        <f t="shared" si="1"/>
        <v>0</v>
      </c>
      <c r="J15" t="s">
        <v>614</v>
      </c>
    </row>
    <row r="16" spans="1:10">
      <c r="A16" t="s">
        <v>666</v>
      </c>
      <c r="B16" t="s">
        <v>667</v>
      </c>
      <c r="C16" t="str">
        <f t="shared" si="0"/>
        <v>ModaEv tekstili</v>
      </c>
      <c r="D16">
        <v>15</v>
      </c>
      <c r="E16">
        <f>IF('iş emri'!$H$7=Sayfa2!A16,1,0)</f>
        <v>0</v>
      </c>
      <c r="F16">
        <f t="shared" si="1"/>
        <v>0</v>
      </c>
      <c r="J16" t="s">
        <v>611</v>
      </c>
    </row>
    <row r="17" spans="1:10">
      <c r="A17" t="s">
        <v>666</v>
      </c>
      <c r="B17" t="s">
        <v>599</v>
      </c>
      <c r="C17" t="str">
        <f t="shared" si="0"/>
        <v>ModaDiğer</v>
      </c>
      <c r="D17">
        <v>16</v>
      </c>
      <c r="E17">
        <f>IF('iş emri'!$H$7=Sayfa2!A17,1,0)</f>
        <v>0</v>
      </c>
      <c r="F17">
        <f t="shared" si="1"/>
        <v>0</v>
      </c>
      <c r="J17" t="s">
        <v>604</v>
      </c>
    </row>
    <row r="18" spans="1:10">
      <c r="A18" t="s">
        <v>664</v>
      </c>
      <c r="B18" t="s">
        <v>665</v>
      </c>
      <c r="C18" t="str">
        <f t="shared" si="0"/>
        <v>MücevheratKuyumculuk</v>
      </c>
      <c r="D18">
        <v>17</v>
      </c>
      <c r="E18">
        <f>IF('iş emri'!$H$7=Sayfa2!A18,1,0)</f>
        <v>0</v>
      </c>
      <c r="F18">
        <f t="shared" si="1"/>
        <v>0</v>
      </c>
      <c r="J18" t="s">
        <v>682</v>
      </c>
    </row>
    <row r="19" spans="1:10">
      <c r="A19" t="s">
        <v>664</v>
      </c>
      <c r="B19" t="s">
        <v>663</v>
      </c>
      <c r="C19" t="str">
        <f t="shared" si="0"/>
        <v>MücevheratBijuteri</v>
      </c>
      <c r="D19">
        <v>18</v>
      </c>
      <c r="E19">
        <f>IF('iş emri'!$H$7=Sayfa2!A19,1,0)</f>
        <v>0</v>
      </c>
      <c r="F19">
        <f t="shared" si="1"/>
        <v>0</v>
      </c>
      <c r="J19" t="s">
        <v>641</v>
      </c>
    </row>
    <row r="20" spans="1:10">
      <c r="A20" t="s">
        <v>657</v>
      </c>
      <c r="B20" t="s">
        <v>662</v>
      </c>
      <c r="C20" t="str">
        <f t="shared" si="0"/>
        <v xml:space="preserve">Elektronik Saat </v>
      </c>
      <c r="D20">
        <v>19</v>
      </c>
      <c r="E20">
        <f>IF('iş emri'!$H$7=Sayfa2!A20,1,0)</f>
        <v>0</v>
      </c>
      <c r="F20">
        <f t="shared" si="1"/>
        <v>0</v>
      </c>
    </row>
    <row r="21" spans="1:10">
      <c r="A21" t="s">
        <v>657</v>
      </c>
      <c r="B21" t="s">
        <v>661</v>
      </c>
      <c r="C21" t="str">
        <f t="shared" si="0"/>
        <v xml:space="preserve">Elektronik Telefon </v>
      </c>
      <c r="D21">
        <v>20</v>
      </c>
      <c r="E21">
        <f>IF('iş emri'!$H$7=Sayfa2!A21,1,0)</f>
        <v>0</v>
      </c>
      <c r="F21">
        <f t="shared" si="1"/>
        <v>0</v>
      </c>
    </row>
    <row r="22" spans="1:10">
      <c r="A22" t="s">
        <v>657</v>
      </c>
      <c r="B22" t="s">
        <v>660</v>
      </c>
      <c r="C22" t="str">
        <f t="shared" si="0"/>
        <v>Elektronik Bilgisayar</v>
      </c>
      <c r="D22">
        <v>21</v>
      </c>
      <c r="E22">
        <f>IF('iş emri'!$H$7=Sayfa2!A22,1,0)</f>
        <v>0</v>
      </c>
      <c r="F22">
        <f t="shared" si="1"/>
        <v>0</v>
      </c>
    </row>
    <row r="23" spans="1:10">
      <c r="A23" t="s">
        <v>657</v>
      </c>
      <c r="B23" t="s">
        <v>659</v>
      </c>
      <c r="C23" t="str">
        <f t="shared" si="0"/>
        <v>Elektronik Televizyon</v>
      </c>
      <c r="D23">
        <v>22</v>
      </c>
      <c r="E23">
        <f>IF('iş emri'!$H$7=Sayfa2!A23,1,0)</f>
        <v>0</v>
      </c>
      <c r="F23">
        <f t="shared" si="1"/>
        <v>0</v>
      </c>
    </row>
    <row r="24" spans="1:10">
      <c r="A24" t="s">
        <v>657</v>
      </c>
      <c r="B24" t="s">
        <v>658</v>
      </c>
      <c r="C24" t="str">
        <f t="shared" si="0"/>
        <v>Elektronik Küçük Ev Aletleri</v>
      </c>
      <c r="D24">
        <v>23</v>
      </c>
      <c r="E24">
        <f>IF('iş emri'!$H$7=Sayfa2!A24,1,0)</f>
        <v>0</v>
      </c>
      <c r="F24">
        <f t="shared" si="1"/>
        <v>0</v>
      </c>
    </row>
    <row r="25" spans="1:10">
      <c r="A25" t="s">
        <v>657</v>
      </c>
      <c r="B25" t="s">
        <v>599</v>
      </c>
      <c r="C25" t="str">
        <f t="shared" si="0"/>
        <v>Elektronik Diğer</v>
      </c>
      <c r="D25">
        <v>24</v>
      </c>
      <c r="E25">
        <f>IF('iş emri'!$H$7=Sayfa2!A25,1,0)</f>
        <v>0</v>
      </c>
      <c r="F25">
        <f t="shared" si="1"/>
        <v>0</v>
      </c>
    </row>
    <row r="26" spans="1:10">
      <c r="A26" t="s">
        <v>655</v>
      </c>
      <c r="B26" t="s">
        <v>656</v>
      </c>
      <c r="C26" t="str">
        <f t="shared" si="0"/>
        <v>ZüccaciyeSüs Eşyası</v>
      </c>
      <c r="D26">
        <v>25</v>
      </c>
      <c r="E26">
        <f>IF('iş emri'!$H$7=Sayfa2!A26,1,0)</f>
        <v>0</v>
      </c>
      <c r="F26">
        <f t="shared" si="1"/>
        <v>0</v>
      </c>
    </row>
    <row r="27" spans="1:10">
      <c r="A27" t="s">
        <v>655</v>
      </c>
      <c r="B27" t="s">
        <v>654</v>
      </c>
      <c r="C27" t="str">
        <f t="shared" si="0"/>
        <v>ZüccaciyeMutfak Eşyası</v>
      </c>
      <c r="D27">
        <v>26</v>
      </c>
      <c r="E27">
        <f>IF('iş emri'!$H$7=Sayfa2!A27,1,0)</f>
        <v>0</v>
      </c>
      <c r="F27">
        <f t="shared" si="1"/>
        <v>0</v>
      </c>
    </row>
    <row r="28" spans="1:10">
      <c r="A28" t="s">
        <v>643</v>
      </c>
      <c r="B28" t="s">
        <v>653</v>
      </c>
      <c r="C28" t="str">
        <f t="shared" si="0"/>
        <v xml:space="preserve">GıdaPastane Ürünleri </v>
      </c>
      <c r="D28">
        <v>27</v>
      </c>
      <c r="E28">
        <f>IF('iş emri'!$H$7=Sayfa2!A28,1,0)</f>
        <v>0</v>
      </c>
      <c r="F28">
        <f t="shared" si="1"/>
        <v>0</v>
      </c>
    </row>
    <row r="29" spans="1:10">
      <c r="A29" t="s">
        <v>643</v>
      </c>
      <c r="B29" t="s">
        <v>652</v>
      </c>
      <c r="C29" t="str">
        <f t="shared" si="0"/>
        <v xml:space="preserve">GıdaServis ve Al Götür Ürünleri </v>
      </c>
      <c r="D29">
        <v>28</v>
      </c>
      <c r="E29">
        <f>IF('iş emri'!$H$7=Sayfa2!A29,1,0)</f>
        <v>0</v>
      </c>
      <c r="F29">
        <f t="shared" si="1"/>
        <v>0</v>
      </c>
    </row>
    <row r="30" spans="1:10">
      <c r="A30" t="s">
        <v>643</v>
      </c>
      <c r="B30" t="s">
        <v>651</v>
      </c>
      <c r="C30" t="str">
        <f t="shared" si="0"/>
        <v>GıdaSebze-Meyve kapları</v>
      </c>
      <c r="D30">
        <v>29</v>
      </c>
      <c r="E30">
        <f>IF('iş emri'!$H$7=Sayfa2!A30,1,0)</f>
        <v>0</v>
      </c>
      <c r="F30">
        <f t="shared" si="1"/>
        <v>0</v>
      </c>
    </row>
    <row r="31" spans="1:10">
      <c r="A31" t="s">
        <v>643</v>
      </c>
      <c r="B31" t="s">
        <v>650</v>
      </c>
      <c r="C31" t="str">
        <f t="shared" si="0"/>
        <v>GıdaPizza Ürünleri</v>
      </c>
      <c r="D31">
        <v>30</v>
      </c>
      <c r="E31">
        <f>IF('iş emri'!$H$7=Sayfa2!A31,1,0)</f>
        <v>0</v>
      </c>
      <c r="F31">
        <f t="shared" si="1"/>
        <v>0</v>
      </c>
    </row>
    <row r="32" spans="1:10">
      <c r="A32" t="s">
        <v>643</v>
      </c>
      <c r="B32" t="s">
        <v>649</v>
      </c>
      <c r="C32" t="str">
        <f t="shared" si="0"/>
        <v>GıdaŞekerleme Ürünleri</v>
      </c>
      <c r="D32">
        <v>31</v>
      </c>
      <c r="E32">
        <f>IF('iş emri'!$H$7=Sayfa2!A32,1,0)</f>
        <v>0</v>
      </c>
      <c r="F32">
        <f t="shared" si="1"/>
        <v>0</v>
      </c>
    </row>
    <row r="33" spans="1:6">
      <c r="A33" t="s">
        <v>643</v>
      </c>
      <c r="B33" t="s">
        <v>648</v>
      </c>
      <c r="C33" t="str">
        <f t="shared" si="0"/>
        <v>GıdaÇikolata Ürünleri</v>
      </c>
      <c r="D33">
        <v>32</v>
      </c>
      <c r="E33">
        <f>IF('iş emri'!$H$7=Sayfa2!A33,1,0)</f>
        <v>0</v>
      </c>
      <c r="F33">
        <f t="shared" si="1"/>
        <v>0</v>
      </c>
    </row>
    <row r="34" spans="1:6">
      <c r="A34" t="s">
        <v>643</v>
      </c>
      <c r="B34" t="s">
        <v>647</v>
      </c>
      <c r="C34" t="str">
        <f t="shared" ref="C34:C65" si="2">+A34&amp;B34</f>
        <v>Gıdaİçecek</v>
      </c>
      <c r="D34">
        <v>33</v>
      </c>
      <c r="E34">
        <f>IF('iş emri'!$H$7=Sayfa2!A34,1,0)</f>
        <v>0</v>
      </c>
      <c r="F34">
        <f t="shared" si="1"/>
        <v>0</v>
      </c>
    </row>
    <row r="35" spans="1:6">
      <c r="A35" t="s">
        <v>643</v>
      </c>
      <c r="B35" t="s">
        <v>646</v>
      </c>
      <c r="C35" t="str">
        <f t="shared" si="2"/>
        <v>GıdaKahve</v>
      </c>
      <c r="D35">
        <v>34</v>
      </c>
      <c r="E35">
        <f>IF('iş emri'!$H$7=Sayfa2!A35,1,0)</f>
        <v>0</v>
      </c>
      <c r="F35">
        <f t="shared" si="1"/>
        <v>0</v>
      </c>
    </row>
    <row r="36" spans="1:6">
      <c r="A36" t="s">
        <v>643</v>
      </c>
      <c r="B36" t="s">
        <v>645</v>
      </c>
      <c r="C36" t="str">
        <f t="shared" si="2"/>
        <v>GıdaŞarküteri</v>
      </c>
      <c r="D36">
        <v>35</v>
      </c>
      <c r="E36">
        <f>IF('iş emri'!$H$7=Sayfa2!A36,1,0)</f>
        <v>0</v>
      </c>
      <c r="F36">
        <f t="shared" si="1"/>
        <v>0</v>
      </c>
    </row>
    <row r="37" spans="1:6">
      <c r="A37" t="s">
        <v>643</v>
      </c>
      <c r="B37" t="s">
        <v>644</v>
      </c>
      <c r="C37" t="str">
        <f t="shared" si="2"/>
        <v>GıdaBakliyat</v>
      </c>
      <c r="D37">
        <v>36</v>
      </c>
      <c r="E37">
        <f>IF('iş emri'!$H$7=Sayfa2!A37,1,0)</f>
        <v>0</v>
      </c>
      <c r="F37">
        <f t="shared" si="1"/>
        <v>0</v>
      </c>
    </row>
    <row r="38" spans="1:6">
      <c r="A38" t="s">
        <v>643</v>
      </c>
      <c r="B38" t="s">
        <v>599</v>
      </c>
      <c r="C38" t="str">
        <f t="shared" si="2"/>
        <v>GıdaDiğer</v>
      </c>
      <c r="D38">
        <v>37</v>
      </c>
      <c r="E38">
        <f>IF('iş emri'!$H$7=Sayfa2!A38,1,0)</f>
        <v>0</v>
      </c>
      <c r="F38">
        <f t="shared" si="1"/>
        <v>0</v>
      </c>
    </row>
    <row r="39" spans="1:6">
      <c r="A39" t="s">
        <v>641</v>
      </c>
      <c r="B39" t="s">
        <v>642</v>
      </c>
      <c r="C39" t="str">
        <f t="shared" si="2"/>
        <v>Alkol / TütünAlkol</v>
      </c>
      <c r="D39">
        <v>38</v>
      </c>
      <c r="E39">
        <f>IF('iş emri'!$H$7=Sayfa2!A39,1,0)</f>
        <v>0</v>
      </c>
      <c r="F39">
        <f t="shared" si="1"/>
        <v>0</v>
      </c>
    </row>
    <row r="40" spans="1:6">
      <c r="A40" t="s">
        <v>641</v>
      </c>
      <c r="B40" t="s">
        <v>640</v>
      </c>
      <c r="C40" t="str">
        <f t="shared" si="2"/>
        <v>Alkol / TütünTütün</v>
      </c>
      <c r="D40">
        <v>39</v>
      </c>
      <c r="E40">
        <f>IF('iş emri'!$H$7=Sayfa2!A40,1,0)</f>
        <v>0</v>
      </c>
      <c r="F40">
        <f t="shared" si="1"/>
        <v>0</v>
      </c>
    </row>
    <row r="41" spans="1:6">
      <c r="A41" t="s">
        <v>637</v>
      </c>
      <c r="B41" t="s">
        <v>639</v>
      </c>
      <c r="C41" t="str">
        <f t="shared" si="2"/>
        <v>Tarım Hayvan Yemi</v>
      </c>
      <c r="D41">
        <v>40</v>
      </c>
      <c r="E41">
        <f>IF('iş emri'!$H$7=Sayfa2!A41,1,0)</f>
        <v>0</v>
      </c>
      <c r="F41">
        <f t="shared" si="1"/>
        <v>0</v>
      </c>
    </row>
    <row r="42" spans="1:6">
      <c r="A42" t="s">
        <v>637</v>
      </c>
      <c r="B42" t="s">
        <v>638</v>
      </c>
      <c r="C42" t="str">
        <f t="shared" si="2"/>
        <v>Tarım Çiçekçilik</v>
      </c>
      <c r="D42">
        <v>41</v>
      </c>
      <c r="E42">
        <f>IF('iş emri'!$H$7=Sayfa2!A42,1,0)</f>
        <v>0</v>
      </c>
      <c r="F42">
        <f t="shared" si="1"/>
        <v>0</v>
      </c>
    </row>
    <row r="43" spans="1:6">
      <c r="A43" t="s">
        <v>637</v>
      </c>
      <c r="B43" t="s">
        <v>636</v>
      </c>
      <c r="C43" t="str">
        <f t="shared" si="2"/>
        <v>Tarım Tohumculuk</v>
      </c>
      <c r="D43">
        <v>42</v>
      </c>
      <c r="E43">
        <f>IF('iş emri'!$H$7=Sayfa2!A43,1,0)</f>
        <v>0</v>
      </c>
      <c r="F43">
        <f t="shared" si="1"/>
        <v>0</v>
      </c>
    </row>
    <row r="44" spans="1:6">
      <c r="A44" t="s">
        <v>631</v>
      </c>
      <c r="B44" t="s">
        <v>635</v>
      </c>
      <c r="C44" t="str">
        <f t="shared" si="2"/>
        <v>EğitimKırtasiye</v>
      </c>
      <c r="D44">
        <v>43</v>
      </c>
      <c r="E44">
        <f>IF('iş emri'!$H$7=Sayfa2!A44,1,0)</f>
        <v>0</v>
      </c>
      <c r="F44">
        <f t="shared" si="1"/>
        <v>0</v>
      </c>
    </row>
    <row r="45" spans="1:6">
      <c r="A45" t="s">
        <v>631</v>
      </c>
      <c r="B45" t="s">
        <v>634</v>
      </c>
      <c r="C45" t="str">
        <f t="shared" si="2"/>
        <v xml:space="preserve">EğitimKitap </v>
      </c>
      <c r="D45">
        <v>44</v>
      </c>
      <c r="E45">
        <f>IF('iş emri'!$H$7=Sayfa2!A45,1,0)</f>
        <v>0</v>
      </c>
      <c r="F45">
        <f t="shared" si="1"/>
        <v>0</v>
      </c>
    </row>
    <row r="46" spans="1:6">
      <c r="A46" t="s">
        <v>631</v>
      </c>
      <c r="B46" t="s">
        <v>633</v>
      </c>
      <c r="C46" t="str">
        <f t="shared" si="2"/>
        <v>EğitimOkullar</v>
      </c>
      <c r="D46">
        <v>45</v>
      </c>
      <c r="E46">
        <f>IF('iş emri'!$H$7=Sayfa2!A46,1,0)</f>
        <v>0</v>
      </c>
      <c r="F46">
        <f t="shared" si="1"/>
        <v>0</v>
      </c>
    </row>
    <row r="47" spans="1:6">
      <c r="A47" t="s">
        <v>631</v>
      </c>
      <c r="B47" t="s">
        <v>632</v>
      </c>
      <c r="C47" t="str">
        <f t="shared" si="2"/>
        <v>EğitimMüzeler</v>
      </c>
      <c r="D47">
        <v>46</v>
      </c>
      <c r="E47">
        <f>IF('iş emri'!$H$7=Sayfa2!A47,1,0)</f>
        <v>0</v>
      </c>
      <c r="F47">
        <f t="shared" si="1"/>
        <v>0</v>
      </c>
    </row>
    <row r="48" spans="1:6">
      <c r="A48" t="s">
        <v>631</v>
      </c>
      <c r="B48" t="s">
        <v>630</v>
      </c>
      <c r="C48" t="str">
        <f t="shared" si="2"/>
        <v xml:space="preserve">EğitimEğitim Kurumları </v>
      </c>
      <c r="D48">
        <v>47</v>
      </c>
      <c r="E48">
        <f>IF('iş emri'!$H$7=Sayfa2!A48,1,0)</f>
        <v>0</v>
      </c>
      <c r="F48">
        <f t="shared" si="1"/>
        <v>0</v>
      </c>
    </row>
    <row r="49" spans="1:6">
      <c r="A49" t="s">
        <v>627</v>
      </c>
      <c r="B49" t="s">
        <v>629</v>
      </c>
      <c r="C49" t="str">
        <f t="shared" si="2"/>
        <v>Sağlık İlaç</v>
      </c>
      <c r="D49">
        <v>48</v>
      </c>
      <c r="E49">
        <f>IF('iş emri'!$H$7=Sayfa2!A49,1,0)</f>
        <v>0</v>
      </c>
      <c r="F49">
        <f t="shared" si="1"/>
        <v>0</v>
      </c>
    </row>
    <row r="50" spans="1:6">
      <c r="A50" t="s">
        <v>627</v>
      </c>
      <c r="B50" t="s">
        <v>628</v>
      </c>
      <c r="C50" t="str">
        <f t="shared" si="2"/>
        <v>Sağlık Hastaneler</v>
      </c>
      <c r="D50">
        <v>49</v>
      </c>
      <c r="E50">
        <f>IF('iş emri'!$H$7=Sayfa2!A50,1,0)</f>
        <v>0</v>
      </c>
      <c r="F50">
        <f t="shared" si="1"/>
        <v>0</v>
      </c>
    </row>
    <row r="51" spans="1:6">
      <c r="A51" t="s">
        <v>627</v>
      </c>
      <c r="B51" t="s">
        <v>626</v>
      </c>
      <c r="C51" t="str">
        <f t="shared" si="2"/>
        <v>Sağlık Sağlık Ekipmanları</v>
      </c>
      <c r="D51">
        <v>50</v>
      </c>
      <c r="E51">
        <f>IF('iş emri'!$H$7=Sayfa2!A51,1,0)</f>
        <v>0</v>
      </c>
      <c r="F51">
        <f t="shared" si="1"/>
        <v>0</v>
      </c>
    </row>
    <row r="52" spans="1:6">
      <c r="A52" t="s">
        <v>621</v>
      </c>
      <c r="B52" t="s">
        <v>625</v>
      </c>
      <c r="C52" t="str">
        <f t="shared" si="2"/>
        <v>UlaştırmaKarayolu</v>
      </c>
      <c r="D52">
        <v>51</v>
      </c>
      <c r="E52">
        <f>IF('iş emri'!$H$7=Sayfa2!A52,1,0)</f>
        <v>0</v>
      </c>
      <c r="F52">
        <f t="shared" si="1"/>
        <v>0</v>
      </c>
    </row>
    <row r="53" spans="1:6">
      <c r="A53" t="s">
        <v>621</v>
      </c>
      <c r="B53" t="s">
        <v>624</v>
      </c>
      <c r="C53" t="str">
        <f t="shared" si="2"/>
        <v>UlaştırmaDenizyolu</v>
      </c>
      <c r="D53">
        <v>52</v>
      </c>
      <c r="E53">
        <f>IF('iş emri'!$H$7=Sayfa2!A53,1,0)</f>
        <v>0</v>
      </c>
      <c r="F53">
        <f t="shared" si="1"/>
        <v>0</v>
      </c>
    </row>
    <row r="54" spans="1:6">
      <c r="A54" t="s">
        <v>621</v>
      </c>
      <c r="B54" t="s">
        <v>623</v>
      </c>
      <c r="C54" t="str">
        <f t="shared" si="2"/>
        <v>UlaştırmaHavayolu</v>
      </c>
      <c r="D54">
        <v>53</v>
      </c>
      <c r="E54">
        <f>IF('iş emri'!$H$7=Sayfa2!A54,1,0)</f>
        <v>0</v>
      </c>
      <c r="F54">
        <f t="shared" si="1"/>
        <v>0</v>
      </c>
    </row>
    <row r="55" spans="1:6">
      <c r="A55" t="s">
        <v>621</v>
      </c>
      <c r="B55" t="s">
        <v>622</v>
      </c>
      <c r="C55" t="str">
        <f t="shared" si="2"/>
        <v>UlaştırmaTelekominikasyon</v>
      </c>
      <c r="D55">
        <v>54</v>
      </c>
      <c r="E55">
        <f>IF('iş emri'!$H$7=Sayfa2!A55,1,0)</f>
        <v>0</v>
      </c>
      <c r="F55">
        <f t="shared" si="1"/>
        <v>0</v>
      </c>
    </row>
    <row r="56" spans="1:6">
      <c r="A56" t="s">
        <v>621</v>
      </c>
      <c r="B56" t="s">
        <v>620</v>
      </c>
      <c r="C56" t="str">
        <f t="shared" si="2"/>
        <v xml:space="preserve">UlaştırmaKargo </v>
      </c>
      <c r="D56">
        <v>55</v>
      </c>
      <c r="E56">
        <f>IF('iş emri'!$H$7=Sayfa2!A56,1,0)</f>
        <v>0</v>
      </c>
      <c r="F56">
        <f t="shared" si="1"/>
        <v>0</v>
      </c>
    </row>
    <row r="57" spans="1:6">
      <c r="A57" t="s">
        <v>617</v>
      </c>
      <c r="B57" t="s">
        <v>619</v>
      </c>
      <c r="C57" t="str">
        <f t="shared" si="2"/>
        <v>Turizm Konaklama</v>
      </c>
      <c r="D57">
        <v>56</v>
      </c>
      <c r="E57">
        <f>IF('iş emri'!$H$7=Sayfa2!A57,1,0)</f>
        <v>0</v>
      </c>
      <c r="F57">
        <f t="shared" si="1"/>
        <v>0</v>
      </c>
    </row>
    <row r="58" spans="1:6">
      <c r="A58" t="s">
        <v>617</v>
      </c>
      <c r="B58" t="s">
        <v>618</v>
      </c>
      <c r="C58" t="str">
        <f t="shared" si="2"/>
        <v xml:space="preserve">Turizm Şehirler </v>
      </c>
      <c r="D58">
        <v>57</v>
      </c>
      <c r="E58">
        <f>IF('iş emri'!$H$7=Sayfa2!A58,1,0)</f>
        <v>0</v>
      </c>
      <c r="F58">
        <f t="shared" si="1"/>
        <v>0</v>
      </c>
    </row>
    <row r="59" spans="1:6">
      <c r="A59" t="s">
        <v>617</v>
      </c>
      <c r="B59" t="s">
        <v>616</v>
      </c>
      <c r="C59" t="str">
        <f t="shared" si="2"/>
        <v>Turizm Restoran / Cafe</v>
      </c>
      <c r="D59">
        <v>58</v>
      </c>
      <c r="E59">
        <f>IF('iş emri'!$H$7=Sayfa2!A59,1,0)</f>
        <v>0</v>
      </c>
      <c r="F59">
        <f t="shared" si="1"/>
        <v>0</v>
      </c>
    </row>
    <row r="60" spans="1:6">
      <c r="A60" t="s">
        <v>614</v>
      </c>
      <c r="B60" t="s">
        <v>615</v>
      </c>
      <c r="C60" t="str">
        <f t="shared" si="2"/>
        <v xml:space="preserve">SporSpor Kulüpleri </v>
      </c>
      <c r="D60">
        <v>59</v>
      </c>
      <c r="E60">
        <f>IF('iş emri'!$H$7=Sayfa2!A60,1,0)</f>
        <v>0</v>
      </c>
      <c r="F60">
        <f t="shared" si="1"/>
        <v>0</v>
      </c>
    </row>
    <row r="61" spans="1:6">
      <c r="A61" t="s">
        <v>614</v>
      </c>
      <c r="B61" t="s">
        <v>613</v>
      </c>
      <c r="C61" t="str">
        <f t="shared" si="2"/>
        <v xml:space="preserve">SporSpor Etkinlikleri </v>
      </c>
      <c r="D61">
        <v>60</v>
      </c>
      <c r="E61">
        <f>IF('iş emri'!$H$7=Sayfa2!A61,1,0)</f>
        <v>0</v>
      </c>
      <c r="F61">
        <f t="shared" si="1"/>
        <v>0</v>
      </c>
    </row>
    <row r="62" spans="1:6">
      <c r="A62" t="s">
        <v>611</v>
      </c>
      <c r="B62" t="s">
        <v>612</v>
      </c>
      <c r="C62" t="str">
        <f t="shared" si="2"/>
        <v xml:space="preserve">EğlenceTV Kanalları </v>
      </c>
      <c r="D62">
        <v>61</v>
      </c>
      <c r="E62">
        <f>IF('iş emri'!$H$7=Sayfa2!A62,1,0)</f>
        <v>0</v>
      </c>
      <c r="F62">
        <f t="shared" si="1"/>
        <v>0</v>
      </c>
    </row>
    <row r="63" spans="1:6">
      <c r="A63" t="s">
        <v>611</v>
      </c>
      <c r="B63" t="s">
        <v>610</v>
      </c>
      <c r="C63" t="str">
        <f t="shared" si="2"/>
        <v>EğlenceFestivaller</v>
      </c>
      <c r="D63">
        <v>62</v>
      </c>
      <c r="E63">
        <f>IF('iş emri'!$H$7=Sayfa2!A63,1,0)</f>
        <v>0</v>
      </c>
      <c r="F63">
        <f t="shared" si="1"/>
        <v>0</v>
      </c>
    </row>
    <row r="64" spans="1:6">
      <c r="A64" t="s">
        <v>604</v>
      </c>
      <c r="B64" t="s">
        <v>609</v>
      </c>
      <c r="C64" t="str">
        <f t="shared" si="2"/>
        <v>KurumsalDernekler</v>
      </c>
      <c r="D64">
        <v>63</v>
      </c>
      <c r="E64">
        <f>IF('iş emri'!$H$7=Sayfa2!A64,1,0)</f>
        <v>0</v>
      </c>
      <c r="F64">
        <f t="shared" si="1"/>
        <v>0</v>
      </c>
    </row>
    <row r="65" spans="1:6">
      <c r="A65" t="s">
        <v>604</v>
      </c>
      <c r="B65" t="s">
        <v>608</v>
      </c>
      <c r="C65" t="str">
        <f t="shared" si="2"/>
        <v>KurumsalHolding</v>
      </c>
      <c r="D65">
        <v>64</v>
      </c>
      <c r="E65">
        <f>IF('iş emri'!$H$7=Sayfa2!A65,1,0)</f>
        <v>0</v>
      </c>
      <c r="F65">
        <f t="shared" si="1"/>
        <v>0</v>
      </c>
    </row>
    <row r="66" spans="1:6">
      <c r="A66" t="s">
        <v>604</v>
      </c>
      <c r="B66" t="s">
        <v>607</v>
      </c>
      <c r="C66" t="str">
        <f>+A66&amp;B66</f>
        <v>KurumsalFinans</v>
      </c>
      <c r="D66">
        <v>65</v>
      </c>
      <c r="E66">
        <f>IF('iş emri'!$H$7=Sayfa2!A66,1,0)</f>
        <v>0</v>
      </c>
      <c r="F66">
        <f t="shared" si="1"/>
        <v>0</v>
      </c>
    </row>
    <row r="67" spans="1:6">
      <c r="A67" t="s">
        <v>604</v>
      </c>
      <c r="B67" t="s">
        <v>606</v>
      </c>
      <c r="C67" t="str">
        <f>+A67&amp;B67</f>
        <v>Kurumsalİnşaat</v>
      </c>
      <c r="D67">
        <v>66</v>
      </c>
      <c r="E67">
        <f>IF('iş emri'!$H$7=Sayfa2!A67,1,0)</f>
        <v>0</v>
      </c>
      <c r="F67">
        <f t="shared" si="1"/>
        <v>0</v>
      </c>
    </row>
    <row r="68" spans="1:6">
      <c r="A68" t="s">
        <v>604</v>
      </c>
      <c r="B68" t="s">
        <v>605</v>
      </c>
      <c r="C68" t="str">
        <f>+A68&amp;B68</f>
        <v>KurumsalSiyasi Partiler</v>
      </c>
      <c r="D68">
        <v>67</v>
      </c>
      <c r="E68">
        <f>IF('iş emri'!$H$7=Sayfa2!A68,1,0)</f>
        <v>0</v>
      </c>
      <c r="F68">
        <f>+IF(E68=0,0,F67+1)</f>
        <v>0</v>
      </c>
    </row>
    <row r="69" spans="1:6">
      <c r="A69" t="s">
        <v>604</v>
      </c>
      <c r="B69" t="s">
        <v>603</v>
      </c>
      <c r="C69" t="str">
        <f>+A69&amp;B69</f>
        <v>KurumsalDevlet kurumları</v>
      </c>
      <c r="D69">
        <v>68</v>
      </c>
      <c r="E69">
        <f>IF('iş emri'!$H$7=Sayfa2!A69,1,0)</f>
        <v>0</v>
      </c>
      <c r="F69">
        <f>+IF(E69=0,0,F68+1)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362F3-7CB2-4D4C-98AC-BD45AC78D7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12</vt:i4>
      </vt:variant>
      <vt:variant>
        <vt:lpstr>Adlandırılmış Aralıklar</vt:lpstr>
      </vt:variant>
      <vt:variant>
        <vt:i4>26</vt:i4>
      </vt:variant>
    </vt:vector>
  </HeadingPairs>
  <TitlesOfParts>
    <vt:vector size="38" baseType="lpstr">
      <vt:lpstr>Musteri</vt:lpstr>
      <vt:lpstr>iş emri (2)</vt:lpstr>
      <vt:lpstr>Sayfa1</vt:lpstr>
      <vt:lpstr>Quotation Sheet</vt:lpstr>
      <vt:lpstr>KUTUPHANE</vt:lpstr>
      <vt:lpstr>MÜSTERİLER</vt:lpstr>
      <vt:lpstr>Proforma Invoice</vt:lpstr>
      <vt:lpstr>iş emri</vt:lpstr>
      <vt:lpstr>MT</vt:lpstr>
      <vt:lpstr>ÜRÜN ÖZELLİKLERİ</vt:lpstr>
      <vt:lpstr>OPSİYON SORGU</vt:lpstr>
      <vt:lpstr>Sayfa2</vt:lpstr>
      <vt:lpstr>BS_DV</vt:lpstr>
      <vt:lpstr>D_DV</vt:lpstr>
      <vt:lpstr>FS_DV</vt:lpstr>
      <vt:lpstr>İP_DV</vt:lpstr>
      <vt:lpstr>KURDELE_DV</vt:lpstr>
      <vt:lpstr>PS_DV</vt:lpstr>
      <vt:lpstr>RANGE</vt:lpstr>
      <vt:lpstr>RANGE1</vt:lpstr>
      <vt:lpstr>RANGE2</vt:lpstr>
      <vt:lpstr>RANGE3</vt:lpstr>
      <vt:lpstr>RANGE4</vt:lpstr>
      <vt:lpstr>RANGE5</vt:lpstr>
      <vt:lpstr>RANGE6</vt:lpstr>
      <vt:lpstr>RANGES</vt:lpstr>
      <vt:lpstr>TANGE6</vt:lpstr>
      <vt:lpstr>Urun1</vt:lpstr>
      <vt:lpstr>Urun2</vt:lpstr>
      <vt:lpstr>Urun3</vt:lpstr>
      <vt:lpstr>Urun4</vt:lpstr>
      <vt:lpstr>Urun5</vt:lpstr>
      <vt:lpstr>Urun6</vt:lpstr>
      <vt:lpstr>VaraksızDoğrulamaListesi</vt:lpstr>
      <vt:lpstr>'iş emri'!Yazdırma_Alanı</vt:lpstr>
      <vt:lpstr>'iş emri (2)'!Yazdırma_Alanı</vt:lpstr>
      <vt:lpstr>'Proforma Invoice'!Yazdırma_Alanı</vt:lpstr>
      <vt:lpstr>'Quotation Sheet'!Yazdırma_Alanı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MAYAPC02</dc:creator>
  <cp:lastModifiedBy>Yunus  BAĞRIAÇIK \ MAYAPACK</cp:lastModifiedBy>
  <cp:lastPrinted>2023-10-20T06:43:48Z</cp:lastPrinted>
  <dcterms:created xsi:type="dcterms:W3CDTF">2023-05-12T06:47:10Z</dcterms:created>
  <dcterms:modified xsi:type="dcterms:W3CDTF">2024-01-11T13:27:53Z</dcterms:modified>
</cp:coreProperties>
</file>