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Public\Documents\Altium\Projects\FSFB_SMPS\"/>
    </mc:Choice>
  </mc:AlternateContent>
  <xr:revisionPtr revIDLastSave="0" documentId="8_{F28CC0E4-285A-4343-9949-32BF812DDA63}" xr6:coauthVersionLast="47" xr6:coauthVersionMax="47" xr10:uidLastSave="{00000000-0000-0000-0000-000000000000}"/>
  <bookViews>
    <workbookView xWindow="-120" yWindow="-120" windowWidth="29040" windowHeight="15720" xr2:uid="{05DF13AA-72B2-4D4E-B56B-2BE7ECFA8B41}"/>
  </bookViews>
  <sheets>
    <sheet name="Sayfa1" sheetId="1" r:id="rId1"/>
    <sheet name="Sayf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1" l="1"/>
  <c r="E30" i="1" s="1"/>
  <c r="G32" i="1"/>
  <c r="B31" i="1"/>
  <c r="B33" i="1"/>
  <c r="K62" i="1" s="1"/>
  <c r="K59" i="1" s="1"/>
  <c r="B30" i="1"/>
  <c r="K55" i="1"/>
  <c r="K54" i="1"/>
  <c r="K50" i="1"/>
  <c r="E35" i="1"/>
  <c r="E52" i="1"/>
  <c r="G56" i="1"/>
  <c r="G38" i="1"/>
  <c r="C25" i="2" s="1"/>
  <c r="I23" i="1"/>
  <c r="G30" i="1"/>
  <c r="B25" i="1"/>
  <c r="G12" i="1"/>
  <c r="E29" i="1"/>
  <c r="E28" i="1"/>
  <c r="E27" i="1"/>
  <c r="E26" i="1"/>
  <c r="E25" i="1"/>
  <c r="E24" i="1"/>
  <c r="E23" i="1"/>
  <c r="E20" i="1"/>
  <c r="E19" i="1"/>
  <c r="C36" i="2"/>
  <c r="C37" i="2"/>
  <c r="C26" i="2"/>
  <c r="C24" i="2"/>
  <c r="C15" i="2"/>
  <c r="I41" i="1"/>
  <c r="C35" i="2" s="1"/>
  <c r="I39" i="1"/>
  <c r="C33" i="2" s="1"/>
  <c r="G44" i="1"/>
  <c r="G13" i="1" l="1"/>
  <c r="G16" i="1"/>
  <c r="G48" i="1"/>
  <c r="C29" i="2" s="1"/>
  <c r="G45" i="1"/>
  <c r="G46" i="1" s="1"/>
  <c r="C28" i="2" s="1"/>
  <c r="G36" i="1"/>
  <c r="C23" i="2" s="1"/>
  <c r="B62" i="1"/>
  <c r="G35" i="1" s="1"/>
  <c r="C22" i="2" s="1"/>
  <c r="E49" i="1"/>
  <c r="E48" i="1"/>
  <c r="C19" i="2" s="1"/>
  <c r="E47" i="1"/>
  <c r="C18" i="2" s="1"/>
  <c r="E44" i="1"/>
  <c r="C17" i="2" s="1"/>
  <c r="E42" i="1"/>
  <c r="B14" i="1"/>
  <c r="G41" i="1" s="1"/>
  <c r="G42" i="1" s="1"/>
  <c r="C27" i="2" s="1"/>
  <c r="E43" i="1" l="1"/>
  <c r="C16" i="2"/>
  <c r="E50" i="1"/>
  <c r="C21" i="2" s="1"/>
  <c r="C20" i="2"/>
  <c r="B45" i="1"/>
  <c r="I19" i="1" s="1"/>
  <c r="B44" i="1"/>
  <c r="I15" i="1"/>
  <c r="B41" i="1"/>
  <c r="B37" i="1"/>
  <c r="B36" i="1"/>
  <c r="E12" i="1"/>
  <c r="E15" i="1" s="1"/>
  <c r="E6" i="1"/>
  <c r="I5" i="1" s="1"/>
  <c r="E5" i="1"/>
  <c r="I4" i="1" s="1"/>
  <c r="E10" i="1" s="1"/>
  <c r="E11" i="1" s="1"/>
  <c r="E4" i="1"/>
  <c r="I6" i="1" s="1"/>
  <c r="I22" i="1" l="1"/>
  <c r="I17" i="1"/>
  <c r="I20" i="1" s="1"/>
  <c r="I10" i="1"/>
  <c r="G5" i="1"/>
  <c r="G6" i="1"/>
  <c r="G4" i="1"/>
  <c r="G15" i="1"/>
  <c r="E14" i="1"/>
  <c r="J10" i="1" l="1"/>
  <c r="G31" i="1"/>
  <c r="G14" i="1"/>
  <c r="E13" i="1"/>
  <c r="G29" i="1"/>
  <c r="I14" i="1" s="1"/>
  <c r="E18" i="1"/>
  <c r="E16" i="1"/>
  <c r="E36" i="1" l="1"/>
  <c r="E38" i="1" s="1"/>
  <c r="J14" i="1"/>
  <c r="I16" i="1"/>
  <c r="E21" i="1"/>
  <c r="C13" i="2" l="1"/>
  <c r="I35" i="1"/>
  <c r="I36" i="1"/>
  <c r="G25" i="1"/>
  <c r="I26" i="1" s="1"/>
  <c r="I27" i="1" s="1"/>
  <c r="E40" i="1"/>
  <c r="C14" i="2" s="1"/>
  <c r="I37" i="1"/>
  <c r="I38" i="1" s="1"/>
  <c r="G18" i="1"/>
  <c r="G23" i="1" s="1"/>
  <c r="I24" i="1"/>
  <c r="J16" i="1"/>
  <c r="I18" i="1"/>
  <c r="I40" i="1" l="1"/>
  <c r="C34" i="2" s="1"/>
  <c r="C32" i="2"/>
  <c r="G26" i="1"/>
  <c r="E39" i="1"/>
  <c r="G49" i="1"/>
  <c r="G50" i="1" s="1"/>
  <c r="G51" i="1" s="1"/>
  <c r="J26" i="1"/>
  <c r="I28" i="1"/>
  <c r="G27" i="1"/>
  <c r="I11" i="1"/>
  <c r="I12" i="1" s="1"/>
  <c r="E31" i="1" s="1"/>
  <c r="G17" i="1"/>
  <c r="C31" i="2" l="1"/>
  <c r="C30" i="2"/>
  <c r="I29" i="1"/>
  <c r="I30" i="1" s="1"/>
  <c r="J28" i="1"/>
  <c r="G22" i="1"/>
  <c r="G19" i="1"/>
  <c r="G20" i="1" s="1"/>
  <c r="I31" i="1" l="1"/>
  <c r="J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Yunus Dilmen</author>
    <author>Yunus Furkan Dilmen</author>
  </authors>
  <commentList>
    <comment ref="A4" authorId="0" shapeId="0" xr:uid="{6C758D34-1C51-47FD-84B6-BB8AF3A14C5E}">
      <text>
        <r>
          <rPr>
            <b/>
            <sz val="9"/>
            <color indexed="81"/>
            <rFont val="Tahoma"/>
            <family val="2"/>
            <charset val="162"/>
          </rPr>
          <t>Yunus Dilmen:</t>
        </r>
        <r>
          <rPr>
            <sz val="9"/>
            <color indexed="81"/>
            <rFont val="Tahoma"/>
            <family val="2"/>
            <charset val="162"/>
          </rPr>
          <t xml:space="preserve">
Yük bir anda %90 artarsa (örneğin 1 A → 10 A), çıkış voltajı geçici olarak düşer.
Bu geçici düşüş 10V ile sınırlı kalmalı deniyor.</t>
        </r>
      </text>
    </comment>
    <comment ref="D12" authorId="0" shapeId="0" xr:uid="{4315BFB9-EAC0-4754-96F7-F6BCA4BAED82}">
      <text>
        <r>
          <rPr>
            <b/>
            <sz val="9"/>
            <color indexed="81"/>
            <rFont val="Tahoma"/>
            <family val="2"/>
            <charset val="162"/>
          </rPr>
          <t>Yunus Dilmen:</t>
        </r>
        <r>
          <rPr>
            <sz val="9"/>
            <color indexed="81"/>
            <rFont val="Tahoma"/>
            <family val="2"/>
            <charset val="162"/>
          </rPr>
          <t xml:space="preserve">
Eğer manyetik endüktans doğru seçilmez ise sistem akım modunda değil, gerilim modunda çalışır.
Lmag =&gt; trafonun primer tarafında oluşan mıknatıslayıcı akımını belirler. 
Eğer bu değer çok küçük ise trafonun manyetiklenme akımı çok büyük olur. Bu durumda akım algılama direnci RS üzerinden ölçülen yük akımı manyetiklenme direnciden dolayı bozulur veya bastırılır.
Bu durum sistemin akımı net algılayamamaasına ve akım modundan çıkıp gerilim modunda çalışmasına neden olur.</t>
        </r>
      </text>
    </comment>
    <comment ref="D13" authorId="0" shapeId="0" xr:uid="{A32DBC24-6F0B-476B-A1EE-040388C6355C}">
      <text>
        <r>
          <rPr>
            <b/>
            <sz val="9"/>
            <color indexed="81"/>
            <rFont val="Tahoma"/>
            <family val="2"/>
            <charset val="162"/>
          </rPr>
          <t>Yunus Dilmen:</t>
        </r>
        <r>
          <rPr>
            <sz val="9"/>
            <color indexed="81"/>
            <rFont val="Tahoma"/>
            <family val="2"/>
            <charset val="162"/>
          </rPr>
          <t xml:space="preserve">
bu değer trafo sarımı için etkili olacak</t>
        </r>
      </text>
    </comment>
    <comment ref="F14" authorId="0" shapeId="0" xr:uid="{EEB0F041-5F0B-4F98-9EB5-B274D54BCB9F}">
      <text>
        <r>
          <rPr>
            <b/>
            <sz val="9"/>
            <color indexed="81"/>
            <rFont val="Tahoma"/>
            <family val="2"/>
            <charset val="162"/>
          </rPr>
          <t>Yunus Dilmen:</t>
        </r>
        <r>
          <rPr>
            <sz val="9"/>
            <color indexed="81"/>
            <rFont val="Tahoma"/>
            <family val="2"/>
            <charset val="162"/>
          </rPr>
          <t xml:space="preserve">
Sekonder tarafında nokta yönleri faklı iki sarım olacak.</t>
        </r>
      </text>
    </comment>
    <comment ref="H14" authorId="0" shapeId="0" xr:uid="{864B3CE5-5F14-48D0-B314-F97E8B93BFD4}">
      <text>
        <r>
          <rPr>
            <b/>
            <sz val="9"/>
            <color indexed="81"/>
            <rFont val="Tahoma"/>
            <family val="2"/>
            <charset val="162"/>
          </rPr>
          <t>Yunus Dilmen:</t>
        </r>
        <r>
          <rPr>
            <sz val="9"/>
            <color indexed="81"/>
            <rFont val="Tahoma"/>
            <family val="2"/>
            <charset val="162"/>
          </rPr>
          <t xml:space="preserve">
Bir yük geçişi sırasında, çıkış indüktörü (LOUT) akımını %90 seviyeye getirmek için geçen süreye verilen isim.
Bu süre boyunca, akımı COUT (çıkış kapasitörü) üstlenmek zorundadır.</t>
        </r>
      </text>
    </comment>
    <comment ref="H15" authorId="0" shapeId="0" xr:uid="{4F1FC8CB-9C2C-4499-8075-07A5147ED8A9}">
      <text>
        <r>
          <rPr>
            <b/>
            <sz val="9"/>
            <color indexed="81"/>
            <rFont val="Tahoma"/>
            <family val="2"/>
            <charset val="162"/>
          </rPr>
          <t>Yunus Dilmen:</t>
        </r>
        <r>
          <rPr>
            <sz val="9"/>
            <color indexed="81"/>
            <rFont val="Tahoma"/>
            <family val="2"/>
            <charset val="162"/>
          </rPr>
          <t xml:space="preserve">
Yük bir anda değiştiğinde (örneğin 1A → 10A):
İndüktör (LOUT), ani akım değişimini hemen sağlayamaz (çünkü L'de ani akım değişimi fiziksel olarak mümkün değil).
Bu durumda ani akım ihtiyacı, önce çıkış kapasitöründen geçer.
Ama bu kapasitörün içinde bir direnç vardır: ESR (Equivalent Series Resistance).
İlk anda, bu direnç üzerinden ani voltaj düşümü olur.</t>
        </r>
      </text>
    </comment>
    <comment ref="G16" authorId="0" shapeId="0" xr:uid="{D84D9D6A-C612-4FD6-A16A-1A655EA9DEEA}">
      <text>
        <r>
          <rPr>
            <b/>
            <sz val="9"/>
            <color indexed="81"/>
            <rFont val="Tahoma"/>
            <family val="2"/>
            <charset val="162"/>
          </rPr>
          <t>Yunus Dilmen:</t>
        </r>
        <r>
          <rPr>
            <sz val="9"/>
            <color indexed="81"/>
            <rFont val="Tahoma"/>
            <family val="2"/>
            <charset val="162"/>
          </rPr>
          <t xml:space="preserve">
Bulunan bu değer Lmag değerinin minumumundan daha büyüktür. Kullanılabilir.</t>
        </r>
      </text>
    </comment>
    <comment ref="D17" authorId="0" shapeId="0" xr:uid="{EA680A9A-267E-4A1D-AAD6-BD9D8416D7AE}">
      <text>
        <r>
          <rPr>
            <b/>
            <sz val="9"/>
            <color indexed="81"/>
            <rFont val="Tahoma"/>
            <family val="2"/>
            <charset val="162"/>
          </rPr>
          <t>Yunus Dilmen:</t>
        </r>
        <r>
          <rPr>
            <sz val="9"/>
            <color indexed="81"/>
            <rFont val="Tahoma"/>
            <family val="2"/>
            <charset val="162"/>
          </rPr>
          <t xml:space="preserve">
             VCC
Q1-----------|--------Q3
    Trafo primer
Q2-----------|--------Q4
             GND
Irms1:1.durum ya Q1 ve Q4 açık yada Q3 ve Q2
Irms2:2. Durum ya Q1 ve Q3 açık yada Q2 ve Q4
Irms3:3. durum tüm mosfetler kapalı</t>
        </r>
      </text>
    </comment>
    <comment ref="G20" authorId="0" shapeId="0" xr:uid="{BA37DA5A-DCB9-40C6-B84D-61E55839B1E3}">
      <text>
        <r>
          <rPr>
            <b/>
            <sz val="9"/>
            <color indexed="81"/>
            <rFont val="Tahoma"/>
            <family val="2"/>
            <charset val="162"/>
          </rPr>
          <t>Yunus Dilmen:</t>
        </r>
        <r>
          <rPr>
            <sz val="9"/>
            <color indexed="81"/>
            <rFont val="Tahoma"/>
            <family val="2"/>
            <charset val="162"/>
          </rPr>
          <t xml:space="preserve">
Nüvenin toplam alanının % 30 ile % 50si kadarını sarmak için kullanabiliyoruz. Çünkü isolasyon bantları ve sarma yetegi vs den dolayı</t>
        </r>
      </text>
    </comment>
    <comment ref="A21" authorId="0" shapeId="0" xr:uid="{356E12C1-904E-48BF-82E0-CB38B60A9433}">
      <text>
        <r>
          <rPr>
            <b/>
            <sz val="9"/>
            <color indexed="81"/>
            <rFont val="Tahoma"/>
            <family val="2"/>
            <charset val="162"/>
          </rPr>
          <t>Yunus Dilmen:</t>
        </r>
        <r>
          <rPr>
            <sz val="9"/>
            <color indexed="81"/>
            <rFont val="Tahoma"/>
            <family val="2"/>
            <charset val="162"/>
          </rPr>
          <t xml:space="preserve">
Manyetik akı değişimi genelde0,2T ile 0,6T arasında değişirç. Eğer soğutma iyi kablolar kalın vs olabiliyorsa 0,6T ye yakın, frekans yüksek soğutma pasif soğutmaya yakın ise 0,2T ye yakın seçilmelidir.</t>
        </r>
      </text>
    </comment>
    <comment ref="A22" authorId="0" shapeId="0" xr:uid="{4BDA2684-094B-470B-BAAD-BC729BB933C6}">
      <text>
        <r>
          <rPr>
            <b/>
            <sz val="9"/>
            <color indexed="81"/>
            <rFont val="Tahoma"/>
            <family val="2"/>
            <charset val="162"/>
          </rPr>
          <t>Yunus Dilmen:</t>
        </r>
        <r>
          <rPr>
            <sz val="9"/>
            <color indexed="81"/>
            <rFont val="Tahoma"/>
            <family val="2"/>
            <charset val="162"/>
          </rPr>
          <t xml:space="preserve">
3 ila 8 arası bir değer alır. 1mm^2 den kaç amper geçireceğimizi belirliyoruz. Yani 3 demek kalın, 8 demek ince kablo demektir.
 Pasif soğutma olduğundan 3 seçelim</t>
        </r>
      </text>
    </comment>
    <comment ref="D23" authorId="0" shapeId="0" xr:uid="{69519315-7DCF-4663-88E1-2FEDEDF30998}">
      <text>
        <r>
          <rPr>
            <b/>
            <sz val="9"/>
            <color indexed="81"/>
            <rFont val="Tahoma"/>
            <family val="2"/>
            <charset val="162"/>
          </rPr>
          <t>Yunus Dilmen:</t>
        </r>
        <r>
          <rPr>
            <sz val="9"/>
            <color indexed="81"/>
            <rFont val="Tahoma"/>
            <family val="2"/>
            <charset val="162"/>
          </rPr>
          <t xml:space="preserve">
transformatörün magnetizing inductance (manyetikleştirici endüktans) üzerindeki akım değişimini, yani magnetizing akımının ripple’ını ifade eder.
📌 Lmag Nedir?
ΔILmag = Magnetizing akımın peak-to-peak değişimidir.
Bu, trafonun primer sargısındaki manyetikleştirici endüktans (L&lt;sub&gt;mag&lt;/sub&gt;) nedeniyle oluşur.
Transformatör çekirdeğinin manyetize olması için akan akımdır.
Bu akım, özellikle zamanla artan ve sıfırlanamayan bir akım bileşeni oluşturabilir ve kontrol sorunlarına neden olabilir.
🧠 Neden Önemli?
UCC2895 gibi akım modu kontrol (current mode control) kullanılan sistemlerde:
ΔILmag çok büyük olursa, bu akım kontrol sinyali üzerine biner ve gerçek yük akımının algılanmasını bozar.
Akım geri beslemesi, magnetizing akım tarafından maskelenebilir.
Bu durumda sistem, gerçekte voltage-mode gibi davranır ve stabilitesi bozulabilir.</t>
        </r>
      </text>
    </comment>
    <comment ref="F25" authorId="0" shapeId="0" xr:uid="{E28CE313-89F0-4389-B2D8-A5E1A1492024}">
      <text>
        <r>
          <rPr>
            <b/>
            <sz val="9"/>
            <color indexed="81"/>
            <rFont val="Tahoma"/>
            <family val="2"/>
            <charset val="162"/>
          </rPr>
          <t>Yunus Dilmen:</t>
        </r>
        <r>
          <rPr>
            <sz val="9"/>
            <color indexed="81"/>
            <rFont val="Tahoma"/>
            <family val="2"/>
            <charset val="162"/>
          </rPr>
          <t xml:space="preserve">
PSFB topolojisinde trafo primerinde, H-köprünün çıkışına seri bağlanan küçük bir indüktördür.
Amacı, MOSFET’lerin kapasitif etkilerini sıfırlayarak anahtarlama anında üzerlerinden akım geçmesini sağlamak, böylece ZVS'yi mümkün kılmaktır.
</t>
        </r>
      </text>
    </comment>
    <comment ref="H27" authorId="1" shapeId="0" xr:uid="{85D3B1A3-9967-4FD5-9608-B6A7A2E2AAF8}">
      <text>
        <r>
          <rPr>
            <b/>
            <sz val="9"/>
            <color indexed="81"/>
            <rFont val="Tahoma"/>
            <family val="2"/>
          </rPr>
          <t>Yunus Furkan Dilmen:</t>
        </r>
        <r>
          <rPr>
            <sz val="9"/>
            <color indexed="81"/>
            <rFont val="Tahoma"/>
            <family val="2"/>
          </rPr>
          <t xml:space="preserve">
Tank frekansı, faz kaydırmalı tam köprü dönüştürücülerde rezonans devresinin (LC devresi) frekansını ifade eder. Bu devre, genellikle transformatörün birincil tarafındaki endüktans (L) ve kapasitans (C) bileşenlerinden oluşur. Tank frekansı, ZVS'nin sağlanması için kritik bir parametredir ve aşağıdaki formülle hesaplanır:</t>
        </r>
      </text>
    </comment>
    <comment ref="A33" authorId="0" shapeId="0" xr:uid="{5CDE2161-D2BE-4381-A488-5286D65B104A}">
      <text>
        <r>
          <rPr>
            <b/>
            <sz val="9"/>
            <color indexed="81"/>
            <rFont val="Tahoma"/>
            <family val="2"/>
            <charset val="162"/>
          </rPr>
          <t>Yunus Dilmen:</t>
        </r>
        <r>
          <rPr>
            <sz val="9"/>
            <color indexed="81"/>
            <rFont val="Tahoma"/>
            <family val="2"/>
            <charset val="162"/>
          </rPr>
          <t xml:space="preserve">
Gate charge, bir MOSFET’in iletken duruma geçmesi için gate’ine yüklenmesi gereken toplam elektrik yüküdür.</t>
        </r>
      </text>
    </comment>
    <comment ref="H34" authorId="1" shapeId="0" xr:uid="{A69FE916-D2A4-44D3-B5CA-E5B6349CD388}">
      <text>
        <r>
          <rPr>
            <b/>
            <sz val="9"/>
            <color indexed="81"/>
            <rFont val="Tahoma"/>
            <family val="2"/>
          </rPr>
          <t>Yunus Furkan Dilmen:</t>
        </r>
        <r>
          <rPr>
            <sz val="9"/>
            <color indexed="81"/>
            <rFont val="Tahoma"/>
            <family val="2"/>
          </rPr>
          <t xml:space="preserve">
Peak current mode control kullanılan dönüştürücülere özgü bir sorun, görev döngüsü %50'yi aştığında subharmonic oscillation (alt harmonik salınım) adı verilen bir kararsızlığın ortaya çıkmasıdır. Bu durum, endüktör akımında dalgalanmalara neden olabilir ve sistemin kontrol döngüsünü bozabilir. Slope compensation, bu kararsızlığı önlemek için akım döngüsüne kontrollü bir eğim (ramp) ekler.</t>
        </r>
      </text>
    </comment>
    <comment ref="D35" authorId="1" shapeId="0" xr:uid="{F7676C1F-9006-4617-9A32-135A5F8CB83A}">
      <text>
        <r>
          <rPr>
            <b/>
            <sz val="9"/>
            <color indexed="81"/>
            <rFont val="Tahoma"/>
            <family val="2"/>
          </rPr>
          <t>Yunus Furkan Dilmen:</t>
        </r>
        <r>
          <rPr>
            <sz val="9"/>
            <color indexed="81"/>
            <rFont val="Tahoma"/>
            <family val="2"/>
          </rPr>
          <t xml:space="preserve">
CT’nin sarım oranı (Turns Ratio) – burada 100:1, yani primerden geçen 100 A, sekonderde 1 A olarak ölçülür.</t>
        </r>
      </text>
    </comment>
    <comment ref="F35" authorId="1" shapeId="0" xr:uid="{90E46422-B407-45F9-AF94-EE3A84486DC2}">
      <text>
        <r>
          <rPr>
            <b/>
            <sz val="9"/>
            <color indexed="81"/>
            <rFont val="Tahoma"/>
            <charset val="162"/>
          </rPr>
          <t>Yunus Furkan Dilmen:</t>
        </r>
        <r>
          <rPr>
            <sz val="9"/>
            <color indexed="81"/>
            <rFont val="Tahoma"/>
            <charset val="162"/>
          </rPr>
          <t xml:space="preserve">
RD, LED üzerinden geçecek akımı (10 mA) sabitlemek için hesaplanan dirençtir.</t>
        </r>
      </text>
    </comment>
    <comment ref="A36" authorId="0" shapeId="0" xr:uid="{7647D9FE-BA35-4105-9718-133D16B2B342}">
      <text>
        <r>
          <rPr>
            <b/>
            <sz val="9"/>
            <color indexed="81"/>
            <rFont val="Tahoma"/>
            <family val="2"/>
            <charset val="162"/>
          </rPr>
          <t>Yunus Dilmen:</t>
        </r>
        <r>
          <rPr>
            <sz val="9"/>
            <color indexed="81"/>
            <rFont val="Tahoma"/>
            <family val="2"/>
            <charset val="162"/>
          </rPr>
          <t xml:space="preserve">
 Tasarımdan sonra LCR metre ile ölçülmeli</t>
        </r>
      </text>
    </comment>
    <comment ref="F36" authorId="1" shapeId="0" xr:uid="{2FE48003-5B84-4557-B80F-29105A386975}">
      <text>
        <r>
          <rPr>
            <b/>
            <sz val="9"/>
            <color indexed="81"/>
            <rFont val="Tahoma"/>
            <charset val="162"/>
          </rPr>
          <t>Yunus Furkan Dilmen:</t>
        </r>
        <r>
          <rPr>
            <sz val="9"/>
            <color indexed="81"/>
            <rFont val="Tahoma"/>
            <charset val="162"/>
          </rPr>
          <t xml:space="preserve">
RG, RF dirençleri EAP pininin voltajını sınırlandırır ve stabil tutar (potansiyel bölücü)</t>
        </r>
      </text>
    </comment>
    <comment ref="G36" authorId="0" shapeId="0" xr:uid="{4A7D6A5D-8DF9-4D2A-9A56-48EC67CF60D1}">
      <text>
        <r>
          <rPr>
            <b/>
            <sz val="9"/>
            <color indexed="81"/>
            <rFont val="Tahoma"/>
            <family val="2"/>
            <charset val="162"/>
          </rPr>
          <t>Yunus Dilmen:</t>
        </r>
        <r>
          <rPr>
            <sz val="9"/>
            <color indexed="81"/>
            <rFont val="Tahoma"/>
            <family val="2"/>
            <charset val="162"/>
          </rPr>
          <t xml:space="preserve">
Opro iletimde iken EAP Pini 3,6V değerinde tutulmalıdır.
</t>
        </r>
      </text>
    </comment>
    <comment ref="A37" authorId="0" shapeId="0" xr:uid="{FE48F1BA-F0A1-4CA7-8359-B56504A32ECB}">
      <text>
        <r>
          <rPr>
            <b/>
            <sz val="9"/>
            <color indexed="81"/>
            <rFont val="Tahoma"/>
            <family val="2"/>
            <charset val="162"/>
          </rPr>
          <t>Yunus Dilmen:</t>
        </r>
        <r>
          <rPr>
            <sz val="9"/>
            <color indexed="81"/>
            <rFont val="Tahoma"/>
            <family val="2"/>
            <charset val="162"/>
          </rPr>
          <t xml:space="preserve">
Tasarımdan sonra LCR metre ile ölçülmeli</t>
        </r>
      </text>
    </comment>
    <comment ref="D37" authorId="1" shapeId="0" xr:uid="{64F102E8-FDDC-40DC-B600-665153B47DC0}">
      <text>
        <r>
          <rPr>
            <b/>
            <sz val="9"/>
            <color indexed="81"/>
            <rFont val="Tahoma"/>
            <family val="2"/>
          </rPr>
          <t>Yunus Furkan Dilmen:</t>
        </r>
        <r>
          <rPr>
            <sz val="9"/>
            <color indexed="81"/>
            <rFont val="Tahoma"/>
            <family val="2"/>
          </rPr>
          <t xml:space="preserve">
"CS (Current Sense) pini üzerindeki voltaj 2V olduğunda, tepe akım sınırı devreye girer."</t>
        </r>
      </text>
    </comment>
    <comment ref="F40" authorId="1" shapeId="0" xr:uid="{BACFEB1C-4670-45B1-8AB6-6C3B3EDD3E44}">
      <text>
        <r>
          <rPr>
            <b/>
            <sz val="9"/>
            <color indexed="81"/>
            <rFont val="Tahoma"/>
            <family val="2"/>
          </rPr>
          <t>Yunus Furkan Dilmen:</t>
        </r>
        <r>
          <rPr>
            <sz val="9"/>
            <color indexed="81"/>
            <rFont val="Tahoma"/>
            <family val="2"/>
          </rPr>
          <t xml:space="preserve">
RT ranges from 40 kΩ to 120 kΩ. Soft-start charging and discharging currents are also programmed by IRT (Refer
to Figure 11).
</t>
        </r>
      </text>
    </comment>
    <comment ref="D44" authorId="1" shapeId="0" xr:uid="{ABAE381F-9269-4F23-B1FA-2581407887D1}">
      <text>
        <r>
          <rPr>
            <b/>
            <sz val="9"/>
            <color indexed="81"/>
            <rFont val="Tahoma"/>
            <family val="2"/>
          </rPr>
          <t>Yunus Furkan Dilmen:</t>
        </r>
        <r>
          <rPr>
            <sz val="9"/>
            <color indexed="81"/>
            <rFont val="Tahoma"/>
            <family val="2"/>
          </rPr>
          <t xml:space="preserve">
1 µF X7R tipi seramik kondansatör doğrudan Pin 4 (REF) ile GND arasına bağlanır.</t>
        </r>
      </text>
    </comment>
    <comment ref="D45" authorId="1" shapeId="0" xr:uid="{ADDCE103-9335-4550-BB60-81832D7584CE}">
      <text>
        <r>
          <rPr>
            <b/>
            <sz val="9"/>
            <color indexed="81"/>
            <rFont val="Tahoma"/>
            <family val="2"/>
          </rPr>
          <t>Yunus Furkan Dilmen:</t>
        </r>
        <r>
          <rPr>
            <sz val="9"/>
            <color indexed="81"/>
            <rFont val="Tahoma"/>
            <family val="2"/>
          </rPr>
          <t xml:space="preserve">
Entegre kendi 5V veriyor</t>
        </r>
      </text>
    </comment>
    <comment ref="D48" authorId="1" shapeId="0" xr:uid="{D0539D9F-EB64-46B1-AB33-BE187B30FD74}">
      <text>
        <r>
          <rPr>
            <b/>
            <sz val="9"/>
            <color indexed="81"/>
            <rFont val="Tahoma"/>
            <family val="2"/>
          </rPr>
          <t>Yunus Furkan Dilmen:</t>
        </r>
        <r>
          <rPr>
            <sz val="9"/>
            <color indexed="81"/>
            <rFont val="Tahoma"/>
            <family val="2"/>
          </rPr>
          <t xml:space="preserve">
UCC3895’in dahili referans voltajı (REF) genellikle 5.0 V’tur → bu voltaj Pin 4’ten alınır.
Bu 5 V’luk referanstan, R1 ve R2 kullanarak 2.5 V oluşturacağız.</t>
        </r>
      </text>
    </comment>
    <comment ref="F48" authorId="1" shapeId="0" xr:uid="{DFF0946C-4474-4B54-8825-CFDE817A8047}">
      <text>
        <r>
          <rPr>
            <b/>
            <sz val="9"/>
            <color indexed="81"/>
            <rFont val="Tahoma"/>
            <family val="2"/>
          </rPr>
          <t>Yunus Furkan Dilmen:</t>
        </r>
        <r>
          <rPr>
            <sz val="9"/>
            <color indexed="81"/>
            <rFont val="Tahoma"/>
            <family val="2"/>
          </rPr>
          <t xml:space="preserve">
If it is planned to use the adaptive delay feature then the resistor RADSL should be included in the layout but not
populated until delay optimisation is being done on actual hardware.</t>
        </r>
      </text>
    </comment>
    <comment ref="A51" authorId="1" shapeId="0" xr:uid="{47959DDF-CA85-4BB1-9DBA-C3C6101CE189}">
      <text>
        <r>
          <rPr>
            <b/>
            <sz val="9"/>
            <color indexed="81"/>
            <rFont val="Tahoma"/>
            <family val="2"/>
          </rPr>
          <t>Yunus Furkan Dilmen:</t>
        </r>
        <r>
          <rPr>
            <sz val="9"/>
            <color indexed="81"/>
            <rFont val="Tahoma"/>
            <family val="2"/>
          </rPr>
          <t xml:space="preserve">
Holdup süresi, giriş voltajının kesilmesi durumunda sistemin çalışmaya devam etmesi gereken süreyi ifade eder. Giriş kapasitansı, bu süre boyunca enerji sağlayarak sistemin kesintisiz çalışmasını destekler. C_IN, yeterli enerji depolayabilecek şekilde seçilmelidir.</t>
        </r>
      </text>
    </comment>
    <comment ref="A52" authorId="1" shapeId="0" xr:uid="{EA7731A1-A638-4648-B2AA-AC3DF31D3284}">
      <text>
        <r>
          <rPr>
            <b/>
            <sz val="9"/>
            <color indexed="81"/>
            <rFont val="Tahoma"/>
            <family val="2"/>
          </rPr>
          <t>Yunus Furkan Dilmen:</t>
        </r>
        <r>
          <rPr>
            <sz val="9"/>
            <color indexed="81"/>
            <rFont val="Tahoma"/>
            <family val="2"/>
          </rPr>
          <t xml:space="preserve">
Giriş voltajındaki dalgalanmaları (ripple) azaltmak için C_IN, giriş akımındaki ani değişimlere karşı filtreleme yapar. Kapasitans değeri, dalgalanma voltajını tasarım sınırları içinde tutacak şekilde seçilir.</t>
        </r>
      </text>
    </comment>
    <comment ref="J57" authorId="0" shapeId="0" xr:uid="{329B6654-8860-49DE-9DBF-92CC052CBC29}">
      <text>
        <r>
          <rPr>
            <b/>
            <sz val="9"/>
            <color indexed="81"/>
            <rFont val="Tahoma"/>
            <family val="2"/>
            <charset val="162"/>
          </rPr>
          <t>Yunus Dilmen:</t>
        </r>
        <r>
          <rPr>
            <sz val="9"/>
            <color indexed="81"/>
            <rFont val="Tahoma"/>
            <family val="2"/>
            <charset val="162"/>
          </rPr>
          <t xml:space="preserve">
Dokümanda 2 ila 10 ohm arasında olması tavsiye ediliyor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Yunus Furkan Dilmen</author>
  </authors>
  <commentList>
    <comment ref="B17" authorId="0" shapeId="0" xr:uid="{4AF37A22-9C3F-4895-8BA8-41506154CFEC}">
      <text>
        <r>
          <rPr>
            <b/>
            <sz val="9"/>
            <color indexed="81"/>
            <rFont val="Tahoma"/>
            <family val="2"/>
          </rPr>
          <t>Yunus Furkan Dilmen:</t>
        </r>
        <r>
          <rPr>
            <sz val="9"/>
            <color indexed="81"/>
            <rFont val="Tahoma"/>
            <family val="2"/>
          </rPr>
          <t xml:space="preserve">
1 µF X7R tipi seramik kondansatör doğrudan Pin 4 (REF) ile GND arasına bağlanır.</t>
        </r>
      </text>
    </comment>
    <comment ref="B19" authorId="0" shapeId="0" xr:uid="{45359A2E-2398-46EE-90E0-2172BE032CF0}">
      <text>
        <r>
          <rPr>
            <b/>
            <sz val="9"/>
            <color indexed="81"/>
            <rFont val="Tahoma"/>
            <family val="2"/>
          </rPr>
          <t>Yunus Furkan Dilmen:</t>
        </r>
        <r>
          <rPr>
            <sz val="9"/>
            <color indexed="81"/>
            <rFont val="Tahoma"/>
            <family val="2"/>
          </rPr>
          <t xml:space="preserve">
UCC3895’in dahili referans voltajı (REF) genellikle 5.0 V’tur → bu voltaj Pin 4’ten alınır.
Bu 5 V’luk referanstan, R1 ve R2 kullanarak 2.5 V oluşturacağız.</t>
        </r>
      </text>
    </comment>
    <comment ref="B22" authorId="0" shapeId="0" xr:uid="{4C3BEEEE-942F-4AA4-8E7F-261CE8A6EE4B}">
      <text>
        <r>
          <rPr>
            <b/>
            <sz val="9"/>
            <color indexed="81"/>
            <rFont val="Tahoma"/>
            <charset val="162"/>
          </rPr>
          <t>Yunus Furkan Dilmen:</t>
        </r>
        <r>
          <rPr>
            <sz val="9"/>
            <color indexed="81"/>
            <rFont val="Tahoma"/>
            <charset val="162"/>
          </rPr>
          <t xml:space="preserve">
RD, LED üzerinden geçecek akımı (10 mA) sabitlemek için hesaplanan dirençtir.</t>
        </r>
      </text>
    </comment>
    <comment ref="B23" authorId="0" shapeId="0" xr:uid="{0A98CCCC-B2B9-47E4-9899-6AA65C25DDC7}">
      <text>
        <r>
          <rPr>
            <b/>
            <sz val="9"/>
            <color indexed="81"/>
            <rFont val="Tahoma"/>
            <charset val="162"/>
          </rPr>
          <t>Yunus Furkan Dilmen:</t>
        </r>
        <r>
          <rPr>
            <sz val="9"/>
            <color indexed="81"/>
            <rFont val="Tahoma"/>
            <charset val="162"/>
          </rPr>
          <t xml:space="preserve">
RG, RF dirençleri EAP pininin voltajını sınırlandırır ve stabil tutar (potansiyel bölücü)</t>
        </r>
      </text>
    </comment>
    <comment ref="B26" authorId="0" shapeId="0" xr:uid="{8EA757A8-6190-447E-BD59-8B38006F23FE}">
      <text>
        <r>
          <rPr>
            <b/>
            <sz val="9"/>
            <color indexed="81"/>
            <rFont val="Tahoma"/>
            <family val="2"/>
          </rPr>
          <t>Yunus Furkan Dilmen:</t>
        </r>
        <r>
          <rPr>
            <sz val="9"/>
            <color indexed="81"/>
            <rFont val="Tahoma"/>
            <family val="2"/>
          </rPr>
          <t xml:space="preserve">
RT ranges from 40 kΩ to 120 kΩ. Soft-start charging and discharging currents are also programmed by IRT (Refer
to Figure 11).
</t>
        </r>
      </text>
    </comment>
    <comment ref="B29" authorId="0" shapeId="0" xr:uid="{5C86D985-7CAB-4F0F-9BAB-E03DFC435E51}">
      <text>
        <r>
          <rPr>
            <b/>
            <sz val="9"/>
            <color indexed="81"/>
            <rFont val="Tahoma"/>
            <family val="2"/>
          </rPr>
          <t>Yunus Furkan Dilmen:</t>
        </r>
        <r>
          <rPr>
            <sz val="9"/>
            <color indexed="81"/>
            <rFont val="Tahoma"/>
            <family val="2"/>
          </rPr>
          <t xml:space="preserve">
If it is planned to use the adaptive delay feature then the resistor RADSL should be included in the layout but not
populated until delay optimisation is being done on actual hardware.</t>
        </r>
      </text>
    </comment>
  </commentList>
</comments>
</file>

<file path=xl/sharedStrings.xml><?xml version="1.0" encoding="utf-8"?>
<sst xmlns="http://schemas.openxmlformats.org/spreadsheetml/2006/main" count="254" uniqueCount="213">
  <si>
    <t>Sabitler</t>
  </si>
  <si>
    <t>Giriş Gerilimi AC V</t>
  </si>
  <si>
    <t>Şebeke Dalgalanma oranı  %10</t>
  </si>
  <si>
    <t>Riple Oranı %20</t>
  </si>
  <si>
    <t>SMPS Gücü W</t>
  </si>
  <si>
    <t>SMPS Verim &gt;= 90</t>
  </si>
  <si>
    <t>AC Normal Pik Gerilimi</t>
  </si>
  <si>
    <t>Doğrultulmuş min değer</t>
  </si>
  <si>
    <t>Doğrultulmuş min değer Şebeke %10 düşük</t>
  </si>
  <si>
    <t>Doğrultulmuş min değer Şebeke %10 yüksek</t>
  </si>
  <si>
    <t>AC Şebekede %10 yükseliş olduğu durumda pik</t>
  </si>
  <si>
    <t>AC Şebekede %10 düşüş olduğu durum durumda pik</t>
  </si>
  <si>
    <t>Riple</t>
  </si>
  <si>
    <t>Vinmin</t>
  </si>
  <si>
    <t>VinMax</t>
  </si>
  <si>
    <t>Vin</t>
  </si>
  <si>
    <t>a=Np/Ns olsun =&gt; A=</t>
  </si>
  <si>
    <t>Çıkış Gerilimi Vout</t>
  </si>
  <si>
    <t>Vf Diyot Üzerine Düşen Gerilim</t>
  </si>
  <si>
    <t>SMPS Duty max %70 PFC içindir</t>
  </si>
  <si>
    <t>DutyCycle =&gt; Dtyp =</t>
  </si>
  <si>
    <r>
      <t xml:space="preserve">Çıkış akımı riple dalgalanması </t>
    </r>
    <r>
      <rPr>
        <sz val="11"/>
        <color theme="1"/>
        <rFont val="Aptos Narrow"/>
        <family val="2"/>
        <charset val="162"/>
      </rPr>
      <t>%20</t>
    </r>
  </si>
  <si>
    <t xml:space="preserve">Manyetik endüktans akımı  =&gt;Δ ILout =  </t>
  </si>
  <si>
    <t>Çalışma frekansı Fsw</t>
  </si>
  <si>
    <t>mıknatıslayıcı akım endüktaansı Lmag(Henry) &gt;=</t>
  </si>
  <si>
    <t>Sekonder akımının pik değeri =&gt;    Ips =</t>
  </si>
  <si>
    <t>Sekonder akımının minimum değeri =&gt;    Ims =</t>
  </si>
  <si>
    <t>Sekonder akımının ortalama(mean) değeri =&gt;    Ims2 =</t>
  </si>
  <si>
    <t>Sekonder taraftaki akım 3 şekilde oluşur</t>
  </si>
  <si>
    <t xml:space="preserve">Toplam Sekonder Irms </t>
  </si>
  <si>
    <t>Primer taraftaki akım değerlerinin bulunması</t>
  </si>
  <si>
    <t>Δ Ilmag</t>
  </si>
  <si>
    <t>Primer akımının pik değeri =&gt;    Ipp =</t>
  </si>
  <si>
    <t>Primer akımının minimum değeri =&gt;    Imp =</t>
  </si>
  <si>
    <t>Primer akımının ortalama(mean) değeri =&gt;    Imp2 =</t>
  </si>
  <si>
    <t>Primer Irmsp1 =</t>
  </si>
  <si>
    <t>Primer Irmsp2 =</t>
  </si>
  <si>
    <t>Sekonder Irmss3 =</t>
  </si>
  <si>
    <t>Sekonder Irmss2 =</t>
  </si>
  <si>
    <t>Sekonder Irmss1 =</t>
  </si>
  <si>
    <t xml:space="preserve">Toplam Primer Irms </t>
  </si>
  <si>
    <t>Transformatör Hesabı</t>
  </si>
  <si>
    <t>Trafo Tasarımı Hesabı</t>
  </si>
  <si>
    <r>
      <t>Np * (d</t>
    </r>
    <r>
      <rPr>
        <sz val="11"/>
        <color theme="1"/>
        <rFont val="Aptos Narrow"/>
        <family val="2"/>
      </rPr>
      <t>Φ</t>
    </r>
    <r>
      <rPr>
        <sz val="11"/>
        <color theme="1"/>
        <rFont val="Aptos Narrow"/>
        <family val="2"/>
        <charset val="162"/>
      </rPr>
      <t>/dt) = Vin =&gt; Np * dΦ</t>
    </r>
    <r>
      <rPr>
        <sz val="11"/>
        <color theme="1"/>
        <rFont val="Aptos Narrow"/>
        <family val="2"/>
        <charset val="162"/>
        <scheme val="minor"/>
      </rPr>
      <t xml:space="preserve"> = Vin * dt</t>
    </r>
  </si>
  <si>
    <t>Φ =&gt; B * Ae</t>
  </si>
  <si>
    <t>ΔB (Manyetik akı değişimi)</t>
  </si>
  <si>
    <t>Primer Tur sayısı = Np = (Vin * Δt) / (ΔB * Ae)</t>
  </si>
  <si>
    <t>Δt</t>
  </si>
  <si>
    <t>Seçilen Trafo Nüvesi</t>
  </si>
  <si>
    <t>EE5747S</t>
  </si>
  <si>
    <t>nH * Np^2</t>
  </si>
  <si>
    <t>μe</t>
  </si>
  <si>
    <t>Al =</t>
  </si>
  <si>
    <t>Lmag  trafo değerinin bulunumu (Henry)</t>
  </si>
  <si>
    <t>J (Akım Yoğunluğu Amper / mm^2</t>
  </si>
  <si>
    <t>primer Kablo Kalınlığı mm^2</t>
  </si>
  <si>
    <t>1. Sekonder Tur Sayısı = Np * 1 / A</t>
  </si>
  <si>
    <t>2. Sekonder Tur Sayısı = Np * 1 / A</t>
  </si>
  <si>
    <t>Sekonder Kablo kalınlığı mm^2</t>
  </si>
  <si>
    <t>Acu ( Toplam trafodaki kaplanan alan) mm^2</t>
  </si>
  <si>
    <t>Aw mm^2 Bobinin Pencere Alanı</t>
  </si>
  <si>
    <t>Sarım faktörü Acu / Aw</t>
  </si>
  <si>
    <t>Trafoya kabloları sarma ile ilgili konulara bak</t>
  </si>
  <si>
    <t>Litz Teli Çapı mm</t>
  </si>
  <si>
    <t>Primer Litz teli hesabı =&gt; 0,1 X 267</t>
  </si>
  <si>
    <t>Sekonder Litz teli hesabı =&gt; 0,1 X 219</t>
  </si>
  <si>
    <t>Fetlerin seçimi</t>
  </si>
  <si>
    <t>Fet Rdsd ON (Fet iç direnci açıkken) OHM</t>
  </si>
  <si>
    <t>FET</t>
  </si>
  <si>
    <t>Fet Çıkış Kapasitansı Coss (100KHz, 100A)Farat</t>
  </si>
  <si>
    <t>Fet Coss değeri ölçülürken Vds değeri</t>
  </si>
  <si>
    <t>pF</t>
  </si>
  <si>
    <t>Ortalama Coss çıkış kapasitansı(F)</t>
  </si>
  <si>
    <t>Qg (C Cloumb)</t>
  </si>
  <si>
    <t>Mosfetin sürme gerilimi Vgs</t>
  </si>
  <si>
    <t>Fettin üzerindeki kayıp güç Pq(abcd) Watt</t>
  </si>
  <si>
    <t>4 mosfet için toplam kayıp Pqabcd W</t>
  </si>
  <si>
    <t>Shim Endüktans LS hesabı</t>
  </si>
  <si>
    <t>Ls &gt;= olmalı</t>
  </si>
  <si>
    <t>Shim için Llk Primer trafıdaki kaçak.</t>
  </si>
  <si>
    <t>Shim için endüktansın DC direnc</t>
  </si>
  <si>
    <t>Toplam kaçak Pls W</t>
  </si>
  <si>
    <t>Kayıp Güç Bütçem P</t>
  </si>
  <si>
    <t>Trafo Güç kaybı Pt</t>
  </si>
  <si>
    <t>STP18NM60N</t>
  </si>
  <si>
    <t>DB ve DC Diyotları</t>
  </si>
  <si>
    <t>MURS360</t>
  </si>
  <si>
    <t>Db ve Dc diyot kayıpları (sürekli kayıp değil)</t>
  </si>
  <si>
    <t>Çıkış Bobini Lout Hesabı</t>
  </si>
  <si>
    <t>Ilout _RMS</t>
  </si>
  <si>
    <t>Lout Endüktans DC direnci</t>
  </si>
  <si>
    <t>Çıkış bobini kaybı Plout</t>
  </si>
  <si>
    <t>Çıkış Kapasitörü Hesabı</t>
  </si>
  <si>
    <t>thu hesabı (Saniye)</t>
  </si>
  <si>
    <t>Mikro saniye</t>
  </si>
  <si>
    <t>Output voltage transient Vtran %90 =&gt; +-xx Volt</t>
  </si>
  <si>
    <t>ESRcout Hesabı &lt;= olmalı (OHM)</t>
  </si>
  <si>
    <t>Cout &gt;= olmalı</t>
  </si>
  <si>
    <t>mikro Farat</t>
  </si>
  <si>
    <t>Icout_RMS</t>
  </si>
  <si>
    <t>Çkış Kapasitörleri</t>
  </si>
  <si>
    <t>REA1321470M200K</t>
  </si>
  <si>
    <t>Kapasitör Sığası</t>
  </si>
  <si>
    <t>Paralellenecek Kapasitör adeti</t>
  </si>
  <si>
    <t>=&gt; ~3</t>
  </si>
  <si>
    <t>Kağsaitör ESR direnci</t>
  </si>
  <si>
    <t>Kapasitördeki güç kaybı</t>
  </si>
  <si>
    <t>ESR Cout Paralellenecek Kapasitör direnci OHM</t>
  </si>
  <si>
    <t>Sekonder Doğrultucu Diode Hesabı</t>
  </si>
  <si>
    <t>Diode V max hesabı</t>
  </si>
  <si>
    <t>Diode I max hesabı</t>
  </si>
  <si>
    <t>Sekonder Doğrultucu Diode Gerilim Düşümü</t>
  </si>
  <si>
    <t>Diode Güc kayıbı (W)</t>
  </si>
  <si>
    <t>Giriş Kapasitansı Seçimi</t>
  </si>
  <si>
    <t>Sekonder Doğrultucu Diode</t>
  </si>
  <si>
    <t>TSCDT06065G1</t>
  </si>
  <si>
    <t>Giriş Kapasitesi Holdup Süresi</t>
  </si>
  <si>
    <t>Ripple süresi</t>
  </si>
  <si>
    <t>Tank Frekansı fr (Hz)</t>
  </si>
  <si>
    <t>Tahmini Bekleme Süresi</t>
  </si>
  <si>
    <t>Dclamp</t>
  </si>
  <si>
    <t>SRP1265A-220MTR-ND</t>
  </si>
  <si>
    <t>Ls Bobini</t>
  </si>
  <si>
    <t>Vdrop (En düşük giriş gerilimi Cde)</t>
  </si>
  <si>
    <t xml:space="preserve">Cin &gt;= </t>
  </si>
  <si>
    <t xml:space="preserve">Giriş Kapasitesi x 2 </t>
  </si>
  <si>
    <t>PK2S221MND2545</t>
  </si>
  <si>
    <t>Current Transformer (CT) Akım Hassasiyet Değerleri</t>
  </si>
  <si>
    <t>Ip1 (Amper)</t>
  </si>
  <si>
    <t>Vp</t>
  </si>
  <si>
    <t>Rcs üzerinde kaybolan güç</t>
  </si>
  <si>
    <t>Rr Reset Resistor</t>
  </si>
  <si>
    <t>Rcs current sense (OHM)</t>
  </si>
  <si>
    <t>Rlf</t>
  </si>
  <si>
    <t>Clf</t>
  </si>
  <si>
    <t>Flpf</t>
  </si>
  <si>
    <t>Cref</t>
  </si>
  <si>
    <t>V ref = 5V</t>
  </si>
  <si>
    <t>V1</t>
  </si>
  <si>
    <t>R1 OHM</t>
  </si>
  <si>
    <t>R2 OHM</t>
  </si>
  <si>
    <t>R3 OHM</t>
  </si>
  <si>
    <t>R4</t>
  </si>
  <si>
    <t>Output Voltage Set  Point</t>
  </si>
  <si>
    <t>SMBJ5382B-TPMSTR-ND</t>
  </si>
  <si>
    <t>Kullanılacak optokuplör (Standart paketi de tasarıma ekle)</t>
  </si>
  <si>
    <t>TCLT1003</t>
  </si>
  <si>
    <t>Çıkış gerilimini sabit tutacak zener diode</t>
  </si>
  <si>
    <t>Vf Zener</t>
  </si>
  <si>
    <t>Vf Opto diode</t>
  </si>
  <si>
    <t>Opto ledinden akıcak akım 10ma</t>
  </si>
  <si>
    <t>Rd Direnci</t>
  </si>
  <si>
    <t>Rg</t>
  </si>
  <si>
    <t>Rf</t>
  </si>
  <si>
    <t>Ce Zener kullanıldığından kullanımmayacak</t>
  </si>
  <si>
    <t>Anahtarlama Frekansı Seçimi</t>
  </si>
  <si>
    <t>Rt Direnci</t>
  </si>
  <si>
    <t>tOSC</t>
  </si>
  <si>
    <t>Ct ~560pF</t>
  </si>
  <si>
    <t>Soft Start</t>
  </si>
  <si>
    <t>Soft Start Time</t>
  </si>
  <si>
    <t>Css ~470nF</t>
  </si>
  <si>
    <t>Anahtarlama Beklemesi</t>
  </si>
  <si>
    <t>Radsh</t>
  </si>
  <si>
    <t>Fr</t>
  </si>
  <si>
    <t>tdelay</t>
  </si>
  <si>
    <r>
      <t>Lout (H) (</t>
    </r>
    <r>
      <rPr>
        <b/>
        <sz val="11"/>
        <color theme="1"/>
        <rFont val="Aptos Narrow"/>
        <charset val="162"/>
        <scheme val="minor"/>
      </rPr>
      <t>M8796-ND</t>
    </r>
    <r>
      <rPr>
        <sz val="11"/>
        <color theme="1"/>
        <rFont val="Aptos Narrow"/>
        <family val="2"/>
        <charset val="162"/>
        <scheme val="minor"/>
      </rPr>
      <t>)</t>
    </r>
  </si>
  <si>
    <t>Slope Compensation</t>
  </si>
  <si>
    <t>me</t>
  </si>
  <si>
    <t>mMAG</t>
  </si>
  <si>
    <t>mSUM</t>
  </si>
  <si>
    <t>Irt =&gt; mikro amper</t>
  </si>
  <si>
    <t>RSC OHM (13K)</t>
  </si>
  <si>
    <t>Cc (Farat)</t>
  </si>
  <si>
    <t>Rel</t>
  </si>
  <si>
    <t>Cramp</t>
  </si>
  <si>
    <t>Rrcs</t>
  </si>
  <si>
    <t>Rrb</t>
  </si>
  <si>
    <t xml:space="preserve">Giriş Kapasitesi </t>
  </si>
  <si>
    <t>Curent Transformer</t>
  </si>
  <si>
    <t>PA1005.100QNL-ND</t>
  </si>
  <si>
    <t>M8796-ND</t>
  </si>
  <si>
    <t>Lout</t>
  </si>
  <si>
    <t>Ctrat Ip/Is = 100 PA1005.100QNL-ND</t>
  </si>
  <si>
    <t>Rcd</t>
  </si>
  <si>
    <t>Rab</t>
  </si>
  <si>
    <t>Akım  Transformatörü Çevirme Oranı</t>
  </si>
  <si>
    <t>Trafo primer DC Resistance</t>
  </si>
  <si>
    <t>Ae Trafonun yüzey alanı (m+A18:B59etrekare)</t>
  </si>
  <si>
    <t>Trafo Sekonder DC resistance</t>
  </si>
  <si>
    <t>Rscl</t>
  </si>
  <si>
    <t>Q1</t>
  </si>
  <si>
    <t>Rj</t>
  </si>
  <si>
    <t>Rh</t>
  </si>
  <si>
    <t>CF</t>
  </si>
  <si>
    <t>RA</t>
  </si>
  <si>
    <t>RB</t>
  </si>
  <si>
    <t>OUTPUT VOLTAGE SET POİNT</t>
  </si>
  <si>
    <r>
      <t>Rab=Rcd(</t>
    </r>
    <r>
      <rPr>
        <sz val="11"/>
        <color rgb="FFFF0000"/>
        <rFont val="Aptos Narrow"/>
        <family val="2"/>
        <scheme val="minor"/>
      </rPr>
      <t>Datasheet en az 13K olsun diyor)</t>
    </r>
  </si>
  <si>
    <t>VDD</t>
  </si>
  <si>
    <t>VDDboot</t>
  </si>
  <si>
    <t>ıdboot</t>
  </si>
  <si>
    <t>RHI</t>
  </si>
  <si>
    <t>RLI</t>
  </si>
  <si>
    <t>CHI</t>
  </si>
  <si>
    <t>CLI</t>
  </si>
  <si>
    <t>Rbias</t>
  </si>
  <si>
    <t>Rboot</t>
  </si>
  <si>
    <t>Dboot</t>
  </si>
  <si>
    <t>MURS360T3G</t>
  </si>
  <si>
    <t>VCdd &gt;=</t>
  </si>
  <si>
    <t>RHO</t>
  </si>
  <si>
    <t>Ls &gt; 7,15 E07 ise Ls = 2*7,15E07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</si>
</sst>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charset val="162"/>
      <scheme val="minor"/>
    </font>
    <font>
      <b/>
      <sz val="11"/>
      <color theme="1"/>
      <name val="Aptos Narrow"/>
      <family val="2"/>
      <scheme val="minor"/>
    </font>
    <font>
      <sz val="11"/>
      <color theme="1"/>
      <name val="Aptos Narrow"/>
      <family val="2"/>
      <charset val="162"/>
    </font>
    <font>
      <sz val="9"/>
      <color indexed="81"/>
      <name val="Tahoma"/>
      <family val="2"/>
      <charset val="162"/>
    </font>
    <font>
      <b/>
      <sz val="9"/>
      <color indexed="81"/>
      <name val="Tahoma"/>
      <family val="2"/>
      <charset val="162"/>
    </font>
    <font>
      <sz val="11"/>
      <color theme="1"/>
      <name val="Aptos Narrow"/>
      <family val="2"/>
    </font>
    <font>
      <sz val="8"/>
      <name val="Aptos Narrow"/>
      <family val="2"/>
      <charset val="162"/>
      <scheme val="minor"/>
    </font>
    <font>
      <sz val="11"/>
      <color theme="1"/>
      <name val="Aptos Narrow"/>
      <family val="2"/>
      <scheme val="minor"/>
    </font>
    <font>
      <u/>
      <sz val="11"/>
      <color theme="10"/>
      <name val="Aptos Narrow"/>
      <family val="2"/>
      <charset val="162"/>
      <scheme val="minor"/>
    </font>
    <font>
      <sz val="11"/>
      <color rgb="FF9C0006"/>
      <name val="Aptos Narrow"/>
      <family val="2"/>
      <charset val="162"/>
      <scheme val="minor"/>
    </font>
    <font>
      <b/>
      <sz val="11"/>
      <color theme="1"/>
      <name val="Aptos Narrow"/>
      <charset val="162"/>
      <scheme val="minor"/>
    </font>
    <font>
      <sz val="9"/>
      <color indexed="81"/>
      <name val="Tahoma"/>
      <family val="2"/>
    </font>
    <font>
      <b/>
      <sz val="9"/>
      <color indexed="81"/>
      <name val="Tahoma"/>
      <family val="2"/>
    </font>
    <font>
      <sz val="9"/>
      <color indexed="81"/>
      <name val="Tahoma"/>
      <charset val="162"/>
    </font>
    <font>
      <sz val="11"/>
      <name val="Aptos Narrow"/>
      <family val="2"/>
      <charset val="162"/>
      <scheme val="minor"/>
    </font>
    <font>
      <b/>
      <sz val="9"/>
      <color indexed="81"/>
      <name val="Tahoma"/>
      <charset val="162"/>
    </font>
    <font>
      <sz val="11"/>
      <color rgb="FFFF0000"/>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rgb="FFFFC7CE"/>
      </patternFill>
    </fill>
    <fill>
      <patternFill patternType="solid">
        <fgColor rgb="FFFF0000"/>
        <bgColor indexed="64"/>
      </patternFill>
    </fill>
  </fills>
  <borders count="21">
    <border>
      <left/>
      <right/>
      <top/>
      <bottom/>
      <diagonal/>
    </border>
    <border>
      <left/>
      <right style="thin">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medium">
        <color indexed="64"/>
      </top>
      <bottom style="thin">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s>
  <cellStyleXfs count="3">
    <xf numFmtId="0" fontId="0" fillId="0" borderId="0"/>
    <xf numFmtId="0" fontId="8" fillId="0" borderId="0" applyNumberFormat="0" applyFill="0" applyBorder="0" applyAlignment="0" applyProtection="0"/>
    <xf numFmtId="0" fontId="9" fillId="3" borderId="0" applyNumberFormat="0" applyBorder="0" applyAlignment="0" applyProtection="0"/>
  </cellStyleXfs>
  <cellXfs count="49">
    <xf numFmtId="0" fontId="0" fillId="0" borderId="0" xfId="0"/>
    <xf numFmtId="0" fontId="1" fillId="0" borderId="0" xfId="0" applyFont="1" applyAlignment="1">
      <alignment horizontal="center"/>
    </xf>
    <xf numFmtId="0" fontId="0" fillId="0" borderId="0" xfId="0" applyAlignment="1">
      <alignment horizontal="left"/>
    </xf>
    <xf numFmtId="0" fontId="0" fillId="0" borderId="1" xfId="0" applyBorder="1"/>
    <xf numFmtId="0" fontId="0" fillId="0" borderId="0" xfId="0" applyAlignment="1">
      <alignment horizontal="right"/>
    </xf>
    <xf numFmtId="0" fontId="7" fillId="0" borderId="0" xfId="0" applyFont="1" applyAlignment="1">
      <alignment horizontal="left"/>
    </xf>
    <xf numFmtId="0" fontId="7" fillId="0" borderId="0" xfId="0" applyFont="1" applyAlignment="1">
      <alignment horizontal="right"/>
    </xf>
    <xf numFmtId="0" fontId="8" fillId="0" borderId="0" xfId="1"/>
    <xf numFmtId="0" fontId="0" fillId="0" borderId="0" xfId="0" quotePrefix="1"/>
    <xf numFmtId="0" fontId="10" fillId="0" borderId="0" xfId="0" applyFont="1"/>
    <xf numFmtId="0" fontId="14" fillId="0" borderId="0" xfId="2" applyFont="1" applyFill="1" applyBorder="1"/>
    <xf numFmtId="0" fontId="0" fillId="0" borderId="4" xfId="0" applyBorder="1"/>
    <xf numFmtId="0" fontId="0" fillId="0" borderId="5" xfId="0" applyBorder="1" applyAlignment="1">
      <alignment horizontal="left"/>
    </xf>
    <xf numFmtId="0" fontId="0" fillId="2" borderId="4" xfId="0" applyFill="1" applyBorder="1"/>
    <xf numFmtId="0" fontId="0" fillId="2" borderId="5" xfId="0" applyFill="1" applyBorder="1" applyAlignment="1">
      <alignment horizontal="left"/>
    </xf>
    <xf numFmtId="0" fontId="1" fillId="0" borderId="4" xfId="0" applyFont="1" applyBorder="1"/>
    <xf numFmtId="0" fontId="0" fillId="0" borderId="4" xfId="0" applyBorder="1" applyAlignment="1">
      <alignment horizontal="right"/>
    </xf>
    <xf numFmtId="0" fontId="1" fillId="0" borderId="4" xfId="0" applyFont="1" applyBorder="1" applyAlignment="1">
      <alignment horizontal="left"/>
    </xf>
    <xf numFmtId="0" fontId="0" fillId="0" borderId="6" xfId="0" applyBorder="1" applyAlignment="1">
      <alignment horizontal="right"/>
    </xf>
    <xf numFmtId="0" fontId="0" fillId="0" borderId="5" xfId="0" applyBorder="1"/>
    <xf numFmtId="1" fontId="0" fillId="0" borderId="5" xfId="0" applyNumberFormat="1"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10" xfId="0" applyFont="1" applyBorder="1"/>
    <xf numFmtId="0" fontId="0" fillId="0" borderId="11" xfId="0" applyBorder="1"/>
    <xf numFmtId="0" fontId="0" fillId="0" borderId="12" xfId="0" applyBorder="1" applyAlignment="1">
      <alignment horizontal="left"/>
    </xf>
    <xf numFmtId="0" fontId="0" fillId="0" borderId="13" xfId="0" applyBorder="1"/>
    <xf numFmtId="0" fontId="0" fillId="0" borderId="14" xfId="0" applyBorder="1"/>
    <xf numFmtId="0" fontId="0" fillId="0" borderId="16" xfId="0" applyBorder="1"/>
    <xf numFmtId="0" fontId="0" fillId="0" borderId="12" xfId="0" applyBorder="1"/>
    <xf numFmtId="0" fontId="10" fillId="0" borderId="5" xfId="0" applyFont="1" applyBorder="1"/>
    <xf numFmtId="0" fontId="0" fillId="0" borderId="17" xfId="0" applyBorder="1" applyAlignment="1">
      <alignment horizontal="left"/>
    </xf>
    <xf numFmtId="0" fontId="0" fillId="0" borderId="18" xfId="0" applyBorder="1" applyAlignment="1">
      <alignment horizontal="left"/>
    </xf>
    <xf numFmtId="0" fontId="8" fillId="0" borderId="0" xfId="1" applyBorder="1"/>
    <xf numFmtId="0" fontId="14" fillId="4" borderId="0" xfId="0" applyFont="1" applyFill="1"/>
    <xf numFmtId="0" fontId="10" fillId="0" borderId="2" xfId="0" applyFont="1" applyBorder="1" applyAlignment="1">
      <alignment horizontal="center"/>
    </xf>
    <xf numFmtId="0" fontId="10" fillId="0" borderId="3"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0" fillId="0" borderId="0" xfId="0"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15"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0" fillId="0" borderId="15" xfId="0" applyFont="1" applyBorder="1" applyAlignment="1">
      <alignment horizontal="center"/>
    </xf>
  </cellXfs>
  <cellStyles count="3">
    <cellStyle name="Köprü" xfId="1" builtinId="8"/>
    <cellStyle name="Kötü" xfId="2"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84933</xdr:colOff>
      <xdr:row>0</xdr:row>
      <xdr:rowOff>116860</xdr:rowOff>
    </xdr:from>
    <xdr:to>
      <xdr:col>27</xdr:col>
      <xdr:colOff>59106</xdr:colOff>
      <xdr:row>21</xdr:row>
      <xdr:rowOff>97000</xdr:rowOff>
    </xdr:to>
    <xdr:pic>
      <xdr:nvPicPr>
        <xdr:cNvPr id="2" name="Resim 1">
          <a:extLst>
            <a:ext uri="{FF2B5EF4-FFF2-40B4-BE49-F238E27FC236}">
              <a16:creationId xmlns:a16="http://schemas.microsoft.com/office/drawing/2014/main" id="{DE8EC07D-4705-A752-2CDA-2CBCB92A18EF}"/>
            </a:ext>
          </a:extLst>
        </xdr:cNvPr>
        <xdr:cNvPicPr>
          <a:picLocks noChangeAspect="1"/>
        </xdr:cNvPicPr>
      </xdr:nvPicPr>
      <xdr:blipFill>
        <a:blip xmlns:r="http://schemas.openxmlformats.org/officeDocument/2006/relationships" r:embed="rId1"/>
        <a:stretch>
          <a:fillRect/>
        </a:stretch>
      </xdr:blipFill>
      <xdr:spPr>
        <a:xfrm>
          <a:off x="15888150" y="116860"/>
          <a:ext cx="9731583" cy="3893696"/>
        </a:xfrm>
        <a:prstGeom prst="rect">
          <a:avLst/>
        </a:prstGeom>
      </xdr:spPr>
    </xdr:pic>
    <xdr:clientData/>
  </xdr:twoCellAnchor>
  <xdr:twoCellAnchor editAs="oneCell">
    <xdr:from>
      <xdr:col>11</xdr:col>
      <xdr:colOff>143435</xdr:colOff>
      <xdr:row>21</xdr:row>
      <xdr:rowOff>143435</xdr:rowOff>
    </xdr:from>
    <xdr:to>
      <xdr:col>21</xdr:col>
      <xdr:colOff>358954</xdr:colOff>
      <xdr:row>49</xdr:row>
      <xdr:rowOff>270</xdr:rowOff>
    </xdr:to>
    <xdr:pic>
      <xdr:nvPicPr>
        <xdr:cNvPr id="3" name="Resim 2">
          <a:extLst>
            <a:ext uri="{FF2B5EF4-FFF2-40B4-BE49-F238E27FC236}">
              <a16:creationId xmlns:a16="http://schemas.microsoft.com/office/drawing/2014/main" id="{86902803-D243-4B1A-98C3-5679B62C3DDA}"/>
            </a:ext>
          </a:extLst>
        </xdr:cNvPr>
        <xdr:cNvPicPr>
          <a:picLocks noChangeAspect="1"/>
        </xdr:cNvPicPr>
      </xdr:nvPicPr>
      <xdr:blipFill>
        <a:blip xmlns:r="http://schemas.openxmlformats.org/officeDocument/2006/relationships" r:embed="rId2"/>
        <a:stretch>
          <a:fillRect/>
        </a:stretch>
      </xdr:blipFill>
      <xdr:spPr>
        <a:xfrm>
          <a:off x="17974235" y="3908611"/>
          <a:ext cx="6933333" cy="4923809"/>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digikey.com/en/products/detail/chinsan-elite/PK2S221MND2545/16496849" TargetMode="External"/><Relationship Id="rId7" Type="http://schemas.openxmlformats.org/officeDocument/2006/relationships/comments" Target="../comments1.xml"/><Relationship Id="rId2" Type="http://schemas.openxmlformats.org/officeDocument/2006/relationships/hyperlink" Target="https://www.digikey.com/en/products/detail/taiwan-semiconductor-corporation/TSCDT06065G1/22677376" TargetMode="External"/><Relationship Id="rId1" Type="http://schemas.openxmlformats.org/officeDocument/2006/relationships/hyperlink" Target="https://www.digikey.com/en/products/detail/kyocera-avx/REA1321470M200K/20096650"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digikey.com/en/products/detail/chinsan-elite/PK2S221MND2545/16496849" TargetMode="External"/><Relationship Id="rId2" Type="http://schemas.openxmlformats.org/officeDocument/2006/relationships/hyperlink" Target="https://www.digikey.com/en/products/detail/taiwan-semiconductor-corporation/TSCDT06065G1/22677376" TargetMode="External"/><Relationship Id="rId1" Type="http://schemas.openxmlformats.org/officeDocument/2006/relationships/hyperlink" Target="https://www.digikey.com/en/products/detail/kyocera-avx/REA1321470M200K/20096650"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E306-0EA1-466F-B4B3-EF23FA45AD38}">
  <dimension ref="A1:U62"/>
  <sheetViews>
    <sheetView tabSelected="1" topLeftCell="A9" zoomScaleNormal="100" workbookViewId="0">
      <selection activeCell="B20" sqref="B20"/>
    </sheetView>
  </sheetViews>
  <sheetFormatPr defaultRowHeight="15" x14ac:dyDescent="0.25"/>
  <cols>
    <col min="1" max="1" width="39.28515625" bestFit="1" customWidth="1"/>
    <col min="2" max="2" width="12" bestFit="1" customWidth="1"/>
    <col min="4" max="4" width="42.85546875" bestFit="1" customWidth="1"/>
    <col min="5" max="5" width="12.28515625" style="2" customWidth="1"/>
    <col min="6" max="6" width="38.42578125" customWidth="1"/>
    <col min="7" max="7" width="12.7109375" bestFit="1" customWidth="1"/>
    <col min="8" max="8" width="41.140625" bestFit="1" customWidth="1"/>
    <col min="9" max="9" width="24.42578125" bestFit="1" customWidth="1"/>
    <col min="10" max="10" width="12.140625" bestFit="1" customWidth="1"/>
    <col min="11" max="11" width="10.85546875" bestFit="1" customWidth="1"/>
  </cols>
  <sheetData>
    <row r="1" spans="1:21" x14ac:dyDescent="0.25">
      <c r="A1" s="41"/>
      <c r="B1" s="41"/>
      <c r="C1" s="41"/>
      <c r="D1" s="41"/>
      <c r="E1" s="41"/>
      <c r="F1" s="41"/>
      <c r="G1" s="41"/>
      <c r="H1" s="41"/>
      <c r="I1" s="41"/>
      <c r="J1" s="41"/>
      <c r="K1" s="41"/>
      <c r="L1" s="41"/>
      <c r="M1" s="41"/>
      <c r="N1" s="41"/>
      <c r="O1" s="41"/>
      <c r="P1" s="41"/>
      <c r="Q1" s="41"/>
      <c r="R1" s="41"/>
      <c r="S1" s="41"/>
      <c r="T1" s="41"/>
      <c r="U1" s="41"/>
    </row>
    <row r="2" spans="1:21" x14ac:dyDescent="0.25">
      <c r="A2" s="42" t="s">
        <v>0</v>
      </c>
      <c r="B2" s="42"/>
      <c r="F2" s="42" t="s">
        <v>12</v>
      </c>
      <c r="G2" s="42"/>
    </row>
    <row r="3" spans="1:21" x14ac:dyDescent="0.25">
      <c r="F3" s="1"/>
      <c r="G3" s="1"/>
    </row>
    <row r="4" spans="1:21" x14ac:dyDescent="0.25">
      <c r="A4" s="5" t="s">
        <v>95</v>
      </c>
      <c r="B4" s="6">
        <v>5</v>
      </c>
      <c r="D4" t="s">
        <v>6</v>
      </c>
      <c r="E4" s="2">
        <f>B5*SQRT(2)</f>
        <v>325.26911934581187</v>
      </c>
      <c r="F4" t="s">
        <v>7</v>
      </c>
      <c r="G4">
        <f>E4*(1-B7)</f>
        <v>276.4787514439401</v>
      </c>
      <c r="H4" s="4" t="s">
        <v>13</v>
      </c>
      <c r="I4">
        <f>E5</f>
        <v>292.74220741123071</v>
      </c>
    </row>
    <row r="5" spans="1:21" x14ac:dyDescent="0.25">
      <c r="A5" t="s">
        <v>1</v>
      </c>
      <c r="B5">
        <v>230</v>
      </c>
      <c r="D5" t="s">
        <v>11</v>
      </c>
      <c r="E5" s="2">
        <f>B5*(1-B6)*SQRT(2)</f>
        <v>292.74220741123071</v>
      </c>
      <c r="F5" t="s">
        <v>8</v>
      </c>
      <c r="G5">
        <f>E5*(1-B7)</f>
        <v>248.83087629954611</v>
      </c>
      <c r="H5" s="4" t="s">
        <v>14</v>
      </c>
      <c r="I5">
        <f>E6</f>
        <v>357.79603128039309</v>
      </c>
    </row>
    <row r="6" spans="1:21" x14ac:dyDescent="0.25">
      <c r="A6" t="s">
        <v>2</v>
      </c>
      <c r="B6">
        <v>0.1</v>
      </c>
      <c r="D6" t="s">
        <v>10</v>
      </c>
      <c r="E6" s="2">
        <f>B5*(1+B6)*SQRT(2)</f>
        <v>357.79603128039309</v>
      </c>
      <c r="F6" t="s">
        <v>9</v>
      </c>
      <c r="G6">
        <f>E6*(1-B7)</f>
        <v>304.12662658833415</v>
      </c>
      <c r="H6" s="4" t="s">
        <v>15</v>
      </c>
      <c r="I6">
        <f>E4</f>
        <v>325.26911934581187</v>
      </c>
    </row>
    <row r="7" spans="1:21" x14ac:dyDescent="0.25">
      <c r="A7" t="s">
        <v>3</v>
      </c>
      <c r="B7">
        <v>0.15</v>
      </c>
    </row>
    <row r="8" spans="1:21" ht="15.75" thickBot="1" x14ac:dyDescent="0.3">
      <c r="A8" t="s">
        <v>4</v>
      </c>
      <c r="B8">
        <v>1000</v>
      </c>
    </row>
    <row r="9" spans="1:21" x14ac:dyDescent="0.25">
      <c r="A9" t="s">
        <v>5</v>
      </c>
      <c r="B9">
        <v>0.9</v>
      </c>
      <c r="D9" s="43" t="s">
        <v>41</v>
      </c>
      <c r="E9" s="44"/>
      <c r="F9" s="43" t="s">
        <v>42</v>
      </c>
      <c r="G9" s="44"/>
      <c r="H9" s="43" t="s">
        <v>66</v>
      </c>
      <c r="I9" s="45"/>
      <c r="J9" s="45"/>
      <c r="K9" s="44"/>
    </row>
    <row r="10" spans="1:21" x14ac:dyDescent="0.25">
      <c r="A10" t="s">
        <v>19</v>
      </c>
      <c r="B10">
        <v>0.7</v>
      </c>
      <c r="D10" s="11" t="s">
        <v>16</v>
      </c>
      <c r="E10" s="12">
        <f>(I4*B10)/(B11+B13)</f>
        <v>1.4616230041930207</v>
      </c>
      <c r="F10" s="11" t="s">
        <v>43</v>
      </c>
      <c r="G10" s="19"/>
      <c r="H10" s="11" t="s">
        <v>72</v>
      </c>
      <c r="I10" s="3">
        <f>B31*SQRT(B32/I6)</f>
        <v>3.1050357876541618E-11</v>
      </c>
      <c r="J10">
        <f>I10*10^12</f>
        <v>31.050357876541618</v>
      </c>
      <c r="K10" s="19" t="s">
        <v>71</v>
      </c>
    </row>
    <row r="11" spans="1:21" x14ac:dyDescent="0.25">
      <c r="A11" t="s">
        <v>17</v>
      </c>
      <c r="B11">
        <v>140</v>
      </c>
      <c r="D11" s="11" t="s">
        <v>20</v>
      </c>
      <c r="E11" s="12">
        <f>((B11+B12)*E10)/(I6 - (2*B12))</f>
        <v>0.63329506214903697</v>
      </c>
      <c r="F11" s="11" t="s">
        <v>44</v>
      </c>
      <c r="G11" s="19"/>
      <c r="H11" s="11" t="s">
        <v>75</v>
      </c>
      <c r="I11" s="3">
        <f>((E29^2)*B30)+(2*B33*B34*B14)</f>
        <v>4.9952873440085428</v>
      </c>
      <c r="K11" s="19"/>
    </row>
    <row r="12" spans="1:21" ht="15.75" thickBot="1" x14ac:dyDescent="0.3">
      <c r="A12" t="s">
        <v>18</v>
      </c>
      <c r="B12">
        <v>0.5</v>
      </c>
      <c r="D12" s="11" t="s">
        <v>22</v>
      </c>
      <c r="E12" s="12">
        <f xml:space="preserve"> B8*B13/B11</f>
        <v>1.4285714285714286</v>
      </c>
      <c r="F12" s="11" t="s">
        <v>47</v>
      </c>
      <c r="G12" s="19">
        <f>1/(B14*2)</f>
        <v>5.0000000000000004E-6</v>
      </c>
      <c r="H12" s="21" t="s">
        <v>76</v>
      </c>
      <c r="I12" s="30">
        <f>I11*4</f>
        <v>19.981149376034171</v>
      </c>
      <c r="J12" s="31"/>
      <c r="K12" s="22"/>
    </row>
    <row r="13" spans="1:21" x14ac:dyDescent="0.25">
      <c r="A13" t="s">
        <v>21</v>
      </c>
      <c r="B13">
        <v>0.2</v>
      </c>
      <c r="D13" s="13" t="s">
        <v>24</v>
      </c>
      <c r="E13" s="14">
        <f>(I6*(1-E11))/((E12*0.5/E10)*2*B14)</f>
        <v>1.2203741547262958E-3</v>
      </c>
      <c r="F13" s="11" t="s">
        <v>46</v>
      </c>
      <c r="G13" s="20">
        <f>(I6*G12) / (B21*B20)</f>
        <v>23.707661759898826</v>
      </c>
      <c r="H13" s="43" t="s">
        <v>92</v>
      </c>
      <c r="I13" s="45"/>
      <c r="J13" s="45"/>
      <c r="K13" s="44"/>
    </row>
    <row r="14" spans="1:21" x14ac:dyDescent="0.25">
      <c r="A14" t="s">
        <v>23</v>
      </c>
      <c r="B14">
        <f>100*10^3</f>
        <v>100000</v>
      </c>
      <c r="D14" s="11" t="s">
        <v>25</v>
      </c>
      <c r="E14" s="12">
        <f>(B8/B11) + (E12/2)</f>
        <v>7.8571428571428577</v>
      </c>
      <c r="F14" s="11" t="s">
        <v>56</v>
      </c>
      <c r="G14" s="20">
        <f>G13 * (1 / E10)</f>
        <v>16.220093479568696</v>
      </c>
      <c r="H14" s="11" t="s">
        <v>93</v>
      </c>
      <c r="I14">
        <f>(G29*B8*B9)/(B11^2)</f>
        <v>8.2508611016466668E-6</v>
      </c>
      <c r="J14">
        <f>I14*10^6</f>
        <v>8.2508611016466666</v>
      </c>
      <c r="K14" s="19" t="s">
        <v>94</v>
      </c>
    </row>
    <row r="15" spans="1:21" x14ac:dyDescent="0.25">
      <c r="A15" t="s">
        <v>186</v>
      </c>
      <c r="B15">
        <v>100</v>
      </c>
      <c r="D15" s="11" t="s">
        <v>26</v>
      </c>
      <c r="E15" s="12">
        <f>(B8/B11) - (E12/2)</f>
        <v>6.4285714285714288</v>
      </c>
      <c r="F15" s="11" t="s">
        <v>57</v>
      </c>
      <c r="G15" s="20">
        <f>G13 * (1 / E10)</f>
        <v>16.220093479568696</v>
      </c>
      <c r="H15" s="11" t="s">
        <v>96</v>
      </c>
      <c r="I15">
        <f>(B4*B9)/((B8*0.9)/B11)</f>
        <v>0.7</v>
      </c>
      <c r="K15" s="19"/>
    </row>
    <row r="16" spans="1:21" x14ac:dyDescent="0.25">
      <c r="D16" s="11" t="s">
        <v>27</v>
      </c>
      <c r="E16" s="12">
        <f>E14 - (E12/2)</f>
        <v>7.1428571428571432</v>
      </c>
      <c r="F16" s="11" t="s">
        <v>53</v>
      </c>
      <c r="G16" s="19">
        <f>(G13^2)*B25</f>
        <v>3.9821471070727353E-3</v>
      </c>
      <c r="H16" s="11" t="s">
        <v>97</v>
      </c>
      <c r="I16">
        <f>((B8*B9*(I14))/(B11))/((B4)*0.1)</f>
        <v>1.0608249987831428E-4</v>
      </c>
      <c r="J16">
        <f>I16*10^6</f>
        <v>106.08249987831428</v>
      </c>
      <c r="K16" s="19" t="s">
        <v>98</v>
      </c>
    </row>
    <row r="17" spans="1:11" x14ac:dyDescent="0.25">
      <c r="A17" t="s">
        <v>187</v>
      </c>
      <c r="B17" s="36">
        <v>0.215</v>
      </c>
      <c r="D17" s="15" t="s">
        <v>28</v>
      </c>
      <c r="E17" s="12"/>
      <c r="F17" s="11" t="s">
        <v>55</v>
      </c>
      <c r="G17" s="19">
        <f>E29/B22</f>
        <v>2.0919501468477883</v>
      </c>
      <c r="H17" s="11" t="s">
        <v>99</v>
      </c>
      <c r="I17">
        <f>E12/SQRT(3)</f>
        <v>0.82478609884232257</v>
      </c>
      <c r="K17" s="19"/>
    </row>
    <row r="18" spans="1:11" x14ac:dyDescent="0.25">
      <c r="A18" t="s">
        <v>189</v>
      </c>
      <c r="B18" s="36">
        <v>5.8E-4</v>
      </c>
      <c r="D18" s="16" t="s">
        <v>39</v>
      </c>
      <c r="E18" s="12">
        <f>SQRT((B10/2)*((E14*E15)+(((E14-E15)^2)/3)))</f>
        <v>4.2328083664000982</v>
      </c>
      <c r="F18" s="11" t="s">
        <v>58</v>
      </c>
      <c r="G18" s="19">
        <f>E21/B22</f>
        <v>1.7122452583204801</v>
      </c>
      <c r="H18" s="11" t="s">
        <v>103</v>
      </c>
      <c r="I18">
        <f>I16/B44</f>
        <v>2.2570744654960486</v>
      </c>
      <c r="J18" s="8" t="s">
        <v>104</v>
      </c>
      <c r="K18" s="19"/>
    </row>
    <row r="19" spans="1:11" x14ac:dyDescent="0.25">
      <c r="A19" t="s">
        <v>48</v>
      </c>
      <c r="B19" s="9" t="s">
        <v>49</v>
      </c>
      <c r="D19" s="16" t="s">
        <v>38</v>
      </c>
      <c r="E19" s="12">
        <f>SQRT(((1-B10)/2)*((E14*E16)+(((E14-E16)^2)/3)))</f>
        <v>2.9058350866868565</v>
      </c>
      <c r="F19" s="11" t="s">
        <v>59</v>
      </c>
      <c r="G19" s="19">
        <f>G17*G13+G14*G18+G15*G18</f>
        <v>105.14080279985092</v>
      </c>
      <c r="H19" s="11" t="s">
        <v>107</v>
      </c>
      <c r="I19">
        <f>B45/3</f>
        <v>0.01</v>
      </c>
      <c r="K19" s="19"/>
    </row>
    <row r="20" spans="1:11" ht="15.75" thickBot="1" x14ac:dyDescent="0.3">
      <c r="A20" t="s">
        <v>188</v>
      </c>
      <c r="B20">
        <f>343 * 10^(-6)</f>
        <v>3.4299999999999999E-4</v>
      </c>
      <c r="D20" s="16" t="s">
        <v>37</v>
      </c>
      <c r="E20" s="12">
        <f>(E12/2)*SQRT((1-B10)/(2*3))</f>
        <v>0.15971914124998499</v>
      </c>
      <c r="F20" s="11" t="s">
        <v>61</v>
      </c>
      <c r="G20" s="19">
        <f>G19/B23</f>
        <v>0.36255449241327903</v>
      </c>
      <c r="H20" s="21" t="s">
        <v>106</v>
      </c>
      <c r="I20" s="31">
        <f>(I17^2)*I19</f>
        <v>6.8027210884353748E-3</v>
      </c>
      <c r="J20" s="31"/>
      <c r="K20" s="22"/>
    </row>
    <row r="21" spans="1:11" x14ac:dyDescent="0.25">
      <c r="A21" t="s">
        <v>45</v>
      </c>
      <c r="B21">
        <v>0.2</v>
      </c>
      <c r="D21" s="16" t="s">
        <v>29</v>
      </c>
      <c r="E21" s="12">
        <f>SQRT((E18^2)+(E19^2)+(E20^2))</f>
        <v>5.1367357749614406</v>
      </c>
      <c r="F21" s="46" t="s">
        <v>62</v>
      </c>
      <c r="G21" s="47"/>
      <c r="H21" s="37" t="s">
        <v>108</v>
      </c>
      <c r="I21" s="48"/>
      <c r="J21" s="48"/>
      <c r="K21" s="38"/>
    </row>
    <row r="22" spans="1:11" x14ac:dyDescent="0.25">
      <c r="A22" t="s">
        <v>54</v>
      </c>
      <c r="B22">
        <v>3</v>
      </c>
      <c r="C22">
        <v>1740</v>
      </c>
      <c r="D22" s="17" t="s">
        <v>30</v>
      </c>
      <c r="E22" s="12"/>
      <c r="F22" s="11" t="s">
        <v>64</v>
      </c>
      <c r="G22" s="19">
        <f>G17/(((B24/2)^2)*3.14)</f>
        <v>266.49046456659721</v>
      </c>
      <c r="H22" s="11" t="s">
        <v>109</v>
      </c>
      <c r="I22">
        <f>(I5/E10)*2</f>
        <v>489.58730158730157</v>
      </c>
      <c r="K22" s="19"/>
    </row>
    <row r="23" spans="1:11" ht="15.75" thickBot="1" x14ac:dyDescent="0.3">
      <c r="A23" t="s">
        <v>60</v>
      </c>
      <c r="B23">
        <v>290</v>
      </c>
      <c r="C23">
        <v>1741</v>
      </c>
      <c r="D23" s="16" t="s">
        <v>31</v>
      </c>
      <c r="E23" s="12">
        <f>(I4*B10)/(E13*2*B14)</f>
        <v>0.83957671667432443</v>
      </c>
      <c r="F23" s="21" t="s">
        <v>65</v>
      </c>
      <c r="G23" s="22">
        <f>G18/(((B24/2)^2)*3.14)</f>
        <v>218.12041507267259</v>
      </c>
      <c r="H23" s="11" t="s">
        <v>110</v>
      </c>
      <c r="I23">
        <f>(G30*SQRT(1.8))/2</f>
        <v>4.7995535506663831</v>
      </c>
      <c r="K23" s="19"/>
    </row>
    <row r="24" spans="1:11" ht="15.75" thickBot="1" x14ac:dyDescent="0.3">
      <c r="A24" t="s">
        <v>63</v>
      </c>
      <c r="B24">
        <v>0.1</v>
      </c>
      <c r="D24" s="11" t="s">
        <v>32</v>
      </c>
      <c r="E24" s="12">
        <f>(((B8/(B11*B9))+(E12/2))*(1/E10))+E23</f>
        <v>6.7581984310129375</v>
      </c>
      <c r="F24" s="43" t="s">
        <v>77</v>
      </c>
      <c r="G24" s="44"/>
      <c r="H24" s="21" t="s">
        <v>112</v>
      </c>
      <c r="I24" s="31">
        <f>B48*I23</f>
        <v>6.9593526484662549</v>
      </c>
      <c r="J24" s="31"/>
      <c r="K24" s="22"/>
    </row>
    <row r="25" spans="1:11" x14ac:dyDescent="0.25">
      <c r="A25" t="s">
        <v>52</v>
      </c>
      <c r="B25">
        <f>7085*10^-9</f>
        <v>7.0850000000000008E-6</v>
      </c>
      <c r="D25" s="11" t="s">
        <v>33</v>
      </c>
      <c r="E25" s="12">
        <f>(((B8/(B11*B9))-(E12/2))*(1/E10))+E23</f>
        <v>5.7808113589203227</v>
      </c>
      <c r="F25" s="11" t="s">
        <v>78</v>
      </c>
      <c r="G25" s="19">
        <f>((2*I10)*((I5^2)/(((E24*E10 - E12)/(2*E10))^2)))-B36</f>
        <v>9.4504137339145649E-7</v>
      </c>
      <c r="H25" s="37" t="s">
        <v>113</v>
      </c>
      <c r="I25" s="48"/>
      <c r="J25" s="48"/>
      <c r="K25" s="38"/>
    </row>
    <row r="26" spans="1:11" x14ac:dyDescent="0.25">
      <c r="B26" t="s">
        <v>51</v>
      </c>
      <c r="D26" s="11" t="s">
        <v>34</v>
      </c>
      <c r="E26" s="12">
        <f>E24 - (E12/2)*(1/E10)</f>
        <v>6.2695048949666301</v>
      </c>
      <c r="F26" s="23" t="s">
        <v>81</v>
      </c>
      <c r="G26" s="24">
        <f>(E29^2)*B37</f>
        <v>1.0634300663058451</v>
      </c>
      <c r="H26" s="11" t="s">
        <v>212</v>
      </c>
      <c r="I26">
        <f>G25*2</f>
        <v>1.890082746782913E-6</v>
      </c>
      <c r="J26">
        <f>I26*10^6</f>
        <v>1.8900827467829129</v>
      </c>
      <c r="K26" s="32"/>
    </row>
    <row r="27" spans="1:11" ht="15.75" thickBot="1" x14ac:dyDescent="0.3">
      <c r="A27" t="s">
        <v>50</v>
      </c>
      <c r="B27" t="s">
        <v>51</v>
      </c>
      <c r="D27" s="16" t="s">
        <v>35</v>
      </c>
      <c r="E27" s="12">
        <f>SQRT((B10)*((E24*E25)+(((E24-E25)^2)/3)))</f>
        <v>5.2507531961089011</v>
      </c>
      <c r="F27" s="25" t="s">
        <v>87</v>
      </c>
      <c r="G27" s="26">
        <f>0.5*G25*(E29^2)*B14</f>
        <v>1.8610840932730437</v>
      </c>
      <c r="H27" s="11" t="s">
        <v>118</v>
      </c>
      <c r="I27" s="10">
        <f>1/(2*3.14*SQRT((2*I10)*(I26)))</f>
        <v>14697776.684865484</v>
      </c>
      <c r="J27" s="10"/>
      <c r="K27" s="19"/>
    </row>
    <row r="28" spans="1:11" x14ac:dyDescent="0.25">
      <c r="D28" s="16" t="s">
        <v>36</v>
      </c>
      <c r="E28" s="2">
        <f>SQRT((1-B10)*((E24*E25)+(((E24-E25)^2)/3)))</f>
        <v>3.4374248538143357</v>
      </c>
      <c r="F28" s="43" t="s">
        <v>88</v>
      </c>
      <c r="G28" s="44"/>
      <c r="H28" s="11" t="s">
        <v>119</v>
      </c>
      <c r="I28" s="10">
        <f>2/(I27*4)</f>
        <v>3.4018750639670376E-8</v>
      </c>
      <c r="J28" s="10">
        <f>I28*10^9</f>
        <v>34.01875063967038</v>
      </c>
      <c r="K28" s="19"/>
    </row>
    <row r="29" spans="1:11" x14ac:dyDescent="0.25">
      <c r="A29" t="s">
        <v>68</v>
      </c>
      <c r="B29" t="s">
        <v>84</v>
      </c>
      <c r="D29" s="16" t="s">
        <v>40</v>
      </c>
      <c r="E29" s="2">
        <f xml:space="preserve"> SQRT((E27^2) + (E28^2))</f>
        <v>6.2758504405433646</v>
      </c>
      <c r="F29" s="28" t="s">
        <v>166</v>
      </c>
      <c r="G29" s="29">
        <f>(B11*(1-E11))/(E12*2*B14)</f>
        <v>1.7968541954697186E-4</v>
      </c>
      <c r="H29" s="11" t="s">
        <v>120</v>
      </c>
      <c r="I29" s="10">
        <f>((1/(2*B14))-I28) * 2*B14</f>
        <v>0.99319624987206601</v>
      </c>
      <c r="K29" s="19"/>
    </row>
    <row r="30" spans="1:11" ht="15.75" thickBot="1" x14ac:dyDescent="0.3">
      <c r="A30" t="s">
        <v>67</v>
      </c>
      <c r="B30">
        <f>125*10^-3</f>
        <v>0.125</v>
      </c>
      <c r="D30" s="18" t="s">
        <v>83</v>
      </c>
      <c r="E30" s="27">
        <f>2 *(((E29^2)*B20)+(2*((E21^2)*B21)))</f>
        <v>21.135862538358889</v>
      </c>
      <c r="F30" s="11" t="s">
        <v>89</v>
      </c>
      <c r="G30" s="19">
        <f>SQRT(((B8/B11)^2)+((E12/(2*SQRT(3)))^2))</f>
        <v>7.1547520006270089</v>
      </c>
      <c r="H30" s="11" t="s">
        <v>123</v>
      </c>
      <c r="I30">
        <f>((B48+B11)*E10)/I29</f>
        <v>208.16286204235453</v>
      </c>
      <c r="K30" s="19"/>
    </row>
    <row r="31" spans="1:11" ht="15.75" thickBot="1" x14ac:dyDescent="0.3">
      <c r="A31" t="s">
        <v>69</v>
      </c>
      <c r="B31">
        <f>28*10^-12</f>
        <v>2.8E-11</v>
      </c>
      <c r="D31" s="33" t="s">
        <v>82</v>
      </c>
      <c r="E31" s="34">
        <f>-G26 -I12 -E30 -G31 -I20 -I24 -I24</f>
        <v>-56.177616665386516</v>
      </c>
      <c r="F31" s="21" t="s">
        <v>91</v>
      </c>
      <c r="G31" s="22">
        <f>2*(G30^2)*B41</f>
        <v>7.1666666666666656E-2</v>
      </c>
      <c r="H31" s="21" t="s">
        <v>124</v>
      </c>
      <c r="I31" s="31">
        <f>(2*B8)/(((I5^2) - (I30^2)) * 60)</f>
        <v>3.9360987189079053E-4</v>
      </c>
      <c r="J31" s="31">
        <f>I31*10^6</f>
        <v>393.60987189079054</v>
      </c>
      <c r="K31" s="22"/>
    </row>
    <row r="32" spans="1:11" x14ac:dyDescent="0.25">
      <c r="A32" t="s">
        <v>70</v>
      </c>
      <c r="B32">
        <v>400</v>
      </c>
      <c r="G32">
        <f>G29*10^6</f>
        <v>179.68541954697184</v>
      </c>
    </row>
    <row r="33" spans="1:11" ht="15.75" thickBot="1" x14ac:dyDescent="0.3">
      <c r="A33" t="s">
        <v>73</v>
      </c>
      <c r="B33">
        <f>36*10^-9</f>
        <v>3.6000000000000005E-8</v>
      </c>
    </row>
    <row r="34" spans="1:11" x14ac:dyDescent="0.25">
      <c r="A34" t="s">
        <v>74</v>
      </c>
      <c r="B34">
        <v>10</v>
      </c>
      <c r="D34" s="37" t="s">
        <v>127</v>
      </c>
      <c r="E34" s="38"/>
      <c r="F34" s="37" t="s">
        <v>143</v>
      </c>
      <c r="G34" s="38"/>
      <c r="H34" s="37" t="s">
        <v>167</v>
      </c>
      <c r="I34" s="38"/>
    </row>
    <row r="35" spans="1:11" x14ac:dyDescent="0.25">
      <c r="D35" s="11" t="s">
        <v>183</v>
      </c>
      <c r="E35" s="12">
        <f>B15</f>
        <v>100</v>
      </c>
      <c r="F35" s="11" t="s">
        <v>151</v>
      </c>
      <c r="G35" s="19">
        <f>(B11-B59-B61)/B62</f>
        <v>13755</v>
      </c>
      <c r="H35" s="11" t="s">
        <v>168</v>
      </c>
      <c r="I35" s="19">
        <f>(0.5*((B11*E38)/(G29*E10*E35)))</f>
        <v>52282.01475845505</v>
      </c>
    </row>
    <row r="36" spans="1:11" x14ac:dyDescent="0.25">
      <c r="A36" t="s">
        <v>79</v>
      </c>
      <c r="B36">
        <f>6.549*10^-9</f>
        <v>6.5490000000000004E-9</v>
      </c>
      <c r="D36" s="11" t="s">
        <v>128</v>
      </c>
      <c r="E36" s="12">
        <f>(((B8/(B11*B9))+(G30/2))*(1/E10))+((I4*B10)/(E23*2*B14))</f>
        <v>7.878685290751597</v>
      </c>
      <c r="F36" s="11" t="s">
        <v>152</v>
      </c>
      <c r="G36" s="19">
        <f>G37*0.39</f>
        <v>1989</v>
      </c>
      <c r="H36" s="11" t="s">
        <v>169</v>
      </c>
      <c r="I36" s="19">
        <f>((I6*E11*E38)/(E13*E35))</f>
        <v>33109.941785732648</v>
      </c>
    </row>
    <row r="37" spans="1:11" x14ac:dyDescent="0.25">
      <c r="A37" t="s">
        <v>80</v>
      </c>
      <c r="B37">
        <f>27*10^-3</f>
        <v>2.7E-2</v>
      </c>
      <c r="D37" s="11" t="s">
        <v>129</v>
      </c>
      <c r="E37" s="12">
        <v>2</v>
      </c>
      <c r="F37" s="11" t="s">
        <v>153</v>
      </c>
      <c r="G37" s="19">
        <v>5100</v>
      </c>
      <c r="H37" s="11" t="s">
        <v>170</v>
      </c>
      <c r="I37" s="19">
        <f>I35-I36</f>
        <v>19172.072972722402</v>
      </c>
    </row>
    <row r="38" spans="1:11" ht="15.75" thickBot="1" x14ac:dyDescent="0.3">
      <c r="D38" s="11" t="s">
        <v>132</v>
      </c>
      <c r="E38" s="12">
        <f>(E37-0.3)/((E36*1.1)/E35)</f>
        <v>19.61564002649882</v>
      </c>
      <c r="F38" s="11" t="s">
        <v>154</v>
      </c>
      <c r="G38" s="19">
        <f>22 * 10^-9</f>
        <v>2.2000000000000002E-8</v>
      </c>
      <c r="H38" s="11" t="s">
        <v>172</v>
      </c>
      <c r="I38" s="19">
        <f>E41*((8*G44)/(I37*G42))*10^3</f>
        <v>26.720901943994011</v>
      </c>
    </row>
    <row r="39" spans="1:11" x14ac:dyDescent="0.25">
      <c r="A39" s="9" t="s">
        <v>85</v>
      </c>
      <c r="B39" s="9" t="s">
        <v>86</v>
      </c>
      <c r="D39" s="11" t="s">
        <v>130</v>
      </c>
      <c r="E39" s="2">
        <f>((E29/E35)^2)*E38</f>
        <v>7.7258745829671238E-2</v>
      </c>
      <c r="F39" s="37" t="s">
        <v>155</v>
      </c>
      <c r="G39" s="38"/>
      <c r="H39" s="11" t="s">
        <v>173</v>
      </c>
      <c r="I39" s="19">
        <f>1*10^-9</f>
        <v>1.0000000000000001E-9</v>
      </c>
    </row>
    <row r="40" spans="1:11" x14ac:dyDescent="0.25">
      <c r="D40" s="11" t="s">
        <v>131</v>
      </c>
      <c r="E40" s="2">
        <f>100*E38</f>
        <v>1961.564002649882</v>
      </c>
      <c r="F40" s="11" t="s">
        <v>156</v>
      </c>
      <c r="G40" s="19">
        <v>82000</v>
      </c>
      <c r="H40" s="11" t="s">
        <v>174</v>
      </c>
      <c r="I40" s="19">
        <f>I38</f>
        <v>26.720901943994011</v>
      </c>
    </row>
    <row r="41" spans="1:11" x14ac:dyDescent="0.25">
      <c r="A41" t="s">
        <v>90</v>
      </c>
      <c r="B41">
        <f>700*10^-6</f>
        <v>6.9999999999999999E-4</v>
      </c>
      <c r="D41" s="11" t="s">
        <v>133</v>
      </c>
      <c r="E41" s="2">
        <v>1000</v>
      </c>
      <c r="F41" s="11" t="s">
        <v>157</v>
      </c>
      <c r="G41" s="19">
        <f>1/(2*B14)</f>
        <v>5.0000000000000004E-6</v>
      </c>
      <c r="H41" s="11" t="s">
        <v>175</v>
      </c>
      <c r="I41" s="19">
        <f>56*10^-12</f>
        <v>5.6E-11</v>
      </c>
    </row>
    <row r="42" spans="1:11" ht="15.75" thickBot="1" x14ac:dyDescent="0.3">
      <c r="D42" s="11" t="s">
        <v>134</v>
      </c>
      <c r="E42" s="2">
        <f>330*10^-12</f>
        <v>3.3E-10</v>
      </c>
      <c r="F42" s="11" t="s">
        <v>158</v>
      </c>
      <c r="G42" s="19">
        <f>((48*(G41-(120*10^-9)))/(5*G40))*10^12</f>
        <v>571.31707317073176</v>
      </c>
      <c r="H42" s="11" t="s">
        <v>176</v>
      </c>
      <c r="I42" s="19">
        <v>510</v>
      </c>
    </row>
    <row r="43" spans="1:11" ht="15.75" thickBot="1" x14ac:dyDescent="0.3">
      <c r="A43" t="s">
        <v>100</v>
      </c>
      <c r="B43" s="7" t="s">
        <v>101</v>
      </c>
      <c r="D43" s="11" t="s">
        <v>135</v>
      </c>
      <c r="E43" s="2">
        <f>1/(2*3.14*E41*E42)</f>
        <v>482532.32966608764</v>
      </c>
      <c r="F43" s="37" t="s">
        <v>159</v>
      </c>
      <c r="G43" s="38"/>
      <c r="H43" s="21" t="s">
        <v>177</v>
      </c>
      <c r="I43" s="22">
        <v>10000</v>
      </c>
    </row>
    <row r="44" spans="1:11" x14ac:dyDescent="0.25">
      <c r="A44" t="s">
        <v>102</v>
      </c>
      <c r="B44">
        <f>47*10^-6</f>
        <v>4.6999999999999997E-5</v>
      </c>
      <c r="D44" s="11" t="s">
        <v>136</v>
      </c>
      <c r="E44" s="2">
        <f>1*10^-6</f>
        <v>9.9999999999999995E-7</v>
      </c>
      <c r="F44" s="11" t="s">
        <v>171</v>
      </c>
      <c r="G44" s="19">
        <f>(3/G40)*10^6</f>
        <v>36.585365853658537</v>
      </c>
    </row>
    <row r="45" spans="1:11" x14ac:dyDescent="0.25">
      <c r="A45" t="s">
        <v>105</v>
      </c>
      <c r="B45">
        <f>30*10^-3</f>
        <v>0.03</v>
      </c>
      <c r="D45" s="11" t="s">
        <v>137</v>
      </c>
      <c r="E45" s="2">
        <v>5</v>
      </c>
      <c r="F45" s="11" t="s">
        <v>160</v>
      </c>
      <c r="G45" s="19">
        <f>50*10^-3</f>
        <v>0.05</v>
      </c>
    </row>
    <row r="46" spans="1:11" ht="15.75" thickBot="1" x14ac:dyDescent="0.3">
      <c r="D46" s="11" t="s">
        <v>138</v>
      </c>
      <c r="E46" s="2">
        <v>2.5</v>
      </c>
      <c r="F46" s="21" t="s">
        <v>161</v>
      </c>
      <c r="G46" s="22">
        <f>((G44*G45)/(3.6))*10^-6</f>
        <v>5.0813008130081307E-7</v>
      </c>
    </row>
    <row r="47" spans="1:11" x14ac:dyDescent="0.25">
      <c r="A47" t="s">
        <v>114</v>
      </c>
      <c r="B47" s="7" t="s">
        <v>115</v>
      </c>
      <c r="D47" s="11" t="s">
        <v>139</v>
      </c>
      <c r="E47" s="2">
        <f>2.37*10^3</f>
        <v>2370</v>
      </c>
      <c r="F47" s="37" t="s">
        <v>162</v>
      </c>
      <c r="G47" s="38"/>
    </row>
    <row r="48" spans="1:11" x14ac:dyDescent="0.25">
      <c r="A48" t="s">
        <v>111</v>
      </c>
      <c r="B48">
        <v>1.45</v>
      </c>
      <c r="D48" s="11" t="s">
        <v>140</v>
      </c>
      <c r="E48" s="2">
        <f>2.37*10^3</f>
        <v>2370</v>
      </c>
      <c r="F48" s="11" t="s">
        <v>163</v>
      </c>
      <c r="G48" s="19">
        <f>0</f>
        <v>0</v>
      </c>
      <c r="J48" t="s">
        <v>199</v>
      </c>
      <c r="K48">
        <v>12</v>
      </c>
    </row>
    <row r="49" spans="1:11" x14ac:dyDescent="0.25">
      <c r="D49" s="11" t="s">
        <v>141</v>
      </c>
      <c r="E49" s="2">
        <f>2.37*10^3</f>
        <v>2370</v>
      </c>
      <c r="F49" s="11" t="s">
        <v>164</v>
      </c>
      <c r="G49" s="19">
        <f>1/(2*3.14*(SQRT(I26*2*I10)))</f>
        <v>14697776.684865484</v>
      </c>
      <c r="J49" t="s">
        <v>200</v>
      </c>
      <c r="K49">
        <v>0.6</v>
      </c>
    </row>
    <row r="50" spans="1:11" ht="15.75" thickBot="1" x14ac:dyDescent="0.3">
      <c r="D50" s="21" t="s">
        <v>142</v>
      </c>
      <c r="E50" s="27">
        <f>((B11-E46)*E49)/E46</f>
        <v>130350</v>
      </c>
      <c r="F50" s="11" t="s">
        <v>165</v>
      </c>
      <c r="G50" s="19">
        <f>1/(G49*2)</f>
        <v>3.4018750639670376E-8</v>
      </c>
      <c r="J50" t="s">
        <v>201</v>
      </c>
      <c r="K50">
        <f>(K48-K49)/K57</f>
        <v>5.1818181818181817</v>
      </c>
    </row>
    <row r="51" spans="1:11" ht="15.75" thickBot="1" x14ac:dyDescent="0.3">
      <c r="A51" t="s">
        <v>116</v>
      </c>
      <c r="D51" s="39" t="s">
        <v>197</v>
      </c>
      <c r="E51" s="40"/>
      <c r="F51" s="21" t="s">
        <v>198</v>
      </c>
      <c r="G51" s="22">
        <f>((G50-(25*10^-9))*0.5)/(25*10^-12)</f>
        <v>180.37501279340748</v>
      </c>
    </row>
    <row r="52" spans="1:11" x14ac:dyDescent="0.25">
      <c r="A52" t="s">
        <v>117</v>
      </c>
      <c r="D52" s="11" t="s">
        <v>195</v>
      </c>
      <c r="E52" s="2">
        <f>E53*((B11/E46)-1)</f>
        <v>550000</v>
      </c>
      <c r="F52" s="11" t="s">
        <v>190</v>
      </c>
      <c r="G52">
        <v>510</v>
      </c>
      <c r="J52" t="s">
        <v>202</v>
      </c>
      <c r="K52">
        <v>51</v>
      </c>
    </row>
    <row r="53" spans="1:11" x14ac:dyDescent="0.25">
      <c r="D53" s="11" t="s">
        <v>196</v>
      </c>
      <c r="E53" s="2">
        <v>10000</v>
      </c>
      <c r="F53" s="11" t="s">
        <v>191</v>
      </c>
      <c r="J53" t="s">
        <v>203</v>
      </c>
      <c r="K53">
        <v>51</v>
      </c>
    </row>
    <row r="54" spans="1:11" x14ac:dyDescent="0.25">
      <c r="A54" t="s">
        <v>122</v>
      </c>
      <c r="B54" t="s">
        <v>121</v>
      </c>
      <c r="F54" s="11" t="s">
        <v>192</v>
      </c>
      <c r="G54">
        <v>2000</v>
      </c>
      <c r="J54" t="s">
        <v>204</v>
      </c>
      <c r="K54">
        <f>220*10^-12</f>
        <v>2.1999999999999999E-10</v>
      </c>
    </row>
    <row r="55" spans="1:11" x14ac:dyDescent="0.25">
      <c r="F55" s="11" t="s">
        <v>193</v>
      </c>
      <c r="G55">
        <v>10000</v>
      </c>
      <c r="J55" t="s">
        <v>205</v>
      </c>
      <c r="K55">
        <f>K54</f>
        <v>2.1999999999999999E-10</v>
      </c>
    </row>
    <row r="56" spans="1:11" x14ac:dyDescent="0.25">
      <c r="A56" t="s">
        <v>125</v>
      </c>
      <c r="B56" s="7" t="s">
        <v>126</v>
      </c>
      <c r="F56" s="11" t="s">
        <v>194</v>
      </c>
      <c r="G56">
        <f>68*10^-9</f>
        <v>6.8E-8</v>
      </c>
      <c r="J56" t="s">
        <v>206</v>
      </c>
      <c r="K56">
        <v>5</v>
      </c>
    </row>
    <row r="57" spans="1:11" x14ac:dyDescent="0.25">
      <c r="J57" t="s">
        <v>207</v>
      </c>
      <c r="K57">
        <v>2.2000000000000002</v>
      </c>
    </row>
    <row r="58" spans="1:11" x14ac:dyDescent="0.25">
      <c r="A58" t="s">
        <v>147</v>
      </c>
      <c r="B58" t="s">
        <v>144</v>
      </c>
      <c r="J58" t="s">
        <v>208</v>
      </c>
      <c r="K58" t="s">
        <v>209</v>
      </c>
    </row>
    <row r="59" spans="1:11" x14ac:dyDescent="0.25">
      <c r="A59" t="s">
        <v>148</v>
      </c>
      <c r="B59">
        <v>1.2</v>
      </c>
      <c r="J59" t="s">
        <v>210</v>
      </c>
      <c r="K59">
        <f>K62*10</f>
        <v>31666666666.666664</v>
      </c>
    </row>
    <row r="60" spans="1:11" x14ac:dyDescent="0.25">
      <c r="A60" t="s">
        <v>145</v>
      </c>
      <c r="B60" t="s">
        <v>146</v>
      </c>
      <c r="J60" t="s">
        <v>211</v>
      </c>
      <c r="K60">
        <v>3.01</v>
      </c>
    </row>
    <row r="61" spans="1:11" x14ac:dyDescent="0.25">
      <c r="A61" t="s">
        <v>149</v>
      </c>
      <c r="B61">
        <v>1.25</v>
      </c>
      <c r="K61">
        <v>3.01</v>
      </c>
    </row>
    <row r="62" spans="1:11" x14ac:dyDescent="0.25">
      <c r="A62" t="s">
        <v>150</v>
      </c>
      <c r="B62">
        <f>10*10^-3</f>
        <v>0.01</v>
      </c>
      <c r="K62">
        <f>10/(B33/(K48-K49))</f>
        <v>3166666666.6666665</v>
      </c>
    </row>
  </sheetData>
  <mergeCells count="19">
    <mergeCell ref="H34:I34"/>
    <mergeCell ref="D34:E34"/>
    <mergeCell ref="F34:G34"/>
    <mergeCell ref="F39:G39"/>
    <mergeCell ref="F43:G43"/>
    <mergeCell ref="D51:E51"/>
    <mergeCell ref="F47:G47"/>
    <mergeCell ref="A1:U1"/>
    <mergeCell ref="F2:G2"/>
    <mergeCell ref="A2:B2"/>
    <mergeCell ref="D9:E9"/>
    <mergeCell ref="F9:G9"/>
    <mergeCell ref="F24:G24"/>
    <mergeCell ref="F28:G28"/>
    <mergeCell ref="H9:K9"/>
    <mergeCell ref="H13:K13"/>
    <mergeCell ref="F21:G21"/>
    <mergeCell ref="H21:K21"/>
    <mergeCell ref="H25:K25"/>
  </mergeCells>
  <phoneticPr fontId="6" type="noConversion"/>
  <hyperlinks>
    <hyperlink ref="B43" r:id="rId1" display="https://www.digikey.com/en/products/detail/kyocera-avx/REA1321470M200K/20096650" xr:uid="{BCED8A9F-1269-4099-8605-5091BDAA1007}"/>
    <hyperlink ref="B47" r:id="rId2" display="https://www.digikey.com/en/products/detail/taiwan-semiconductor-corporation/TSCDT06065G1/22677376" xr:uid="{30963D35-9255-42E5-AFE1-DEB68FCB1825}"/>
    <hyperlink ref="B56" r:id="rId3" display="https://www.digikey.com/en/products/detail/chinsan-elite/PK2S221MND2545/16496849" xr:uid="{B9692F87-7254-4790-AF19-56215B39C1E1}"/>
  </hyperlinks>
  <pageMargins left="0.7" right="0.7" top="0.75" bottom="0.75" header="0.3" footer="0.3"/>
  <pageSetup paperSize="9" orientation="portrait" r:id="rId4"/>
  <drawing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7FC9F-026B-4F96-B21B-56423A19B342}">
  <dimension ref="B2:D37"/>
  <sheetViews>
    <sheetView workbookViewId="0">
      <selection activeCell="F6" sqref="F6"/>
    </sheetView>
  </sheetViews>
  <sheetFormatPr defaultRowHeight="15" x14ac:dyDescent="0.25"/>
  <cols>
    <col min="2" max="2" width="48.140625" bestFit="1" customWidth="1"/>
    <col min="3" max="3" width="22.5703125" bestFit="1" customWidth="1"/>
  </cols>
  <sheetData>
    <row r="2" spans="2:4" x14ac:dyDescent="0.25">
      <c r="B2" t="s">
        <v>48</v>
      </c>
      <c r="C2" t="s">
        <v>49</v>
      </c>
    </row>
    <row r="3" spans="2:4" x14ac:dyDescent="0.25">
      <c r="B3" t="s">
        <v>68</v>
      </c>
      <c r="C3" t="s">
        <v>84</v>
      </c>
    </row>
    <row r="4" spans="2:4" x14ac:dyDescent="0.25">
      <c r="B4" s="9" t="s">
        <v>85</v>
      </c>
      <c r="C4" s="9" t="s">
        <v>86</v>
      </c>
    </row>
    <row r="5" spans="2:4" x14ac:dyDescent="0.25">
      <c r="B5" t="s">
        <v>100</v>
      </c>
      <c r="C5" s="35" t="s">
        <v>101</v>
      </c>
    </row>
    <row r="6" spans="2:4" x14ac:dyDescent="0.25">
      <c r="B6" t="s">
        <v>114</v>
      </c>
      <c r="C6" s="35" t="s">
        <v>115</v>
      </c>
    </row>
    <row r="7" spans="2:4" x14ac:dyDescent="0.25">
      <c r="B7" t="s">
        <v>122</v>
      </c>
      <c r="C7" t="s">
        <v>121</v>
      </c>
    </row>
    <row r="8" spans="2:4" x14ac:dyDescent="0.25">
      <c r="B8" t="s">
        <v>178</v>
      </c>
      <c r="C8" s="35" t="s">
        <v>126</v>
      </c>
      <c r="D8">
        <v>2</v>
      </c>
    </row>
    <row r="9" spans="2:4" x14ac:dyDescent="0.25">
      <c r="B9" t="s">
        <v>147</v>
      </c>
      <c r="C9" t="s">
        <v>144</v>
      </c>
    </row>
    <row r="10" spans="2:4" x14ac:dyDescent="0.25">
      <c r="B10" t="s">
        <v>145</v>
      </c>
      <c r="C10" t="s">
        <v>146</v>
      </c>
    </row>
    <row r="11" spans="2:4" x14ac:dyDescent="0.25">
      <c r="B11" t="s">
        <v>179</v>
      </c>
      <c r="C11" t="s">
        <v>180</v>
      </c>
    </row>
    <row r="12" spans="2:4" x14ac:dyDescent="0.25">
      <c r="B12" t="s">
        <v>182</v>
      </c>
      <c r="C12" t="s">
        <v>181</v>
      </c>
    </row>
    <row r="13" spans="2:4" x14ac:dyDescent="0.25">
      <c r="B13" t="s">
        <v>132</v>
      </c>
      <c r="C13" s="2">
        <f>Sayfa1!E38</f>
        <v>19.61564002649882</v>
      </c>
    </row>
    <row r="14" spans="2:4" x14ac:dyDescent="0.25">
      <c r="B14" t="s">
        <v>131</v>
      </c>
      <c r="C14" s="2">
        <f>Sayfa1!E40</f>
        <v>1961.564002649882</v>
      </c>
    </row>
    <row r="15" spans="2:4" x14ac:dyDescent="0.25">
      <c r="B15" t="s">
        <v>133</v>
      </c>
      <c r="C15" s="2">
        <f>Sayfa1!E41</f>
        <v>1000</v>
      </c>
    </row>
    <row r="16" spans="2:4" x14ac:dyDescent="0.25">
      <c r="B16" t="s">
        <v>134</v>
      </c>
      <c r="C16" s="2">
        <f>Sayfa1!E42</f>
        <v>3.3E-10</v>
      </c>
    </row>
    <row r="17" spans="2:3" x14ac:dyDescent="0.25">
      <c r="B17" t="s">
        <v>136</v>
      </c>
      <c r="C17" s="2">
        <f>Sayfa1!E44</f>
        <v>9.9999999999999995E-7</v>
      </c>
    </row>
    <row r="18" spans="2:3" x14ac:dyDescent="0.25">
      <c r="B18" t="s">
        <v>139</v>
      </c>
      <c r="C18" s="2">
        <f>Sayfa1!E47</f>
        <v>2370</v>
      </c>
    </row>
    <row r="19" spans="2:3" x14ac:dyDescent="0.25">
      <c r="B19" t="s">
        <v>140</v>
      </c>
      <c r="C19" s="2">
        <f>Sayfa1!E48</f>
        <v>2370</v>
      </c>
    </row>
    <row r="20" spans="2:3" x14ac:dyDescent="0.25">
      <c r="B20" t="s">
        <v>141</v>
      </c>
      <c r="C20" s="2">
        <f>Sayfa1!E49</f>
        <v>2370</v>
      </c>
    </row>
    <row r="21" spans="2:3" x14ac:dyDescent="0.25">
      <c r="B21" t="s">
        <v>142</v>
      </c>
      <c r="C21" s="2">
        <f>Sayfa1!E50</f>
        <v>130350</v>
      </c>
    </row>
    <row r="22" spans="2:3" x14ac:dyDescent="0.25">
      <c r="B22" t="s">
        <v>151</v>
      </c>
      <c r="C22" s="2">
        <f>Sayfa1!G35</f>
        <v>13755</v>
      </c>
    </row>
    <row r="23" spans="2:3" x14ac:dyDescent="0.25">
      <c r="B23" t="s">
        <v>152</v>
      </c>
      <c r="C23" s="2">
        <f>Sayfa1!G36</f>
        <v>1989</v>
      </c>
    </row>
    <row r="24" spans="2:3" x14ac:dyDescent="0.25">
      <c r="B24" t="s">
        <v>153</v>
      </c>
      <c r="C24" s="2">
        <f>Sayfa1!G37</f>
        <v>5100</v>
      </c>
    </row>
    <row r="25" spans="2:3" x14ac:dyDescent="0.25">
      <c r="B25" t="s">
        <v>154</v>
      </c>
      <c r="C25" s="2">
        <f>Sayfa1!G38</f>
        <v>2.2000000000000002E-8</v>
      </c>
    </row>
    <row r="26" spans="2:3" x14ac:dyDescent="0.25">
      <c r="B26" t="s">
        <v>156</v>
      </c>
      <c r="C26" s="2">
        <f>Sayfa1!G40</f>
        <v>82000</v>
      </c>
    </row>
    <row r="27" spans="2:3" x14ac:dyDescent="0.25">
      <c r="B27" t="s">
        <v>158</v>
      </c>
      <c r="C27" s="2">
        <f>Sayfa1!G42</f>
        <v>571.31707317073176</v>
      </c>
    </row>
    <row r="28" spans="2:3" x14ac:dyDescent="0.25">
      <c r="B28" t="s">
        <v>161</v>
      </c>
      <c r="C28" s="2">
        <f>Sayfa1!G46</f>
        <v>5.0813008130081307E-7</v>
      </c>
    </row>
    <row r="29" spans="2:3" x14ac:dyDescent="0.25">
      <c r="B29" t="s">
        <v>163</v>
      </c>
      <c r="C29" s="2">
        <f>Sayfa1!G48</f>
        <v>0</v>
      </c>
    </row>
    <row r="30" spans="2:3" x14ac:dyDescent="0.25">
      <c r="B30" t="s">
        <v>185</v>
      </c>
      <c r="C30" s="2">
        <f>Sayfa1!G51</f>
        <v>180.37501279340748</v>
      </c>
    </row>
    <row r="31" spans="2:3" x14ac:dyDescent="0.25">
      <c r="B31" t="s">
        <v>184</v>
      </c>
      <c r="C31" s="2">
        <f>Sayfa1!G51</f>
        <v>180.37501279340748</v>
      </c>
    </row>
    <row r="32" spans="2:3" x14ac:dyDescent="0.25">
      <c r="B32" t="s">
        <v>172</v>
      </c>
      <c r="C32" s="2">
        <f>Sayfa1!I38</f>
        <v>26.720901943994011</v>
      </c>
    </row>
    <row r="33" spans="2:3" x14ac:dyDescent="0.25">
      <c r="B33" t="s">
        <v>173</v>
      </c>
      <c r="C33" s="2">
        <f>Sayfa1!I39</f>
        <v>1.0000000000000001E-9</v>
      </c>
    </row>
    <row r="34" spans="2:3" x14ac:dyDescent="0.25">
      <c r="B34" t="s">
        <v>174</v>
      </c>
      <c r="C34" s="2">
        <f>Sayfa1!I40</f>
        <v>26.720901943994011</v>
      </c>
    </row>
    <row r="35" spans="2:3" x14ac:dyDescent="0.25">
      <c r="B35" t="s">
        <v>175</v>
      </c>
      <c r="C35" s="2">
        <f>Sayfa1!I41</f>
        <v>5.6E-11</v>
      </c>
    </row>
    <row r="36" spans="2:3" x14ac:dyDescent="0.25">
      <c r="B36" t="s">
        <v>176</v>
      </c>
      <c r="C36" s="2">
        <f>Sayfa1!I42</f>
        <v>510</v>
      </c>
    </row>
    <row r="37" spans="2:3" x14ac:dyDescent="0.25">
      <c r="B37" t="s">
        <v>177</v>
      </c>
      <c r="C37" s="2">
        <f>Sayfa1!I43</f>
        <v>10000</v>
      </c>
    </row>
  </sheetData>
  <hyperlinks>
    <hyperlink ref="C5" r:id="rId1" display="https://www.digikey.com/en/products/detail/kyocera-avx/REA1321470M200K/20096650" xr:uid="{5B32A5B6-0556-4E07-83DC-34EC1028C10C}"/>
    <hyperlink ref="C6" r:id="rId2" display="https://www.digikey.com/en/products/detail/taiwan-semiconductor-corporation/TSCDT06065G1/22677376" xr:uid="{16B5A76F-BF30-4970-B26E-7A172C40D738}"/>
    <hyperlink ref="C8" r:id="rId3" display="https://www.digikey.com/en/products/detail/chinsan-elite/PK2S221MND2545/16496849" xr:uid="{75A6D429-85E2-4928-ACFF-6A5AB62CF775}"/>
  </hyperlinks>
  <pageMargins left="0.7" right="0.7" top="0.75" bottom="0.75" header="0.3" footer="0.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d="http://www.w3.org/2001/XMLSchema" xmlns:xsi="http://www.w3.org/2001/XMLSchema-instance" xmlns="http://www.boldonjames.com/2008/01/sie/internal/label" sislVersion="0" policy="a841733e-fe62-4d2b-83fe-d2e72c6c1f72" origin="userSelected">
  <element uid="id_classification_nonbusiness" value=""/>
</sisl>
</file>

<file path=customXml/itemProps1.xml><?xml version="1.0" encoding="utf-8"?>
<ds:datastoreItem xmlns:ds="http://schemas.openxmlformats.org/officeDocument/2006/customXml" ds:itemID="{DB1C221F-7008-4205-84F4-43AC626CC134}">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Sayfa1</vt:lpstr>
      <vt:lpstr>Sayfa2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Yunus Furkan DİLMEN</dc:creator>
  <cp:lastModifiedBy>Yunus Furkan DİLMEN</cp:lastModifiedBy>
  <dcterms:created xsi:type="dcterms:W3CDTF">2025-05-03T13:09:58Z</dcterms:created>
  <dcterms:modified xsi:type="dcterms:W3CDTF">2025-10-21T20:05:12Z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da7077c9-dc78-4612-8963-ebfd29748b5f</vt:lpwstr>
  </property>
  <property fmtid="{D5CDD505-2E9C-101B-9397-08002B2CF9AE}" pid="3" name="bjSaver">
    <vt:lpwstr>zy7sSxVBQMNMD53NRuttcdZUt5cIT/87</vt:lpwstr>
  </property>
  <property fmtid="{D5CDD505-2E9C-101B-9397-08002B2CF9AE}" pid="4" name="bjDocumentLabelXML">
    <vt:lpwstr>&lt;?xml version="1.0" encoding="us-ascii"?&gt;&lt;sisl xmlns:xsd="http://www.w3.org/2001/XMLSchema" xmlns:xsi="http://www.w3.org/2001/XMLSchema-instance" sislVersion="0" policy="a841733e-fe62-4d2b-83fe-d2e72c6c1f72"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KA Genel (KA Public) - </vt:lpwstr>
  </property>
  <property fmtid="{D5CDD505-2E9C-101B-9397-08002B2CF9AE}" pid="7" name="Classification">
    <vt:lpwstr>GP792941</vt:lpwstr>
  </property>
  <property fmtid="{D5CDD505-2E9C-101B-9397-08002B2CF9AE}" pid="8" name="bjClsUserRVM">
    <vt:lpwstr>[]</vt:lpwstr>
  </property>
</Properties>
</file>