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run/Desktop/"/>
    </mc:Choice>
  </mc:AlternateContent>
  <xr:revisionPtr revIDLastSave="0" documentId="13_ncr:1_{8E10FE16-011E-9746-8AB9-E8CD59B50688}" xr6:coauthVersionLast="47" xr6:coauthVersionMax="47" xr10:uidLastSave="{00000000-0000-0000-0000-000000000000}"/>
  <bookViews>
    <workbookView xWindow="0" yWindow="460" windowWidth="29040" windowHeight="15840" activeTab="3" xr2:uid="{00000000-000D-0000-FFFF-FFFF00000000}"/>
  </bookViews>
  <sheets>
    <sheet name="ZYM-5052" sheetId="2" r:id="rId1"/>
    <sheet name="N-5052" sheetId="1" r:id="rId2"/>
    <sheet name="C-750501 (Li)" sheetId="4" r:id="rId3"/>
    <sheet name="Lazy-007" sheetId="3" r:id="rId4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4" l="1"/>
  <c r="D10" i="4" l="1"/>
  <c r="D24" i="4"/>
  <c r="D23" i="4"/>
  <c r="D20" i="4"/>
  <c r="D19" i="4"/>
  <c r="D18" i="4"/>
  <c r="D17" i="4"/>
  <c r="D16" i="4"/>
  <c r="D9" i="4"/>
  <c r="D7" i="4"/>
  <c r="D6" i="4"/>
  <c r="D5" i="3"/>
  <c r="D7" i="3"/>
  <c r="D14" i="3"/>
  <c r="D5" i="4" l="1"/>
  <c r="D28" i="4" s="1"/>
  <c r="D22" i="3"/>
  <c r="D20" i="2"/>
  <c r="D8" i="2"/>
  <c r="D8" i="1" l="1"/>
  <c r="D19" i="1" l="1"/>
  <c r="D20" i="1"/>
  <c r="D18" i="1" l="1"/>
  <c r="D10" i="2"/>
  <c r="D9" i="2"/>
  <c r="D12" i="2"/>
  <c r="D11" i="2"/>
  <c r="D21" i="2"/>
  <c r="D25" i="2"/>
  <c r="D24" i="2"/>
  <c r="D19" i="2"/>
  <c r="D18" i="2"/>
  <c r="D7" i="2"/>
  <c r="D6" i="2"/>
  <c r="D24" i="1"/>
  <c r="D23" i="1"/>
  <c r="D17" i="1"/>
  <c r="D16" i="1"/>
  <c r="D10" i="1"/>
  <c r="D9" i="1"/>
  <c r="D7" i="1"/>
  <c r="D6" i="1"/>
  <c r="D5" i="1" l="1"/>
  <c r="D28" i="1" s="1"/>
  <c r="D5" i="2"/>
  <c r="D30" i="2" s="1"/>
</calcChain>
</file>

<file path=xl/sharedStrings.xml><?xml version="1.0" encoding="utf-8"?>
<sst xmlns="http://schemas.openxmlformats.org/spreadsheetml/2006/main" count="195" uniqueCount="71">
  <si>
    <t>Total volume to prepare</t>
  </si>
  <si>
    <t>Scale</t>
  </si>
  <si>
    <t>ml</t>
  </si>
  <si>
    <t>ddH2O</t>
  </si>
  <si>
    <t>NH4Cl</t>
  </si>
  <si>
    <t>15N or 14N</t>
  </si>
  <si>
    <t>g</t>
  </si>
  <si>
    <t>Na2SO4</t>
  </si>
  <si>
    <t>Glucose</t>
  </si>
  <si>
    <t>unlabeled</t>
  </si>
  <si>
    <t>Lactose</t>
  </si>
  <si>
    <t>2. Autoclave using a liquid cycle for 45 minutes</t>
  </si>
  <si>
    <t>Last update</t>
  </si>
  <si>
    <t>3. Cool to room temperature, then add:</t>
  </si>
  <si>
    <t>1 M MgSO4</t>
  </si>
  <si>
    <t>1000x Trace metals</t>
  </si>
  <si>
    <t>20x salt</t>
  </si>
  <si>
    <t>total volume</t>
  </si>
  <si>
    <t>4. Add antibiotics. Then media ready to use.</t>
  </si>
  <si>
    <t>Antifoam 204</t>
  </si>
  <si>
    <t>50 ul</t>
  </si>
  <si>
    <t>Antibiotics</t>
  </si>
  <si>
    <t>per 1 antibiotic</t>
  </si>
  <si>
    <t>1. Mix together in a 1 l flask</t>
  </si>
  <si>
    <t>Yeast extract</t>
  </si>
  <si>
    <t>N-Z amine</t>
  </si>
  <si>
    <t>or tryptone</t>
  </si>
  <si>
    <r>
      <t xml:space="preserve">3. </t>
    </r>
    <r>
      <rPr>
        <b/>
        <sz val="12"/>
        <color rgb="FFFF0000"/>
        <rFont val="Calibri (Body)"/>
      </rPr>
      <t>Cool</t>
    </r>
    <r>
      <rPr>
        <sz val="12"/>
        <color rgb="FFFA7D00"/>
        <rFont val="Calibri"/>
        <family val="2"/>
        <scheme val="minor"/>
      </rPr>
      <t xml:space="preserve"> to room temperature, then add:</t>
    </r>
  </si>
  <si>
    <t>5. Take 3 ml, grow starter culture from single colony</t>
  </si>
  <si>
    <t>Turbidity should be visible after a few hours</t>
  </si>
  <si>
    <t>Researchgate Michael J. Benedik suggests half the concentration of Chloramphenicol for M9-type media.</t>
  </si>
  <si>
    <t>autoclaved</t>
  </si>
  <si>
    <t>bottle no problem</t>
  </si>
  <si>
    <t>20 ul of 10 mM for 10 ml</t>
  </si>
  <si>
    <t>pH ~ 7.5 (final solution)</t>
  </si>
  <si>
    <t>100x BME vitamins</t>
  </si>
  <si>
    <t>10 mM FeCl3</t>
  </si>
  <si>
    <t>chloramphenicol @half concentration</t>
  </si>
  <si>
    <t>Starter culture (10 ml LB)</t>
  </si>
  <si>
    <t>mg</t>
  </si>
  <si>
    <t>50% Glycerol</t>
  </si>
  <si>
    <t>Misc. additives</t>
  </si>
  <si>
    <t>Zn etc.</t>
  </si>
  <si>
    <t>ZnSO4 (20 uM) etc.</t>
  </si>
  <si>
    <t xml:space="preserve">per 1 antibiotic; </t>
  </si>
  <si>
    <t>Amp: double (100 ug/ml final; Kana 50 ug/ml good selection,  25 are enough)</t>
  </si>
  <si>
    <t>Lazy-007</t>
  </si>
  <si>
    <t>Label achievable Zinc Yeast Extract 7 (かり)</t>
  </si>
  <si>
    <t>LB</t>
  </si>
  <si>
    <t>Optional: 1000x Trace metals</t>
  </si>
  <si>
    <t xml:space="preserve">ml or mg </t>
  </si>
  <si>
    <t>Just changed it to a nice Excel sheet</t>
  </si>
  <si>
    <t>15N</t>
  </si>
  <si>
    <t>same as always</t>
  </si>
  <si>
    <t>anhydrous</t>
  </si>
  <si>
    <t>bottle no problem; actually mismatch currently - Studier uses different salt for N5052 and ZYM5052, but I use the same; however no need to change the winning team for now</t>
  </si>
  <si>
    <t>20 ul of 10 mM for 10 ml; not mentioned in either paper but winning team so no need to change it</t>
  </si>
  <si>
    <t>C-750501</t>
  </si>
  <si>
    <t>Very close to Studier's protocol and very similar to N-5052</t>
  </si>
  <si>
    <t>Only lactose is greatly reduced.</t>
  </si>
  <si>
    <t>double antibiotics @half concentration</t>
  </si>
  <si>
    <t>Double selection for 2H labeling</t>
  </si>
  <si>
    <t>20-fold lower than usual; to determine ideal conc.</t>
  </si>
  <si>
    <t>Try to grow to saturation for best results before inoculation.</t>
  </si>
  <si>
    <t>0.5 to 1</t>
  </si>
  <si>
    <t>Li: 0.4% glycerol; Studier: 0.75% glycerol; had contained a mistake</t>
  </si>
  <si>
    <t>beta-lactose</t>
  </si>
  <si>
    <t>Starter culture (4 ml LB)</t>
  </si>
  <si>
    <t>500 ul or spun-down pellet for higher purity</t>
  </si>
  <si>
    <t>Starter culture (4 ml LB; 5-6 h growth from plate 1-2 colonies)</t>
  </si>
  <si>
    <r>
      <t>Amp: double (100 ug/ml final; Kana 50 ug/ml good selection,  25 are enough;</t>
    </r>
    <r>
      <rPr>
        <i/>
        <sz val="12"/>
        <color rgb="FFFF0000"/>
        <rFont val="Calibri"/>
        <family val="3"/>
        <charset val="128"/>
        <scheme val="minor"/>
      </rPr>
      <t xml:space="preserve"> Review says 100 is better even kana because phosphate medium interferes</t>
    </r>
    <r>
      <rPr>
        <i/>
        <sz val="12"/>
        <color rgb="FF7F7F7F"/>
        <rFont val="Calibri"/>
        <family val="2"/>
        <scheme val="minor"/>
      </rPr>
      <t>)</t>
    </r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</si>
</sst>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rgb="FFFF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6"/>
      <name val="Calibri"/>
      <family val="3"/>
      <charset val="128"/>
      <scheme val="minor"/>
    </font>
    <font>
      <i/>
      <sz val="12"/>
      <color rgb="FFFF0000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1" fillId="3" borderId="3" applyNumberFormat="0" applyFont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3" xfId="3" applyFont="1"/>
    <xf numFmtId="0" fontId="3" fillId="0" borderId="2" xfId="2"/>
    <xf numFmtId="0" fontId="2" fillId="2" borderId="1" xfId="1"/>
    <xf numFmtId="0" fontId="4" fillId="0" borderId="0" xfId="4"/>
    <xf numFmtId="14" fontId="0" fillId="3" borderId="3" xfId="3" applyNumberFormat="1" applyFont="1"/>
    <xf numFmtId="0" fontId="0" fillId="0" borderId="0" xfId="0" applyAlignment="1">
      <alignment horizontal="left" vertical="top" wrapText="1"/>
    </xf>
    <xf numFmtId="0" fontId="8" fillId="0" borderId="0" xfId="0" applyFont="1"/>
    <xf numFmtId="0" fontId="0" fillId="0" borderId="0" xfId="0" applyFont="1"/>
    <xf numFmtId="0" fontId="0" fillId="4" borderId="0" xfId="0" applyFill="1"/>
    <xf numFmtId="0" fontId="2" fillId="2" borderId="1" xfId="1" applyAlignment="1">
      <alignment horizontal="right"/>
    </xf>
    <xf numFmtId="0" fontId="0" fillId="0" borderId="0" xfId="0" applyFill="1"/>
    <xf numFmtId="0" fontId="0" fillId="0" borderId="0" xfId="0" applyFont="1" applyFill="1"/>
  </cellXfs>
  <cellStyles count="7">
    <cellStyle name="Calculation" xfId="1" builtinId="22"/>
    <cellStyle name="Explanatory Text" xfId="4" builtinId="53"/>
    <cellStyle name="Followed Hyperlink" xfId="6" builtinId="9" hidden="1"/>
    <cellStyle name="Hyperlink" xfId="5" builtinId="8" hidden="1"/>
    <cellStyle name="Linked Cell" xfId="2" builtinId="24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H31"/>
  <sheetViews>
    <sheetView zoomScale="164" zoomScaleNormal="164" workbookViewId="0">
      <selection activeCell="D3" sqref="D3"/>
    </sheetView>
  </sheetViews>
  <sheetFormatPr baseColWidth="10" defaultColWidth="11.1640625" defaultRowHeight="16" x14ac:dyDescent="0.2"/>
  <cols>
    <col min="6" max="6" width="14.1640625" bestFit="1" customWidth="1"/>
  </cols>
  <sheetData>
    <row r="1" spans="2:6" ht="17" thickBot="1" x14ac:dyDescent="0.25">
      <c r="B1" s="2" t="s">
        <v>1</v>
      </c>
      <c r="C1" s="2"/>
      <c r="D1" s="2"/>
      <c r="E1" s="2"/>
      <c r="F1" s="2"/>
    </row>
    <row r="2" spans="2:6" ht="17" thickTop="1" x14ac:dyDescent="0.2">
      <c r="B2" t="s">
        <v>0</v>
      </c>
      <c r="D2" s="1">
        <v>1000</v>
      </c>
      <c r="E2" t="s">
        <v>2</v>
      </c>
    </row>
    <row r="3" spans="2:6" x14ac:dyDescent="0.2">
      <c r="B3" s="7"/>
    </row>
    <row r="4" spans="2:6" ht="17" thickBot="1" x14ac:dyDescent="0.25">
      <c r="B4" s="2" t="s">
        <v>23</v>
      </c>
      <c r="C4" s="2"/>
      <c r="D4" s="2"/>
      <c r="E4" s="2"/>
      <c r="F4" s="2"/>
    </row>
    <row r="5" spans="2:6" ht="17" thickTop="1" x14ac:dyDescent="0.2">
      <c r="B5" t="s">
        <v>3</v>
      </c>
      <c r="D5" s="3">
        <f>D2-(SUM(D18:D21))-D25-D24-D8</f>
        <v>933.9</v>
      </c>
      <c r="E5" t="s">
        <v>2</v>
      </c>
    </row>
    <row r="6" spans="2:6" x14ac:dyDescent="0.2">
      <c r="B6" t="s">
        <v>4</v>
      </c>
      <c r="D6" s="3">
        <f>2.68 * $D$2/1000</f>
        <v>2.68</v>
      </c>
      <c r="E6" t="s">
        <v>6</v>
      </c>
      <c r="F6" s="4" t="s">
        <v>5</v>
      </c>
    </row>
    <row r="7" spans="2:6" x14ac:dyDescent="0.2">
      <c r="B7" t="s">
        <v>7</v>
      </c>
      <c r="D7" s="3">
        <f>0.71 * $D$2/1000</f>
        <v>0.71</v>
      </c>
      <c r="E7" t="s">
        <v>6</v>
      </c>
    </row>
    <row r="8" spans="2:6" x14ac:dyDescent="0.2">
      <c r="B8" t="s">
        <v>40</v>
      </c>
      <c r="D8" s="3">
        <f>5 * 2 * $D$2/1000</f>
        <v>10</v>
      </c>
      <c r="E8" t="s">
        <v>2</v>
      </c>
    </row>
    <row r="9" spans="2:6" x14ac:dyDescent="0.2">
      <c r="B9" t="s">
        <v>8</v>
      </c>
      <c r="D9" s="3">
        <f>0.5 * $D$2/1000</f>
        <v>0.5</v>
      </c>
      <c r="E9" t="s">
        <v>6</v>
      </c>
      <c r="F9" s="4" t="s">
        <v>9</v>
      </c>
    </row>
    <row r="10" spans="2:6" x14ac:dyDescent="0.2">
      <c r="B10" t="s">
        <v>10</v>
      </c>
      <c r="D10" s="3">
        <f>2*($D$2/1000)</f>
        <v>2</v>
      </c>
      <c r="E10" t="s">
        <v>6</v>
      </c>
    </row>
    <row r="11" spans="2:6" x14ac:dyDescent="0.2">
      <c r="B11" t="s">
        <v>24</v>
      </c>
      <c r="D11" s="3">
        <f>0.5*($D$2/100)</f>
        <v>5</v>
      </c>
      <c r="E11" t="s">
        <v>6</v>
      </c>
    </row>
    <row r="12" spans="2:6" x14ac:dyDescent="0.2">
      <c r="B12" t="s">
        <v>25</v>
      </c>
      <c r="D12" s="3">
        <f>1*($D$2/100)</f>
        <v>10</v>
      </c>
      <c r="E12" t="s">
        <v>6</v>
      </c>
      <c r="F12" s="4" t="s">
        <v>26</v>
      </c>
    </row>
    <row r="14" spans="2:6" ht="17" thickBot="1" x14ac:dyDescent="0.25">
      <c r="B14" s="2" t="s">
        <v>11</v>
      </c>
      <c r="C14" s="2"/>
      <c r="D14" s="2"/>
      <c r="E14" s="2"/>
      <c r="F14" s="2"/>
    </row>
    <row r="15" spans="2:6" ht="17" thickTop="1" x14ac:dyDescent="0.2"/>
    <row r="16" spans="2:6" ht="17" thickBot="1" x14ac:dyDescent="0.25">
      <c r="B16" s="2" t="s">
        <v>13</v>
      </c>
      <c r="C16" s="2"/>
      <c r="D16" s="2"/>
      <c r="E16" s="2"/>
      <c r="F16" s="2"/>
    </row>
    <row r="17" spans="2:8" ht="17" thickTop="1" x14ac:dyDescent="0.2"/>
    <row r="18" spans="2:8" x14ac:dyDescent="0.2">
      <c r="B18" t="s">
        <v>14</v>
      </c>
      <c r="D18" s="3">
        <f>2 * $D$2/1000</f>
        <v>2</v>
      </c>
      <c r="E18" t="s">
        <v>2</v>
      </c>
    </row>
    <row r="19" spans="2:8" x14ac:dyDescent="0.2">
      <c r="B19" t="s">
        <v>15</v>
      </c>
      <c r="D19" s="3">
        <f>1 * $D$2/1000</f>
        <v>1</v>
      </c>
      <c r="E19" t="s">
        <v>2</v>
      </c>
    </row>
    <row r="20" spans="2:8" x14ac:dyDescent="0.2">
      <c r="B20" t="s">
        <v>36</v>
      </c>
      <c r="D20" s="3">
        <f>0.002 * D2</f>
        <v>2</v>
      </c>
      <c r="E20" t="s">
        <v>2</v>
      </c>
    </row>
    <row r="21" spans="2:8" x14ac:dyDescent="0.2">
      <c r="B21" t="s">
        <v>16</v>
      </c>
      <c r="D21" s="3">
        <f>50 * $D$2/1000</f>
        <v>50</v>
      </c>
      <c r="E21" t="s">
        <v>2</v>
      </c>
      <c r="F21" s="4"/>
    </row>
    <row r="23" spans="2:8" ht="17" thickBot="1" x14ac:dyDescent="0.25">
      <c r="B23" s="2" t="s">
        <v>18</v>
      </c>
      <c r="C23" s="2"/>
      <c r="D23" s="2"/>
      <c r="E23" s="2"/>
      <c r="F23" s="2"/>
    </row>
    <row r="24" spans="2:8" ht="17" thickTop="1" x14ac:dyDescent="0.2">
      <c r="B24" t="s">
        <v>19</v>
      </c>
      <c r="D24" s="3">
        <f>0.01 % * $D$2</f>
        <v>0.1</v>
      </c>
      <c r="E24" t="s">
        <v>2</v>
      </c>
      <c r="F24" s="4" t="s">
        <v>20</v>
      </c>
    </row>
    <row r="25" spans="2:8" x14ac:dyDescent="0.2">
      <c r="B25" t="s">
        <v>21</v>
      </c>
      <c r="D25" s="3">
        <f>(1/1000)*$D$2</f>
        <v>1</v>
      </c>
      <c r="E25" t="s">
        <v>2</v>
      </c>
      <c r="F25" s="4" t="s">
        <v>44</v>
      </c>
    </row>
    <row r="26" spans="2:8" ht="18" customHeight="1" x14ac:dyDescent="0.2">
      <c r="B26" t="s">
        <v>69</v>
      </c>
      <c r="D26" s="3"/>
      <c r="E26" t="s">
        <v>39</v>
      </c>
      <c r="F26" s="4" t="s">
        <v>68</v>
      </c>
    </row>
    <row r="27" spans="2:8" x14ac:dyDescent="0.2">
      <c r="F27" s="4" t="s">
        <v>70</v>
      </c>
    </row>
    <row r="28" spans="2:8" ht="18" customHeight="1" x14ac:dyDescent="0.2">
      <c r="B28" t="s">
        <v>41</v>
      </c>
      <c r="D28" s="3"/>
      <c r="F28" s="4" t="s">
        <v>43</v>
      </c>
      <c r="H28" s="7"/>
    </row>
    <row r="30" spans="2:8" x14ac:dyDescent="0.2">
      <c r="B30" t="s">
        <v>17</v>
      </c>
      <c r="D30" s="3">
        <f>D5+D18+D19+D21+D24+D25+D8+D20</f>
        <v>1000</v>
      </c>
    </row>
    <row r="31" spans="2:8" x14ac:dyDescent="0.2">
      <c r="B31" t="s">
        <v>12</v>
      </c>
      <c r="D31" s="5">
        <v>43449</v>
      </c>
    </row>
  </sheetData>
  <phoneticPr fontId="9"/>
  <pageMargins left="0.7" right="0.7" top="0.75" bottom="0.75" header="0.3" footer="0.3"/>
  <pageSetup paperSize="9" scale="4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2"/>
  <sheetViews>
    <sheetView zoomScale="164" zoomScaleNormal="164" workbookViewId="0">
      <selection activeCell="F24" sqref="F24"/>
    </sheetView>
  </sheetViews>
  <sheetFormatPr baseColWidth="10" defaultColWidth="11.1640625" defaultRowHeight="16" x14ac:dyDescent="0.2"/>
  <cols>
    <col min="2" max="2" width="11.83203125" customWidth="1"/>
    <col min="6" max="6" width="14.1640625" bestFit="1" customWidth="1"/>
    <col min="8" max="8" width="28.33203125" customWidth="1"/>
  </cols>
  <sheetData>
    <row r="1" spans="2:9" ht="17" thickBot="1" x14ac:dyDescent="0.25">
      <c r="B1" s="2" t="s">
        <v>1</v>
      </c>
      <c r="C1" s="2"/>
      <c r="D1" s="2"/>
      <c r="E1" s="2"/>
      <c r="F1" s="2"/>
    </row>
    <row r="2" spans="2:9" ht="17" thickTop="1" x14ac:dyDescent="0.2">
      <c r="B2" t="s">
        <v>0</v>
      </c>
      <c r="D2" s="1">
        <v>200</v>
      </c>
      <c r="E2" t="s">
        <v>2</v>
      </c>
    </row>
    <row r="4" spans="2:9" ht="17" thickBot="1" x14ac:dyDescent="0.25">
      <c r="B4" s="2" t="s">
        <v>23</v>
      </c>
      <c r="C4" s="2"/>
      <c r="D4" s="2"/>
      <c r="E4" s="2"/>
      <c r="F4" s="2"/>
    </row>
    <row r="5" spans="2:9" ht="17" thickTop="1" x14ac:dyDescent="0.2">
      <c r="B5" t="s">
        <v>3</v>
      </c>
      <c r="D5" s="3">
        <f>D2-(SUM(D16:D18))-D24-D23-D20-D19-D8</f>
        <v>184.78</v>
      </c>
      <c r="E5" t="s">
        <v>2</v>
      </c>
      <c r="F5" s="4"/>
    </row>
    <row r="6" spans="2:9" x14ac:dyDescent="0.2">
      <c r="B6" t="s">
        <v>4</v>
      </c>
      <c r="D6" s="3">
        <f>2.68 * $D$2/1000</f>
        <v>0.53600000000000003</v>
      </c>
      <c r="E6" t="s">
        <v>6</v>
      </c>
      <c r="F6" s="4" t="s">
        <v>5</v>
      </c>
    </row>
    <row r="7" spans="2:9" x14ac:dyDescent="0.2">
      <c r="B7" t="s">
        <v>7</v>
      </c>
      <c r="D7" s="3">
        <f>0.71 * $D$2/1000</f>
        <v>0.14199999999999999</v>
      </c>
      <c r="E7" t="s">
        <v>6</v>
      </c>
      <c r="I7" s="8" t="s">
        <v>34</v>
      </c>
    </row>
    <row r="8" spans="2:9" x14ac:dyDescent="0.2">
      <c r="B8" t="s">
        <v>40</v>
      </c>
      <c r="D8" s="3">
        <f>5 * 2 * $D$2/1000</f>
        <v>2</v>
      </c>
      <c r="E8" t="s">
        <v>2</v>
      </c>
    </row>
    <row r="9" spans="2:9" x14ac:dyDescent="0.2">
      <c r="B9" t="s">
        <v>8</v>
      </c>
      <c r="D9" s="3">
        <f>0.5 * $D$2/1000</f>
        <v>0.1</v>
      </c>
      <c r="E9" t="s">
        <v>6</v>
      </c>
      <c r="F9" s="4" t="s">
        <v>9</v>
      </c>
    </row>
    <row r="10" spans="2:9" x14ac:dyDescent="0.2">
      <c r="B10" t="s">
        <v>10</v>
      </c>
      <c r="D10" s="3">
        <f>2 * $D$2/1000</f>
        <v>0.4</v>
      </c>
      <c r="E10" t="s">
        <v>6</v>
      </c>
    </row>
    <row r="12" spans="2:9" ht="17" thickBot="1" x14ac:dyDescent="0.25">
      <c r="B12" s="2" t="s">
        <v>11</v>
      </c>
      <c r="C12" s="2"/>
      <c r="D12" s="2"/>
      <c r="E12" s="2"/>
      <c r="F12" s="2"/>
    </row>
    <row r="13" spans="2:9" ht="17" thickTop="1" x14ac:dyDescent="0.2"/>
    <row r="14" spans="2:9" ht="17" thickBot="1" x14ac:dyDescent="0.25">
      <c r="B14" s="2" t="s">
        <v>27</v>
      </c>
      <c r="C14" s="2"/>
      <c r="D14" s="2"/>
      <c r="E14" s="2"/>
      <c r="F14" s="2"/>
    </row>
    <row r="15" spans="2:9" ht="17" thickTop="1" x14ac:dyDescent="0.2"/>
    <row r="16" spans="2:9" x14ac:dyDescent="0.2">
      <c r="B16" t="s">
        <v>14</v>
      </c>
      <c r="D16" s="3">
        <f>2 * $D$2/1000</f>
        <v>0.4</v>
      </c>
      <c r="E16" t="s">
        <v>2</v>
      </c>
      <c r="F16" s="4" t="s">
        <v>31</v>
      </c>
    </row>
    <row r="17" spans="2:8" x14ac:dyDescent="0.2">
      <c r="B17" t="s">
        <v>15</v>
      </c>
      <c r="D17" s="3">
        <f>1 * $D$2/1000</f>
        <v>0.2</v>
      </c>
      <c r="E17" t="s">
        <v>2</v>
      </c>
    </row>
    <row r="18" spans="2:8" x14ac:dyDescent="0.2">
      <c r="B18" t="s">
        <v>16</v>
      </c>
      <c r="D18" s="3">
        <f>50 * $D$2/1000</f>
        <v>10</v>
      </c>
      <c r="E18" t="s">
        <v>2</v>
      </c>
      <c r="F18" s="4" t="s">
        <v>32</v>
      </c>
    </row>
    <row r="19" spans="2:8" x14ac:dyDescent="0.2">
      <c r="B19" t="s">
        <v>36</v>
      </c>
      <c r="D19" s="3">
        <f>0.002 * D2</f>
        <v>0.4</v>
      </c>
      <c r="E19" t="s">
        <v>2</v>
      </c>
      <c r="F19" s="4" t="s">
        <v>33</v>
      </c>
    </row>
    <row r="20" spans="2:8" x14ac:dyDescent="0.2">
      <c r="B20" t="s">
        <v>35</v>
      </c>
      <c r="D20" s="3">
        <f>D2*1/100</f>
        <v>2</v>
      </c>
      <c r="E20" t="s">
        <v>2</v>
      </c>
      <c r="F20" s="4"/>
    </row>
    <row r="22" spans="2:8" ht="17" thickBot="1" x14ac:dyDescent="0.25">
      <c r="B22" s="2" t="s">
        <v>18</v>
      </c>
      <c r="C22" s="2"/>
      <c r="D22" s="2"/>
      <c r="E22" s="2"/>
      <c r="F22" s="2"/>
    </row>
    <row r="23" spans="2:8" ht="17" thickTop="1" x14ac:dyDescent="0.2">
      <c r="B23" t="s">
        <v>19</v>
      </c>
      <c r="D23" s="3">
        <f>0.01 % * $D$2</f>
        <v>0.02</v>
      </c>
      <c r="E23" t="s">
        <v>2</v>
      </c>
      <c r="F23" s="4" t="s">
        <v>20</v>
      </c>
    </row>
    <row r="24" spans="2:8" ht="18" customHeight="1" x14ac:dyDescent="0.2">
      <c r="B24" t="s">
        <v>21</v>
      </c>
      <c r="D24" s="3">
        <f>(1/1000)*$D$2</f>
        <v>0.2</v>
      </c>
      <c r="E24" t="s">
        <v>2</v>
      </c>
      <c r="F24" s="4" t="s">
        <v>70</v>
      </c>
      <c r="H24" s="6" t="s">
        <v>30</v>
      </c>
    </row>
    <row r="25" spans="2:8" ht="18" customHeight="1" x14ac:dyDescent="0.2">
      <c r="B25" t="s">
        <v>67</v>
      </c>
      <c r="D25" s="3"/>
      <c r="E25" t="s">
        <v>39</v>
      </c>
      <c r="F25" s="4"/>
      <c r="H25" s="7" t="s">
        <v>37</v>
      </c>
    </row>
    <row r="26" spans="2:8" ht="18" customHeight="1" x14ac:dyDescent="0.2">
      <c r="B26" t="s">
        <v>41</v>
      </c>
      <c r="D26" s="3"/>
      <c r="F26" s="4" t="s">
        <v>42</v>
      </c>
      <c r="H26" s="7"/>
    </row>
    <row r="28" spans="2:8" x14ac:dyDescent="0.2">
      <c r="B28" t="s">
        <v>17</v>
      </c>
      <c r="D28" s="3">
        <f>D5+D16+D17+D18+D23+D24+D20+D19+D8</f>
        <v>200</v>
      </c>
    </row>
    <row r="29" spans="2:8" x14ac:dyDescent="0.2">
      <c r="B29" t="s">
        <v>12</v>
      </c>
      <c r="D29" s="5">
        <v>43444</v>
      </c>
    </row>
    <row r="31" spans="2:8" ht="17" thickBot="1" x14ac:dyDescent="0.25">
      <c r="B31" s="2" t="s">
        <v>28</v>
      </c>
    </row>
    <row r="32" spans="2:8" ht="17" thickTop="1" x14ac:dyDescent="0.2">
      <c r="B32" t="s">
        <v>29</v>
      </c>
    </row>
  </sheetData>
  <phoneticPr fontId="9"/>
  <pageMargins left="0.7" right="0.7" top="0.75" bottom="0.75" header="0.3" footer="0.3"/>
  <pageSetup paperSize="9" scale="6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0C86-208C-624A-9463-2496EC816BDE}">
  <sheetPr>
    <pageSetUpPr fitToPage="1"/>
  </sheetPr>
  <dimension ref="B1:I33"/>
  <sheetViews>
    <sheetView zoomScale="164" zoomScaleNormal="164" workbookViewId="0">
      <selection activeCell="D7" sqref="D7"/>
    </sheetView>
  </sheetViews>
  <sheetFormatPr baseColWidth="10" defaultColWidth="11.1640625" defaultRowHeight="16" x14ac:dyDescent="0.2"/>
  <cols>
    <col min="2" max="2" width="11.83203125" customWidth="1"/>
    <col min="6" max="6" width="14.1640625" bestFit="1" customWidth="1"/>
    <col min="8" max="8" width="28.33203125" customWidth="1"/>
  </cols>
  <sheetData>
    <row r="1" spans="2:9" ht="17" thickBot="1" x14ac:dyDescent="0.25">
      <c r="B1" s="2" t="s">
        <v>1</v>
      </c>
      <c r="C1" s="2"/>
      <c r="D1" s="2"/>
      <c r="E1" s="2"/>
      <c r="F1" s="2"/>
      <c r="G1" t="s">
        <v>57</v>
      </c>
    </row>
    <row r="2" spans="2:9" ht="17" thickTop="1" x14ac:dyDescent="0.2">
      <c r="B2" t="s">
        <v>0</v>
      </c>
      <c r="D2" s="1">
        <v>400</v>
      </c>
      <c r="E2" t="s">
        <v>2</v>
      </c>
      <c r="G2" t="s">
        <v>58</v>
      </c>
    </row>
    <row r="3" spans="2:9" x14ac:dyDescent="0.2">
      <c r="G3" t="s">
        <v>59</v>
      </c>
    </row>
    <row r="4" spans="2:9" ht="17" thickBot="1" x14ac:dyDescent="0.25">
      <c r="B4" s="2" t="s">
        <v>23</v>
      </c>
      <c r="C4" s="2"/>
      <c r="D4" s="2"/>
      <c r="E4" s="2"/>
      <c r="F4" s="2"/>
    </row>
    <row r="5" spans="2:9" ht="17" thickTop="1" x14ac:dyDescent="0.2">
      <c r="B5" t="s">
        <v>3</v>
      </c>
      <c r="C5" s="4"/>
      <c r="D5" s="3">
        <f>D2-(SUM(D16:D18))-D24-D23-D20-D19-D8</f>
        <v>370.36</v>
      </c>
      <c r="E5" t="s">
        <v>2</v>
      </c>
      <c r="F5" s="4"/>
    </row>
    <row r="6" spans="2:9" x14ac:dyDescent="0.2">
      <c r="B6" t="s">
        <v>4</v>
      </c>
      <c r="C6" s="4"/>
      <c r="D6" s="3">
        <f>2.68 * $D$2/1000</f>
        <v>1.0720000000000001</v>
      </c>
      <c r="E6" t="s">
        <v>6</v>
      </c>
      <c r="F6" s="4" t="s">
        <v>52</v>
      </c>
      <c r="G6" s="4" t="s">
        <v>53</v>
      </c>
    </row>
    <row r="7" spans="2:9" x14ac:dyDescent="0.2">
      <c r="B7" t="s">
        <v>7</v>
      </c>
      <c r="C7" s="4"/>
      <c r="D7" s="3">
        <f>0.71 * $D$2/1000</f>
        <v>0.28399999999999997</v>
      </c>
      <c r="E7" t="s">
        <v>6</v>
      </c>
      <c r="F7" s="4" t="s">
        <v>54</v>
      </c>
      <c r="I7" s="8"/>
    </row>
    <row r="8" spans="2:9" x14ac:dyDescent="0.2">
      <c r="B8" s="11" t="s">
        <v>40</v>
      </c>
      <c r="C8" s="4"/>
      <c r="D8" s="3">
        <f xml:space="preserve"> 0.4% * 2 * $D$2</f>
        <v>3.2</v>
      </c>
      <c r="E8" t="s">
        <v>2</v>
      </c>
      <c r="F8" s="4" t="s">
        <v>65</v>
      </c>
    </row>
    <row r="9" spans="2:9" x14ac:dyDescent="0.2">
      <c r="B9" t="s">
        <v>8</v>
      </c>
      <c r="C9" s="4"/>
      <c r="D9" s="3">
        <f>0.5 * $D$2/1000</f>
        <v>0.2</v>
      </c>
      <c r="E9" t="s">
        <v>6</v>
      </c>
      <c r="F9" s="4" t="s">
        <v>9</v>
      </c>
    </row>
    <row r="10" spans="2:9" x14ac:dyDescent="0.2">
      <c r="B10" s="12" t="s">
        <v>66</v>
      </c>
      <c r="C10" s="4"/>
      <c r="D10" s="3">
        <f>0.1 * $D$2/1000</f>
        <v>0.04</v>
      </c>
      <c r="E10" t="s">
        <v>6</v>
      </c>
      <c r="F10" s="4" t="s">
        <v>62</v>
      </c>
    </row>
    <row r="12" spans="2:9" ht="17" thickBot="1" x14ac:dyDescent="0.25">
      <c r="B12" s="2" t="s">
        <v>11</v>
      </c>
      <c r="C12" s="2"/>
      <c r="D12" s="2"/>
      <c r="E12" s="2"/>
      <c r="F12" s="2"/>
    </row>
    <row r="13" spans="2:9" ht="17" thickTop="1" x14ac:dyDescent="0.2"/>
    <row r="14" spans="2:9" ht="17" thickBot="1" x14ac:dyDescent="0.25">
      <c r="B14" s="2" t="s">
        <v>27</v>
      </c>
      <c r="C14" s="2"/>
      <c r="D14" s="2"/>
      <c r="E14" s="2"/>
      <c r="F14" s="2"/>
    </row>
    <row r="15" spans="2:9" ht="17" thickTop="1" x14ac:dyDescent="0.2"/>
    <row r="16" spans="2:9" x14ac:dyDescent="0.2">
      <c r="B16" t="s">
        <v>14</v>
      </c>
      <c r="D16" s="3">
        <f>2 * $D$2/1000</f>
        <v>0.8</v>
      </c>
      <c r="E16" t="s">
        <v>2</v>
      </c>
      <c r="F16" s="4" t="s">
        <v>31</v>
      </c>
    </row>
    <row r="17" spans="2:8" x14ac:dyDescent="0.2">
      <c r="B17" t="s">
        <v>15</v>
      </c>
      <c r="D17" s="3">
        <f>1 * $D$2/1000</f>
        <v>0.4</v>
      </c>
      <c r="E17" t="s">
        <v>2</v>
      </c>
    </row>
    <row r="18" spans="2:8" x14ac:dyDescent="0.2">
      <c r="B18" t="s">
        <v>16</v>
      </c>
      <c r="D18" s="3">
        <f>50 * $D$2/1000</f>
        <v>20</v>
      </c>
      <c r="E18" t="s">
        <v>2</v>
      </c>
      <c r="F18" s="4" t="s">
        <v>55</v>
      </c>
    </row>
    <row r="19" spans="2:8" x14ac:dyDescent="0.2">
      <c r="B19" t="s">
        <v>36</v>
      </c>
      <c r="D19" s="3">
        <f>0.002 * D2</f>
        <v>0.8</v>
      </c>
      <c r="E19" t="s">
        <v>2</v>
      </c>
      <c r="F19" s="4" t="s">
        <v>56</v>
      </c>
    </row>
    <row r="20" spans="2:8" x14ac:dyDescent="0.2">
      <c r="B20" t="s">
        <v>35</v>
      </c>
      <c r="C20" s="9"/>
      <c r="D20" s="3">
        <f>D2*1/100</f>
        <v>4</v>
      </c>
      <c r="E20" t="s">
        <v>2</v>
      </c>
      <c r="F20" s="4"/>
    </row>
    <row r="22" spans="2:8" ht="17" thickBot="1" x14ac:dyDescent="0.25">
      <c r="B22" s="2" t="s">
        <v>18</v>
      </c>
      <c r="C22" s="2"/>
      <c r="D22" s="2"/>
      <c r="E22" s="2"/>
      <c r="F22" s="2"/>
    </row>
    <row r="23" spans="2:8" ht="17" thickTop="1" x14ac:dyDescent="0.2">
      <c r="B23" t="s">
        <v>19</v>
      </c>
      <c r="D23" s="3">
        <f>0.01 % * $D$2</f>
        <v>0.04</v>
      </c>
      <c r="E23" t="s">
        <v>2</v>
      </c>
      <c r="F23" s="4" t="s">
        <v>20</v>
      </c>
    </row>
    <row r="24" spans="2:8" ht="18" customHeight="1" x14ac:dyDescent="0.2">
      <c r="B24" t="s">
        <v>21</v>
      </c>
      <c r="D24" s="3">
        <f>(1/1000)*$D$2</f>
        <v>0.4</v>
      </c>
      <c r="E24" t="s">
        <v>2</v>
      </c>
      <c r="F24" s="4" t="s">
        <v>22</v>
      </c>
      <c r="H24" s="6" t="s">
        <v>30</v>
      </c>
    </row>
    <row r="25" spans="2:8" ht="18" customHeight="1" x14ac:dyDescent="0.2">
      <c r="B25" t="s">
        <v>38</v>
      </c>
      <c r="D25" s="10" t="s">
        <v>64</v>
      </c>
      <c r="E25" t="s">
        <v>2</v>
      </c>
      <c r="F25" s="4"/>
      <c r="H25" s="7" t="s">
        <v>37</v>
      </c>
    </row>
    <row r="26" spans="2:8" ht="18" customHeight="1" x14ac:dyDescent="0.2">
      <c r="B26" t="s">
        <v>41</v>
      </c>
      <c r="D26" s="3"/>
      <c r="F26" s="4" t="s">
        <v>42</v>
      </c>
      <c r="H26" s="7" t="s">
        <v>60</v>
      </c>
    </row>
    <row r="27" spans="2:8" x14ac:dyDescent="0.2">
      <c r="H27" t="s">
        <v>61</v>
      </c>
    </row>
    <row r="28" spans="2:8" x14ac:dyDescent="0.2">
      <c r="B28" t="s">
        <v>17</v>
      </c>
      <c r="D28" s="3">
        <f>D5+D16+D17+D18+D23+D24+D20+D19+D8</f>
        <v>400</v>
      </c>
    </row>
    <row r="29" spans="2:8" x14ac:dyDescent="0.2">
      <c r="B29" t="s">
        <v>12</v>
      </c>
      <c r="D29" s="5">
        <v>44097</v>
      </c>
    </row>
    <row r="31" spans="2:8" ht="17" thickBot="1" x14ac:dyDescent="0.25">
      <c r="B31" s="2" t="s">
        <v>28</v>
      </c>
    </row>
    <row r="32" spans="2:8" ht="17" thickTop="1" x14ac:dyDescent="0.2">
      <c r="B32" t="s">
        <v>29</v>
      </c>
    </row>
    <row r="33" spans="2:2" x14ac:dyDescent="0.2">
      <c r="B33" t="s">
        <v>63</v>
      </c>
    </row>
  </sheetData>
  <phoneticPr fontId="9"/>
  <pageMargins left="0.7" right="0.7" top="0.75" bottom="0.75" header="0.3" footer="0.3"/>
  <pageSetup paperSize="9" scale="61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AE20-8C87-9A48-AB67-76D2983BD1BB}">
  <dimension ref="B1:H23"/>
  <sheetViews>
    <sheetView tabSelected="1" zoomScale="243" zoomScaleNormal="243" workbookViewId="0">
      <selection activeCell="F9" sqref="F9"/>
    </sheetView>
  </sheetViews>
  <sheetFormatPr baseColWidth="10" defaultColWidth="10.83203125" defaultRowHeight="16" x14ac:dyDescent="0.2"/>
  <sheetData>
    <row r="1" spans="2:8" ht="17" thickBot="1" x14ac:dyDescent="0.25">
      <c r="B1" s="2" t="s">
        <v>1</v>
      </c>
      <c r="C1" s="2"/>
      <c r="D1" s="2"/>
      <c r="E1" s="2"/>
      <c r="F1" s="2"/>
      <c r="H1" t="s">
        <v>46</v>
      </c>
    </row>
    <row r="2" spans="2:8" ht="17" thickTop="1" x14ac:dyDescent="0.2">
      <c r="B2" t="s">
        <v>0</v>
      </c>
      <c r="D2" s="1">
        <v>100</v>
      </c>
      <c r="E2" t="s">
        <v>2</v>
      </c>
      <c r="H2" t="s">
        <v>47</v>
      </c>
    </row>
    <row r="4" spans="2:8" ht="17" thickBot="1" x14ac:dyDescent="0.25">
      <c r="B4" s="2" t="s">
        <v>23</v>
      </c>
      <c r="C4" s="2"/>
      <c r="D4" s="2"/>
      <c r="E4" s="2"/>
      <c r="F4" s="2"/>
    </row>
    <row r="5" spans="2:8" ht="17" thickTop="1" x14ac:dyDescent="0.2">
      <c r="B5" t="s">
        <v>48</v>
      </c>
      <c r="D5" s="3">
        <f>D2-(SUM(D13:D13))-D19-D18-D15-D14-D6</f>
        <v>93</v>
      </c>
      <c r="E5" t="s">
        <v>2</v>
      </c>
      <c r="F5" s="4"/>
    </row>
    <row r="6" spans="2:8" x14ac:dyDescent="0.2">
      <c r="B6" t="s">
        <v>40</v>
      </c>
      <c r="D6" s="3">
        <v>1</v>
      </c>
      <c r="E6" t="s">
        <v>2</v>
      </c>
    </row>
    <row r="7" spans="2:8" x14ac:dyDescent="0.2">
      <c r="B7" t="s">
        <v>8</v>
      </c>
      <c r="D7" s="3">
        <f>0.1* $D$2/100</f>
        <v>0.1</v>
      </c>
      <c r="E7" t="s">
        <v>6</v>
      </c>
      <c r="F7" s="4" t="s">
        <v>9</v>
      </c>
    </row>
    <row r="8" spans="2:8" x14ac:dyDescent="0.2">
      <c r="B8" t="s">
        <v>10</v>
      </c>
      <c r="D8" s="3">
        <v>0.2</v>
      </c>
      <c r="E8" t="s">
        <v>6</v>
      </c>
    </row>
    <row r="10" spans="2:8" ht="17" thickBot="1" x14ac:dyDescent="0.25">
      <c r="B10" s="2" t="s">
        <v>11</v>
      </c>
      <c r="C10" s="2"/>
      <c r="D10" s="2"/>
      <c r="E10" s="2"/>
      <c r="F10" s="2"/>
    </row>
    <row r="11" spans="2:8" ht="17" thickTop="1" x14ac:dyDescent="0.2"/>
    <row r="12" spans="2:8" ht="17" thickBot="1" x14ac:dyDescent="0.25">
      <c r="B12" s="2" t="s">
        <v>13</v>
      </c>
      <c r="C12" s="2"/>
      <c r="D12" s="2"/>
      <c r="E12" s="2"/>
      <c r="F12" s="2"/>
    </row>
    <row r="13" spans="2:8" ht="17" thickTop="1" x14ac:dyDescent="0.2">
      <c r="B13" t="s">
        <v>49</v>
      </c>
      <c r="D13" s="3">
        <v>1</v>
      </c>
      <c r="E13" t="s">
        <v>2</v>
      </c>
    </row>
    <row r="14" spans="2:8" x14ac:dyDescent="0.2">
      <c r="B14" t="s">
        <v>16</v>
      </c>
      <c r="D14" s="3">
        <f>50 * $D$2/1000</f>
        <v>5</v>
      </c>
      <c r="E14" t="s">
        <v>2</v>
      </c>
      <c r="F14" s="4"/>
    </row>
    <row r="16" spans="2:8" ht="17" thickBot="1" x14ac:dyDescent="0.25">
      <c r="B16" s="2" t="s">
        <v>18</v>
      </c>
      <c r="C16" s="2"/>
      <c r="D16" s="2"/>
      <c r="E16" s="2"/>
      <c r="F16" s="2"/>
    </row>
    <row r="17" spans="2:6" ht="17" thickTop="1" x14ac:dyDescent="0.2">
      <c r="B17" t="s">
        <v>19</v>
      </c>
      <c r="D17" s="3">
        <v>0</v>
      </c>
      <c r="E17" t="s">
        <v>2</v>
      </c>
      <c r="F17" s="4" t="s">
        <v>20</v>
      </c>
    </row>
    <row r="18" spans="2:6" x14ac:dyDescent="0.2">
      <c r="B18" t="s">
        <v>21</v>
      </c>
      <c r="D18" s="3">
        <v>0</v>
      </c>
      <c r="E18" t="s">
        <v>2</v>
      </c>
      <c r="F18" s="4" t="s">
        <v>44</v>
      </c>
    </row>
    <row r="19" spans="2:6" x14ac:dyDescent="0.2">
      <c r="F19" s="4" t="s">
        <v>45</v>
      </c>
    </row>
    <row r="20" spans="2:6" x14ac:dyDescent="0.2">
      <c r="B20" t="s">
        <v>41</v>
      </c>
      <c r="D20" s="3">
        <v>0</v>
      </c>
      <c r="E20" t="s">
        <v>50</v>
      </c>
      <c r="F20" s="4" t="s">
        <v>43</v>
      </c>
    </row>
    <row r="22" spans="2:6" x14ac:dyDescent="0.2">
      <c r="B22" t="s">
        <v>17</v>
      </c>
      <c r="D22" s="3">
        <f>D13+D14+D17+D18+D5+D6</f>
        <v>100</v>
      </c>
    </row>
    <row r="23" spans="2:6" x14ac:dyDescent="0.2">
      <c r="B23" t="s">
        <v>12</v>
      </c>
      <c r="D23" s="5">
        <v>44091</v>
      </c>
      <c r="F23" s="4" t="s">
        <v>51</v>
      </c>
    </row>
  </sheetData>
  <phoneticPr fontId="9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ZYM-5052</vt:lpstr>
      <vt:lpstr>N-5052</vt:lpstr>
      <vt:lpstr>C-750501 (Li)</vt:lpstr>
      <vt:lpstr>Lazy-007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erik.walinda@gmail.com</dc:creator>
  <cp:lastModifiedBy>erik.walinda@gmail.com</cp:lastModifiedBy>
  <cp:lastPrinted>2021-07-26T02:50:35Z</cp:lastPrinted>
  <dcterms:created xsi:type="dcterms:W3CDTF">2018-09-13T01:34:47Z</dcterms:created>
  <dcterms:modified xsi:type="dcterms:W3CDTF">2021-07-26T02:51:18Z</dcterms:modified>
</cp:coreProperties>
</file>