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<sst xmlns="http://schemas.openxmlformats.org/spreadsheetml/2006/main" count="114" uniqueCount="70">
  <si>
    <t>TURBOFAN (TWIN SPOOL) NO-MIX</t>
  </si>
  <si>
    <t>CONDIÇÕES AMBIENTES</t>
  </si>
  <si>
    <t>Dados de equipamento</t>
  </si>
  <si>
    <t>Fluxos de massa</t>
  </si>
  <si>
    <t>T_amb</t>
  </si>
  <si>
    <t>K</t>
  </si>
  <si>
    <t>pi_f</t>
  </si>
  <si>
    <t>maC</t>
  </si>
  <si>
    <t>kg/s</t>
  </si>
  <si>
    <t>P_amb</t>
  </si>
  <si>
    <t>Pa</t>
  </si>
  <si>
    <t>pi_c</t>
  </si>
  <si>
    <t>maH</t>
  </si>
  <si>
    <t>u_0</t>
  </si>
  <si>
    <t>m/s</t>
  </si>
  <si>
    <t>T_inlet</t>
  </si>
  <si>
    <t>M</t>
  </si>
  <si>
    <t>gama</t>
  </si>
  <si>
    <t>R</t>
  </si>
  <si>
    <t>J/kgK</t>
  </si>
  <si>
    <t>OPERAÇÃO</t>
  </si>
  <si>
    <t>m_ar</t>
  </si>
  <si>
    <t>B</t>
  </si>
  <si>
    <t>RESPOSTA:</t>
  </si>
  <si>
    <t>PCI</t>
  </si>
  <si>
    <t>MJ/kg</t>
  </si>
  <si>
    <t>Impulso</t>
  </si>
  <si>
    <t>kN</t>
  </si>
  <si>
    <t>cp</t>
  </si>
  <si>
    <t>TSFC</t>
  </si>
  <si>
    <t>kg/Nh</t>
  </si>
  <si>
    <t>P_crit</t>
  </si>
  <si>
    <t>f</t>
  </si>
  <si>
    <t>INTAKE / DIFUSOR SECUNDÁRIO</t>
  </si>
  <si>
    <t>T_01</t>
  </si>
  <si>
    <t>P_01</t>
  </si>
  <si>
    <t>T_02</t>
  </si>
  <si>
    <t>P_02</t>
  </si>
  <si>
    <t>FAN</t>
  </si>
  <si>
    <t>T_03'</t>
  </si>
  <si>
    <t>P_03'</t>
  </si>
  <si>
    <t>COMPRESSOR</t>
  </si>
  <si>
    <t>T_03</t>
  </si>
  <si>
    <t>P_03</t>
  </si>
  <si>
    <t>COMBUSTOR</t>
  </si>
  <si>
    <t>HPT</t>
  </si>
  <si>
    <t>T_05</t>
  </si>
  <si>
    <t>P_05</t>
  </si>
  <si>
    <t>LPT</t>
  </si>
  <si>
    <t>T_06</t>
  </si>
  <si>
    <t>P_06</t>
  </si>
  <si>
    <t>BOCAL PRINCIPAL</t>
  </si>
  <si>
    <t>T_07</t>
  </si>
  <si>
    <t>P_07</t>
  </si>
  <si>
    <t>NPR</t>
  </si>
  <si>
    <t>Chocked?</t>
  </si>
  <si>
    <t>CHOKED</t>
  </si>
  <si>
    <t>NOT CHOKED</t>
  </si>
  <si>
    <t>T_exit</t>
  </si>
  <si>
    <t>P_exit</t>
  </si>
  <si>
    <t>u_exit</t>
  </si>
  <si>
    <t>rho_exit</t>
  </si>
  <si>
    <t>kg/m³</t>
  </si>
  <si>
    <t>A_exit</t>
  </si>
  <si>
    <t>m²</t>
  </si>
  <si>
    <t>BOCAL SECUNDÁRIO</t>
  </si>
  <si>
    <t>T_07'</t>
  </si>
  <si>
    <t>P_07'</t>
  </si>
  <si>
    <t>Choked?</t>
  </si>
  <si>
    <t>u_ef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</si>
</sst>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00"/>
    <numFmt numFmtId="166" formatCode="0.000"/>
    <numFmt numFmtId="167" formatCode="0.0000000"/>
    <numFmt numFmtId="168" formatCode="0.0000"/>
  </numFmts>
  <fonts count="6">
    <font>
      <sz val="10.0"/>
      <color rgb="FF000000"/>
      <name val="Arial"/>
    </font>
    <font>
      <sz val="24.0"/>
      <color theme="1"/>
      <name val="Calibri"/>
    </font>
    <font>
      <sz val="12.0"/>
      <color theme="1"/>
      <name val="Calibri"/>
    </font>
    <font/>
    <font>
      <sz val="12.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4" fillId="2" fontId="4" numFmtId="0" xfId="0" applyAlignment="1" applyBorder="1" applyFill="1" applyFont="1">
      <alignment readingOrder="0" vertical="bottom"/>
    </xf>
    <xf borderId="0" fillId="2" fontId="4" numFmtId="2" xfId="0" applyAlignment="1" applyFont="1" applyNumberFormat="1">
      <alignment horizontal="right" vertical="bottom"/>
    </xf>
    <xf borderId="5" fillId="2" fontId="4" numFmtId="0" xfId="0" applyAlignment="1" applyBorder="1" applyFont="1">
      <alignment vertical="bottom"/>
    </xf>
    <xf borderId="0" fillId="2" fontId="4" numFmtId="2" xfId="0" applyAlignment="1" applyFont="1" applyNumberFormat="1">
      <alignment horizontal="right" readingOrder="0" vertical="bottom"/>
    </xf>
    <xf borderId="5" fillId="0" fontId="4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2" fontId="4" numFmtId="0" xfId="0" applyAlignment="1" applyBorder="1" applyFont="1">
      <alignment readingOrder="0" vertical="bottom"/>
    </xf>
    <xf borderId="4" fillId="2" fontId="2" numFmtId="0" xfId="0" applyAlignment="1" applyBorder="1" applyFont="1">
      <alignment readingOrder="0" vertical="bottom"/>
    </xf>
    <xf borderId="0" fillId="2" fontId="2" numFmtId="2" xfId="0" applyAlignment="1" applyFont="1" applyNumberFormat="1">
      <alignment horizontal="right" readingOrder="0" vertical="bottom"/>
    </xf>
    <xf borderId="5" fillId="0" fontId="2" numFmtId="0" xfId="0" applyAlignment="1" applyBorder="1" applyFont="1">
      <alignment vertical="bottom"/>
    </xf>
    <xf borderId="0" fillId="2" fontId="2" numFmtId="2" xfId="0" applyAlignment="1" applyFont="1" applyNumberFormat="1">
      <alignment horizontal="right" vertical="bottom"/>
    </xf>
    <xf borderId="6" fillId="2" fontId="4" numFmtId="0" xfId="0" applyAlignment="1" applyBorder="1" applyFont="1">
      <alignment readingOrder="0" vertical="bottom"/>
    </xf>
    <xf borderId="7" fillId="2" fontId="4" numFmtId="2" xfId="0" applyAlignment="1" applyBorder="1" applyFont="1" applyNumberFormat="1">
      <alignment horizontal="right" vertical="bottom"/>
    </xf>
    <xf borderId="8" fillId="0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0" fillId="2" fontId="4" numFmtId="0" xfId="0" applyAlignment="1" applyFont="1">
      <alignment horizontal="right" vertical="bottom"/>
    </xf>
    <xf borderId="6" fillId="2" fontId="4" numFmtId="0" xfId="0" applyAlignment="1" applyBorder="1" applyFont="1">
      <alignment vertical="bottom"/>
    </xf>
    <xf borderId="8" fillId="2" fontId="4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6" fillId="0" fontId="4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center"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2" fontId="4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0" fillId="0" fontId="2" numFmtId="2" xfId="0" applyAlignment="1" applyFont="1" applyNumberFormat="1">
      <alignment vertical="bottom"/>
    </xf>
    <xf borderId="5" fillId="0" fontId="2" numFmtId="0" xfId="0" applyAlignment="1" applyBorder="1" applyFont="1">
      <alignment readingOrder="0" vertical="bottom"/>
    </xf>
    <xf borderId="0" fillId="0" fontId="2" numFmtId="2" xfId="0" applyAlignment="1" applyFont="1" applyNumberFormat="1">
      <alignment horizontal="right" vertical="bottom"/>
    </xf>
    <xf borderId="5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7" fillId="0" fontId="2" numFmtId="2" xfId="0" applyAlignment="1" applyBorder="1" applyFont="1" applyNumberFormat="1">
      <alignment vertical="bottom"/>
    </xf>
    <xf borderId="8" fillId="0" fontId="4" numFmtId="0" xfId="0" applyAlignment="1" applyBorder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9" fillId="0" fontId="2" numFmtId="0" xfId="0" applyAlignment="1" applyBorder="1" applyFont="1">
      <alignment readingOrder="0" vertical="bottom"/>
    </xf>
    <xf borderId="10" fillId="0" fontId="3" numFmtId="0" xfId="0" applyBorder="1" applyFont="1"/>
    <xf borderId="11" fillId="0" fontId="3" numFmtId="0" xfId="0" applyBorder="1" applyFont="1"/>
    <xf borderId="4" fillId="0" fontId="3" numFmtId="0" xfId="0" applyAlignment="1" applyBorder="1" applyFont="1">
      <alignment readingOrder="0"/>
    </xf>
    <xf borderId="0" fillId="0" fontId="5" numFmtId="167" xfId="0" applyFont="1" applyNumberFormat="1"/>
    <xf borderId="6" fillId="0" fontId="3" numFmtId="0" xfId="0" applyAlignment="1" applyBorder="1" applyFont="1">
      <alignment readingOrder="0"/>
    </xf>
    <xf borderId="7" fillId="0" fontId="5" numFmtId="2" xfId="0" applyBorder="1" applyFont="1" applyNumberFormat="1"/>
    <xf borderId="7" fillId="0" fontId="2" numFmtId="2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vertical="bottom"/>
    </xf>
    <xf borderId="0" fillId="0" fontId="4" numFmtId="168" xfId="0" applyAlignment="1" applyFont="1" applyNumberFormat="1">
      <alignment horizontal="right" vertical="bottom"/>
    </xf>
    <xf borderId="5" fillId="0" fontId="5" numFmtId="0" xfId="0" applyBorder="1" applyFont="1"/>
    <xf borderId="0" fillId="0" fontId="4" numFmtId="0" xfId="0" applyAlignment="1" applyFont="1">
      <alignment horizontal="right" readingOrder="0" vertical="bottom"/>
    </xf>
    <xf borderId="4" fillId="0" fontId="4" numFmtId="0" xfId="0" applyAlignment="1" applyBorder="1" applyFont="1">
      <alignment vertical="bottom"/>
    </xf>
    <xf borderId="0" fillId="0" fontId="2" numFmtId="167" xfId="0" applyAlignment="1" applyFont="1" applyNumberFormat="1">
      <alignment horizontal="right" vertical="bottom"/>
    </xf>
    <xf borderId="5" fillId="0" fontId="3" numFmtId="0" xfId="0" applyAlignment="1" applyBorder="1" applyFont="1">
      <alignment readingOrder="0"/>
    </xf>
    <xf borderId="0" fillId="0" fontId="2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2.43"/>
    <col customWidth="1" min="8" max="8" width="17.57"/>
    <col customWidth="1" hidden="1" min="9" max="9" width="15.86"/>
    <col hidden="1" min="10" max="11" width="14.43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4"/>
      <c r="D3" s="5"/>
      <c r="E3" s="2"/>
      <c r="F3" s="6" t="s">
        <v>2</v>
      </c>
      <c r="G3" s="4"/>
      <c r="H3" s="5"/>
      <c r="I3" s="7" t="s">
        <v>3</v>
      </c>
      <c r="J3" s="2"/>
      <c r="K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8" t="s">
        <v>4</v>
      </c>
      <c r="C4" s="9">
        <v>298.0</v>
      </c>
      <c r="D4" s="10" t="s">
        <v>5</v>
      </c>
      <c r="E4" s="2"/>
      <c r="F4" s="8" t="s">
        <v>6</v>
      </c>
      <c r="G4" s="11">
        <v>1.6</v>
      </c>
      <c r="H4" s="12"/>
      <c r="I4" s="2" t="s">
        <v>7</v>
      </c>
      <c r="J4" s="13">
        <f>J5*C13</f>
        <v>501.6393443</v>
      </c>
      <c r="K4" s="2" t="s">
        <v>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8" t="s">
        <v>9</v>
      </c>
      <c r="C5" s="11">
        <v>101325.0</v>
      </c>
      <c r="D5" s="14" t="s">
        <v>10</v>
      </c>
      <c r="E5" s="2"/>
      <c r="F5" s="15" t="s">
        <v>11</v>
      </c>
      <c r="G5" s="16">
        <v>25.0</v>
      </c>
      <c r="H5" s="17"/>
      <c r="I5" s="2" t="s">
        <v>12</v>
      </c>
      <c r="J5" s="13">
        <f>C12/(C13+1)</f>
        <v>98.36065574</v>
      </c>
      <c r="K5" s="2" t="s">
        <v>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8" t="s">
        <v>13</v>
      </c>
      <c r="C6" s="18">
        <f>C7*SQRT(C8*C9*C4)</f>
        <v>0</v>
      </c>
      <c r="D6" s="10" t="s">
        <v>14</v>
      </c>
      <c r="E6" s="2"/>
      <c r="F6" s="19" t="s">
        <v>15</v>
      </c>
      <c r="G6" s="20">
        <v>1300.0</v>
      </c>
      <c r="H6" s="21" t="s">
        <v>5</v>
      </c>
      <c r="I6" s="2"/>
      <c r="J6" s="2"/>
      <c r="K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2" t="s">
        <v>16</v>
      </c>
      <c r="C7" s="9">
        <v>0.0</v>
      </c>
      <c r="D7" s="10"/>
      <c r="E7" s="2"/>
      <c r="I7" s="2"/>
      <c r="J7" s="2"/>
      <c r="K7" s="2"/>
      <c r="L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2" t="s">
        <v>17</v>
      </c>
      <c r="C8" s="23">
        <v>1.4</v>
      </c>
      <c r="D8" s="10"/>
      <c r="E8" s="2"/>
      <c r="F8" s="6" t="s">
        <v>3</v>
      </c>
      <c r="G8" s="4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4" t="s">
        <v>18</v>
      </c>
      <c r="C9" s="20">
        <v>287.0</v>
      </c>
      <c r="D9" s="25" t="s">
        <v>19</v>
      </c>
      <c r="E9" s="2"/>
      <c r="F9" s="26" t="s">
        <v>7</v>
      </c>
      <c r="G9" s="13">
        <f>G$10*C$13</f>
        <v>501.6393443</v>
      </c>
      <c r="H9" s="17" t="s">
        <v>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7"/>
      <c r="C10" s="27"/>
      <c r="D10" s="27"/>
      <c r="E10" s="2"/>
      <c r="F10" s="28" t="s">
        <v>12</v>
      </c>
      <c r="G10" s="29">
        <f>C$12/(C$13+1)</f>
        <v>98.36065574</v>
      </c>
      <c r="H10" s="21" t="s">
        <v>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30" t="s">
        <v>20</v>
      </c>
      <c r="C11" s="4"/>
      <c r="D11" s="5"/>
      <c r="E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8" t="s">
        <v>21</v>
      </c>
      <c r="C12" s="11">
        <v>600.0</v>
      </c>
      <c r="D12" s="10" t="s">
        <v>8</v>
      </c>
      <c r="E12" s="2"/>
      <c r="I12" s="31"/>
      <c r="J12" s="32"/>
      <c r="K12" s="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2" t="s">
        <v>22</v>
      </c>
      <c r="C13" s="11">
        <v>5.1</v>
      </c>
      <c r="D13" s="10"/>
      <c r="E13" s="2"/>
      <c r="F13" s="33" t="s">
        <v>23</v>
      </c>
      <c r="G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2" t="s">
        <v>24</v>
      </c>
      <c r="C14" s="34">
        <v>4.3E7</v>
      </c>
      <c r="D14" s="10" t="s">
        <v>25</v>
      </c>
      <c r="E14" s="2"/>
      <c r="F14" s="2"/>
      <c r="G14" s="32" t="s">
        <v>26</v>
      </c>
      <c r="H14" s="35">
        <f>C82/1000</f>
        <v>176.7352823</v>
      </c>
      <c r="I14" s="32" t="s">
        <v>27</v>
      </c>
      <c r="J14" s="32"/>
      <c r="K14" s="2">
        <f>C$82/1000</f>
        <v>176.7352823</v>
      </c>
      <c r="L14" s="33" t="s">
        <v>27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2" t="s">
        <v>28</v>
      </c>
      <c r="C15" s="9">
        <v>1004.0</v>
      </c>
      <c r="D15" s="10" t="s">
        <v>19</v>
      </c>
      <c r="E15" s="2"/>
      <c r="F15" s="32"/>
      <c r="G15" s="32" t="s">
        <v>29</v>
      </c>
      <c r="H15" s="35">
        <f>C42*G10*3600/C82</f>
        <v>0.02147078311</v>
      </c>
      <c r="I15" s="32" t="s">
        <v>30</v>
      </c>
      <c r="J15" s="32"/>
      <c r="K15" s="2">
        <f>C$42*G$9*3600/C$82</f>
        <v>0.1095009938</v>
      </c>
      <c r="L15" s="33" t="s">
        <v>30</v>
      </c>
      <c r="M15" s="3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37" t="s">
        <v>31</v>
      </c>
      <c r="C16" s="38">
        <v>1.893</v>
      </c>
      <c r="D16" s="21"/>
      <c r="E16" s="2"/>
      <c r="F16" s="32"/>
      <c r="G16" s="32"/>
      <c r="H16" s="32"/>
      <c r="I16" s="32"/>
      <c r="J16" s="32"/>
      <c r="K16" s="36"/>
      <c r="L16" s="32"/>
      <c r="M16" s="3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32"/>
      <c r="C17" s="32"/>
      <c r="D17" s="32"/>
      <c r="E17" s="2"/>
      <c r="F17" s="2"/>
      <c r="G17" s="2"/>
      <c r="H17" s="2"/>
      <c r="I17" s="1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.5" customHeight="1">
      <c r="A18" s="2"/>
      <c r="B18" s="32"/>
      <c r="C18" s="32"/>
      <c r="D18" s="32"/>
      <c r="E18" s="2"/>
      <c r="F18" s="2"/>
      <c r="G18" s="2"/>
      <c r="H18" s="2" t="s">
        <v>32</v>
      </c>
      <c r="I18" s="13">
        <f>C42</f>
        <v>0.01071635832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39" t="s">
        <v>33</v>
      </c>
      <c r="C19" s="4"/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.5" customHeight="1">
      <c r="A20" s="2"/>
      <c r="B20" s="26"/>
      <c r="C20" s="2"/>
      <c r="D20" s="1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40" t="s">
        <v>34</v>
      </c>
      <c r="C21" s="41">
        <f t="shared" ref="C21:C22" si="1">C4</f>
        <v>298</v>
      </c>
      <c r="D21" s="42" t="s">
        <v>5</v>
      </c>
      <c r="E21" s="2"/>
      <c r="F21" s="2"/>
      <c r="G21" s="2"/>
      <c r="H21" s="2"/>
      <c r="I21" s="2"/>
      <c r="J21" s="2"/>
      <c r="K21" s="2"/>
      <c r="L21" s="3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0" t="s">
        <v>35</v>
      </c>
      <c r="C22" s="43">
        <f t="shared" si="1"/>
        <v>101325</v>
      </c>
      <c r="D22" s="44" t="s">
        <v>10</v>
      </c>
      <c r="E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5"/>
      <c r="C23" s="32"/>
      <c r="D23" s="12"/>
      <c r="E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0" t="s">
        <v>36</v>
      </c>
      <c r="C24" s="43">
        <f t="shared" ref="C24:C25" si="2">C21</f>
        <v>298</v>
      </c>
      <c r="D24" s="44" t="s">
        <v>5</v>
      </c>
      <c r="E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37" t="s">
        <v>37</v>
      </c>
      <c r="C25" s="46">
        <f t="shared" si="2"/>
        <v>101325</v>
      </c>
      <c r="D25" s="47" t="s">
        <v>10</v>
      </c>
      <c r="E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32"/>
      <c r="C26" s="48"/>
      <c r="D26" s="2"/>
      <c r="E26" s="2"/>
      <c r="F26" s="32"/>
      <c r="G26" s="32"/>
      <c r="H26" s="32"/>
      <c r="I26" s="32"/>
      <c r="J26" s="32"/>
      <c r="K26" s="32"/>
      <c r="L26" s="32"/>
      <c r="M26" s="3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.5" customHeight="1">
      <c r="A27" s="2"/>
      <c r="B27" s="32"/>
      <c r="C27" s="48"/>
      <c r="D27" s="2"/>
      <c r="E27" s="2"/>
      <c r="F27" s="32"/>
      <c r="G27" s="32"/>
      <c r="H27" s="32"/>
      <c r="I27" s="32"/>
      <c r="J27" s="32"/>
      <c r="K27" s="32"/>
      <c r="L27" s="32"/>
      <c r="M27" s="3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39" t="s">
        <v>38</v>
      </c>
      <c r="C28" s="4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.5" customHeight="1">
      <c r="A29" s="2"/>
      <c r="B29" s="45"/>
      <c r="C29" s="2"/>
      <c r="D29" s="1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0" t="s">
        <v>39</v>
      </c>
      <c r="C30" s="2">
        <f>C24*G4^((C8-1)/C8)</f>
        <v>340.8287793</v>
      </c>
      <c r="D30" s="44" t="s">
        <v>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37" t="s">
        <v>40</v>
      </c>
      <c r="C31" s="46">
        <f>C25*G4</f>
        <v>162120</v>
      </c>
      <c r="D31" s="47" t="s">
        <v>10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32"/>
      <c r="C32" s="4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.5" customHeight="1">
      <c r="A33" s="2"/>
      <c r="B33" s="32"/>
      <c r="C33" s="4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50" t="s">
        <v>41</v>
      </c>
      <c r="C34" s="51"/>
      <c r="D34" s="5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.5" customHeight="1">
      <c r="A35" s="2"/>
      <c r="B35" s="45"/>
      <c r="C35" s="2"/>
      <c r="D35" s="1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53" t="s">
        <v>42</v>
      </c>
      <c r="C36" s="54">
        <f>C30*G5^((C8-1)/C8)</f>
        <v>854.9637282</v>
      </c>
      <c r="D36" s="44" t="s">
        <v>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55" t="s">
        <v>43</v>
      </c>
      <c r="C37" s="56">
        <f>C31*G5</f>
        <v>4053000</v>
      </c>
      <c r="D37" s="47" t="s">
        <v>10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39" t="s">
        <v>44</v>
      </c>
      <c r="C40" s="4"/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.5" customHeight="1">
      <c r="A41" s="2"/>
      <c r="B41" s="45"/>
      <c r="C41" s="2"/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37" t="s">
        <v>32</v>
      </c>
      <c r="C42" s="29">
        <f>((G6/C36)-1)/((C14/(C15*C36))-(G6/C36))</f>
        <v>0.01071635832</v>
      </c>
      <c r="D42" s="21"/>
      <c r="E42" s="3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.5" customHeight="1">
      <c r="A44" s="2"/>
      <c r="B44" s="32"/>
      <c r="C44" s="4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39" t="s">
        <v>45</v>
      </c>
      <c r="C45" s="4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.5" customHeight="1">
      <c r="A46" s="2"/>
      <c r="B46" s="45"/>
      <c r="C46" s="49"/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40" t="s">
        <v>46</v>
      </c>
      <c r="C47" s="43">
        <f>G6-(C36-C30)/(1+C42)</f>
        <v>791.3162881</v>
      </c>
      <c r="D47" s="44" t="s">
        <v>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37" t="s">
        <v>47</v>
      </c>
      <c r="C48" s="57">
        <f>C37*(C47/G6)^(C8/(C8-1))</f>
        <v>713181.7786</v>
      </c>
      <c r="D48" s="47" t="s">
        <v>10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39" t="s">
        <v>48</v>
      </c>
      <c r="C51" s="4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.5" customHeight="1">
      <c r="A52" s="2"/>
      <c r="B52" s="45"/>
      <c r="C52" s="2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40" t="s">
        <v>49</v>
      </c>
      <c r="C53" s="41">
        <f>C47-(1+C13)*(C30-C24)/(1+C42)</f>
        <v>532.8307579</v>
      </c>
      <c r="D53" s="44" t="s">
        <v>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37" t="s">
        <v>50</v>
      </c>
      <c r="C54" s="58">
        <f>C48*(C53/C47)^(C8/(C8-1))</f>
        <v>178664.1321</v>
      </c>
      <c r="D54" s="47" t="s">
        <v>10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32"/>
      <c r="C55" s="4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.5" customHeight="1">
      <c r="A56" s="2"/>
      <c r="B56" s="32"/>
      <c r="C56" s="4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39" t="s">
        <v>51</v>
      </c>
      <c r="C57" s="4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.5" customHeight="1">
      <c r="A58" s="2"/>
      <c r="B58" s="45"/>
      <c r="C58" s="59"/>
      <c r="D58" s="1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40" t="s">
        <v>52</v>
      </c>
      <c r="C59" s="41">
        <f t="shared" ref="C59:C60" si="3">C53</f>
        <v>532.8307579</v>
      </c>
      <c r="D59" s="44" t="s">
        <v>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40" t="s">
        <v>53</v>
      </c>
      <c r="C60" s="2">
        <f t="shared" si="3"/>
        <v>178664.1321</v>
      </c>
      <c r="D60" s="44" t="s">
        <v>10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40" t="s">
        <v>54</v>
      </c>
      <c r="C61" s="2">
        <f>C60/C5</f>
        <v>1.763277889</v>
      </c>
      <c r="D61" s="1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40" t="s">
        <v>55</v>
      </c>
      <c r="C62" s="2" t="str">
        <f>IF(C61&gt;C16,"SIM","NÃO")</f>
        <v>NÃO</v>
      </c>
      <c r="D62" s="60"/>
      <c r="E62" s="61" t="s">
        <v>56</v>
      </c>
      <c r="F62" s="61" t="s">
        <v>57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62" t="s">
        <v>58</v>
      </c>
      <c r="C63" s="63">
        <f t="shared" ref="C63:C65" si="4">IF(C62="SIM",E63,F63)</f>
        <v>298</v>
      </c>
      <c r="D63" s="64" t="s">
        <v>5</v>
      </c>
      <c r="E63" s="13">
        <f>C53/((C8+1)/2)</f>
        <v>444.0256316</v>
      </c>
      <c r="F63" s="65">
        <f> C36-(F65^2)/(2*C$15)</f>
        <v>298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62" t="s">
        <v>59</v>
      </c>
      <c r="C64" s="43">
        <f t="shared" si="4"/>
        <v>101325</v>
      </c>
      <c r="D64" s="64" t="s">
        <v>10</v>
      </c>
      <c r="E64" s="13">
        <f>C54/C16</f>
        <v>94381.47498</v>
      </c>
      <c r="F64" s="41">
        <f>C$5</f>
        <v>101325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45" t="s">
        <v>60</v>
      </c>
      <c r="C65" s="13">
        <f t="shared" si="4"/>
        <v>1057.536366</v>
      </c>
      <c r="D65" s="64" t="s">
        <v>14</v>
      </c>
      <c r="E65" s="2">
        <f>SQRT(C8*C9*E63)</f>
        <v>422.385486</v>
      </c>
      <c r="F65" s="2">
        <f>SQRT(2*C$15*C36*(1-(C$5/C37)^((C$8-1)/C$8)))</f>
        <v>1057.536366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45" t="s">
        <v>61</v>
      </c>
      <c r="C66" s="2">
        <f>C64/(C9*C63)</f>
        <v>1.184727451</v>
      </c>
      <c r="D66" s="44" t="s">
        <v>62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8" t="s">
        <v>63</v>
      </c>
      <c r="C67" s="58">
        <f>G10/(C66*C65)</f>
        <v>0.07850686824</v>
      </c>
      <c r="D67" s="47" t="s">
        <v>64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.5" customHeight="1">
      <c r="A69" s="2"/>
      <c r="B69" s="32"/>
      <c r="C69" s="4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39" t="s">
        <v>65</v>
      </c>
      <c r="C70" s="4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.5" customHeight="1">
      <c r="A71" s="2"/>
      <c r="B71" s="45"/>
      <c r="C71" s="2"/>
      <c r="D71" s="1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40" t="s">
        <v>66</v>
      </c>
      <c r="C72" s="2">
        <f t="shared" ref="C72:C73" si="5">C30</f>
        <v>340.8287793</v>
      </c>
      <c r="D72" s="44" t="s">
        <v>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40" t="s">
        <v>67</v>
      </c>
      <c r="C73" s="43">
        <f t="shared" si="5"/>
        <v>162120</v>
      </c>
      <c r="D73" s="44" t="s">
        <v>10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0" t="s">
        <v>54</v>
      </c>
      <c r="C74" s="2">
        <f>C31/C5</f>
        <v>1.6</v>
      </c>
      <c r="D74" s="12"/>
      <c r="E74" s="3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0" t="s">
        <v>68</v>
      </c>
      <c r="C75" s="13" t="str">
        <f>IF(C74&gt;C16,"SIM","NÃO")</f>
        <v>NÃO</v>
      </c>
      <c r="D75" s="60"/>
      <c r="E75" s="61" t="s">
        <v>56</v>
      </c>
      <c r="F75" s="61" t="s">
        <v>57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0" t="s">
        <v>58</v>
      </c>
      <c r="C76" s="13">
        <f t="shared" ref="C76:C78" si="6">IF(C75="SIM",E76,F76)</f>
        <v>298</v>
      </c>
      <c r="D76" s="64" t="s">
        <v>5</v>
      </c>
      <c r="E76" s="13">
        <f>C30/((C8+1)/2)</f>
        <v>284.0239828</v>
      </c>
      <c r="F76" s="2">
        <f>C$30-F$78*F$78/(2*C$15)</f>
        <v>298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0" t="s">
        <v>59</v>
      </c>
      <c r="C77" s="43">
        <f t="shared" si="6"/>
        <v>101325</v>
      </c>
      <c r="D77" s="64" t="s">
        <v>10</v>
      </c>
      <c r="E77" s="13">
        <f>C31/C16</f>
        <v>85641.83835</v>
      </c>
      <c r="F77" s="41">
        <f>C$5</f>
        <v>101325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40" t="s">
        <v>69</v>
      </c>
      <c r="C78" s="13">
        <f t="shared" si="6"/>
        <v>293.257888</v>
      </c>
      <c r="D78" s="64" t="s">
        <v>14</v>
      </c>
      <c r="E78" s="2">
        <f>SQRT(C8*C9*E76)</f>
        <v>337.817756</v>
      </c>
      <c r="F78" s="2">
        <f>SQRT(2*C$15*C$30*(1-(C$5/C$31)^((C$8-1)/C$8)))</f>
        <v>293.257888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45" t="s">
        <v>61</v>
      </c>
      <c r="C79" s="43">
        <f>C73/(C9*C72)</f>
        <v>1.657366053</v>
      </c>
      <c r="D79" s="44" t="s">
        <v>62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37" t="s">
        <v>63</v>
      </c>
      <c r="C80" s="57">
        <f>G9/(C79*C78)</f>
        <v>1.032103973</v>
      </c>
      <c r="D80" s="47" t="s">
        <v>64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32"/>
      <c r="C81" s="3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33" t="s">
        <v>26</v>
      </c>
      <c r="C82" s="2">
        <f>G10*((1+C42)*C63-C6)+(C64-C5)*C67+C13*G10*(C78-C6)+(C77-C5)*C80</f>
        <v>176735.2823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32"/>
      <c r="C84" s="4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32"/>
      <c r="C85" s="4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32"/>
      <c r="C86" s="32"/>
      <c r="D86" s="32"/>
      <c r="E86" s="3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32"/>
      <c r="C87" s="48"/>
      <c r="D87" s="48"/>
      <c r="E87" s="4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32"/>
      <c r="C88" s="48"/>
      <c r="D88" s="48"/>
      <c r="E88" s="4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32"/>
      <c r="C89" s="48"/>
      <c r="D89" s="48"/>
      <c r="E89" s="4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32"/>
      <c r="C91" s="48"/>
      <c r="D91" s="3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32"/>
      <c r="C93" s="48"/>
      <c r="D93" s="3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8"/>
      <c r="D94" s="3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32"/>
      <c r="C96" s="48"/>
      <c r="D96" s="3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32"/>
      <c r="C98" s="48"/>
      <c r="D98" s="3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32"/>
      <c r="C100" s="48"/>
      <c r="D100" s="3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32"/>
      <c r="C102" s="48"/>
      <c r="D102" s="3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3">
    <mergeCell ref="B51:D51"/>
    <mergeCell ref="B57:D57"/>
    <mergeCell ref="B70:D70"/>
    <mergeCell ref="B3:D3"/>
    <mergeCell ref="F3:H3"/>
    <mergeCell ref="A1:Z1"/>
    <mergeCell ref="B28:D28"/>
    <mergeCell ref="B11:D11"/>
    <mergeCell ref="B34:D34"/>
    <mergeCell ref="B40:D40"/>
    <mergeCell ref="B45:D45"/>
    <mergeCell ref="F8:H8"/>
    <mergeCell ref="B19:D19"/>
  </mergeCells>
  <drawing r:id="rId1"/>
</worksheet>
</file>