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c\Desktop\"/>
    </mc:Choice>
  </mc:AlternateContent>
  <xr:revisionPtr revIDLastSave="0" documentId="13_ncr:1_{3171E1AE-CF9A-4AFB-9502-C73FCF8D44E4}" xr6:coauthVersionLast="47" xr6:coauthVersionMax="47" xr10:uidLastSave="{00000000-0000-0000-0000-000000000000}"/>
  <bookViews>
    <workbookView xWindow="-120" yWindow="-120" windowWidth="29040" windowHeight="15720" tabRatio="727" xr2:uid="{72A72985-0BEA-4356-A683-6616971C69DD}"/>
  </bookViews>
  <sheets>
    <sheet name="Método Topsis" sheetId="3" r:id="rId1"/>
    <sheet name="Projetos" sheetId="24" r:id="rId2"/>
    <sheet name="Resumo pa" sheetId="9" r:id="rId3"/>
    <sheet name="PLI" sheetId="21" r:id="rId4"/>
  </sheets>
  <definedNames>
    <definedName name="solver_adj" localSheetId="3" hidden="1">PLI!$F$4:$F$21</definedName>
    <definedName name="solver_adj" localSheetId="2" hidden="1">'Resumo pa'!#REF!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0" localSheetId="3" hidden="1">PLI!$F$4:$F$9</definedName>
    <definedName name="solver_lhs0" localSheetId="2" hidden="1">'Resumo pa'!#REF!</definedName>
    <definedName name="solver_lhs1" localSheetId="3" hidden="1">PLI!$C$28</definedName>
    <definedName name="solver_lhs1" localSheetId="2" hidden="1">'Resumo pa'!#REF!</definedName>
    <definedName name="solver_lhs10" localSheetId="3" hidden="1">PLI!$F$4:$F$21</definedName>
    <definedName name="solver_lhs11" localSheetId="3" hidden="1">PLI!$F$4:$F$21</definedName>
    <definedName name="solver_lhs12" localSheetId="3" hidden="1">PLI!$F$4:$F$21</definedName>
    <definedName name="solver_lhs13" localSheetId="3" hidden="1">PLI!$F$4:$F$21</definedName>
    <definedName name="solver_lhs2" localSheetId="3" hidden="1">PLI!$C$26</definedName>
    <definedName name="solver_lhs2" localSheetId="2" hidden="1">'Resumo pa'!#REF!</definedName>
    <definedName name="solver_lhs3" localSheetId="3" hidden="1">PLI!$C$29</definedName>
    <definedName name="solver_lhs3" localSheetId="2" hidden="1">'Resumo pa'!#REF!</definedName>
    <definedName name="solver_lhs4" localSheetId="3" hidden="1">PLI!$C$30</definedName>
    <definedName name="solver_lhs4" localSheetId="2" hidden="1">'Resumo pa'!#REF!</definedName>
    <definedName name="solver_lhs5" localSheetId="3" hidden="1">PLI!$C$31</definedName>
    <definedName name="solver_lhs5" localSheetId="2" hidden="1">'Resumo pa'!#REF!</definedName>
    <definedName name="solver_lhs6" localSheetId="3" hidden="1">PLI!$C$32</definedName>
    <definedName name="solver_lhs7" localSheetId="3" hidden="1">PLI!$C$33</definedName>
    <definedName name="solver_lhs8" localSheetId="3" hidden="1">PLI!$C$34</definedName>
    <definedName name="solver_lhs9" localSheetId="3" hidden="1">PLI!$C$35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11</definedName>
    <definedName name="solver_num" localSheetId="2" hidden="1">4</definedName>
    <definedName name="solver_nwt" localSheetId="3" hidden="1">1</definedName>
    <definedName name="solver_nwt" localSheetId="2" hidden="1">1</definedName>
    <definedName name="solver_opt" localSheetId="3" hidden="1">PLI!$C$36</definedName>
    <definedName name="solver_opt" localSheetId="2" hidden="1">'Resumo pa'!#REF!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0" localSheetId="3" hidden="1">5</definedName>
    <definedName name="solver_rel0" localSheetId="2" hidden="1">5</definedName>
    <definedName name="solver_rel1" localSheetId="3" hidden="1">1</definedName>
    <definedName name="solver_rel1" localSheetId="2" hidden="1">1</definedName>
    <definedName name="solver_rel10" localSheetId="3" hidden="1">5</definedName>
    <definedName name="solver_rel11" localSheetId="3" hidden="1">5</definedName>
    <definedName name="solver_rel12" localSheetId="3" hidden="1">5</definedName>
    <definedName name="solver_rel13" localSheetId="3" hidden="1">5</definedName>
    <definedName name="solver_rel2" localSheetId="3" hidden="1">1</definedName>
    <definedName name="solver_rel2" localSheetId="2" hidden="1">1</definedName>
    <definedName name="solver_rel3" localSheetId="3" hidden="1">3</definedName>
    <definedName name="solver_rel3" localSheetId="2" hidden="1">1</definedName>
    <definedName name="solver_rel4" localSheetId="3" hidden="1">3</definedName>
    <definedName name="solver_rel4" localSheetId="2" hidden="1">5</definedName>
    <definedName name="solver_rel5" localSheetId="3" hidden="1">3</definedName>
    <definedName name="solver_rel5" localSheetId="2" hidden="1">5</definedName>
    <definedName name="solver_rel6" localSheetId="3" hidden="1">3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0" localSheetId="3" hidden="1">"binário"</definedName>
    <definedName name="solver_rhs0" localSheetId="2" hidden="1">"binário"</definedName>
    <definedName name="solver_rhs1" localSheetId="3" hidden="1">PLI!$C$27</definedName>
    <definedName name="solver_rhs1" localSheetId="2" hidden="1">'Resumo pa'!#REF!</definedName>
    <definedName name="solver_rhs10" localSheetId="3" hidden="1">"binário"</definedName>
    <definedName name="solver_rhs11" localSheetId="3" hidden="1">"binário"</definedName>
    <definedName name="solver_rhs12" localSheetId="3" hidden="1">"binário"</definedName>
    <definedName name="solver_rhs13" localSheetId="3" hidden="1">"binário"</definedName>
    <definedName name="solver_rhs2" localSheetId="3" hidden="1">PLI!$C$25</definedName>
    <definedName name="solver_rhs2" localSheetId="2" hidden="1">'Resumo pa'!#REF!</definedName>
    <definedName name="solver_rhs3" localSheetId="3" hidden="1">1</definedName>
    <definedName name="solver_rhs3" localSheetId="2" hidden="1">'Resumo pa'!#REF!</definedName>
    <definedName name="solver_rhs4" localSheetId="3" hidden="1">1</definedName>
    <definedName name="solver_rhs4" localSheetId="2" hidden="1">"binário"</definedName>
    <definedName name="solver_rhs5" localSheetId="3" hidden="1">1</definedName>
    <definedName name="solver_rhs5" localSheetId="2" hidden="1">"binário"</definedName>
    <definedName name="solver_rhs6" localSheetId="3" hidden="1">1</definedName>
    <definedName name="solver_rhs7" localSheetId="3" hidden="1">1</definedName>
    <definedName name="solver_rhs8" localSheetId="3" hidden="1">1</definedName>
    <definedName name="solver_rhs9" localSheetId="3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C35" i="21" l="1"/>
  <c r="C34" i="21"/>
  <c r="I20" i="21"/>
  <c r="H20" i="21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5" i="9"/>
  <c r="J5" i="9" s="1"/>
  <c r="C15" i="9" l="1"/>
  <c r="K16" i="9" s="1"/>
  <c r="D15" i="9"/>
  <c r="C7" i="9"/>
  <c r="K6" i="9" s="1"/>
  <c r="D7" i="9"/>
  <c r="D17" i="9"/>
  <c r="L7" i="9" s="1"/>
  <c r="C17" i="9"/>
  <c r="K7" i="9" s="1"/>
  <c r="D14" i="9"/>
  <c r="C14" i="9"/>
  <c r="K11" i="9" s="1"/>
  <c r="D6" i="9"/>
  <c r="L15" i="9" s="1"/>
  <c r="C6" i="9"/>
  <c r="C13" i="9"/>
  <c r="K8" i="9" s="1"/>
  <c r="D13" i="9"/>
  <c r="C5" i="9"/>
  <c r="D5" i="9"/>
  <c r="L13" i="9" s="1"/>
  <c r="C12" i="9"/>
  <c r="K18" i="9" s="1"/>
  <c r="D12" i="9"/>
  <c r="J12" i="9"/>
  <c r="C19" i="9"/>
  <c r="K19" i="9" s="1"/>
  <c r="D19" i="9"/>
  <c r="L19" i="9" s="1"/>
  <c r="C11" i="9"/>
  <c r="K9" i="9" s="1"/>
  <c r="D11" i="9"/>
  <c r="L9" i="9" s="1"/>
  <c r="C18" i="9"/>
  <c r="K12" i="9" s="1"/>
  <c r="D18" i="9"/>
  <c r="L12" i="9" s="1"/>
  <c r="C10" i="9"/>
  <c r="D10" i="9"/>
  <c r="C9" i="9"/>
  <c r="D9" i="9"/>
  <c r="L17" i="9" s="1"/>
  <c r="C16" i="9"/>
  <c r="K5" i="9" s="1"/>
  <c r="D16" i="9"/>
  <c r="L5" i="9" s="1"/>
  <c r="C8" i="9"/>
  <c r="D8" i="9"/>
  <c r="L14" i="9" s="1"/>
  <c r="J15" i="9"/>
  <c r="J7" i="9"/>
  <c r="J14" i="9"/>
  <c r="J6" i="9"/>
  <c r="K17" i="9"/>
  <c r="K13" i="9"/>
  <c r="J13" i="9"/>
  <c r="L16" i="9"/>
  <c r="L8" i="9"/>
  <c r="J19" i="9"/>
  <c r="J11" i="9"/>
  <c r="L11" i="9"/>
  <c r="J18" i="9"/>
  <c r="J10" i="9"/>
  <c r="K15" i="9"/>
  <c r="J17" i="9"/>
  <c r="J9" i="9"/>
  <c r="L18" i="9"/>
  <c r="L10" i="9"/>
  <c r="L6" i="9"/>
  <c r="J16" i="9"/>
  <c r="J8" i="9"/>
  <c r="K14" i="9"/>
  <c r="K10" i="9"/>
  <c r="I5" i="21" l="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1" i="21"/>
  <c r="I4" i="21"/>
  <c r="H19" i="21"/>
  <c r="H21" i="21"/>
  <c r="C4" i="21"/>
  <c r="D4" i="21"/>
  <c r="E4" i="21"/>
  <c r="C5" i="21"/>
  <c r="D5" i="21"/>
  <c r="E5" i="21"/>
  <c r="C6" i="21"/>
  <c r="D6" i="21"/>
  <c r="E6" i="21"/>
  <c r="C7" i="21"/>
  <c r="D7" i="21"/>
  <c r="E7" i="21"/>
  <c r="C8" i="21"/>
  <c r="D8" i="21"/>
  <c r="E8" i="21"/>
  <c r="C9" i="21"/>
  <c r="D9" i="21"/>
  <c r="E9" i="21"/>
  <c r="C10" i="21"/>
  <c r="D10" i="21"/>
  <c r="E10" i="21"/>
  <c r="C11" i="21"/>
  <c r="D11" i="21"/>
  <c r="E11" i="21"/>
  <c r="C12" i="21"/>
  <c r="D12" i="21"/>
  <c r="E12" i="21"/>
  <c r="C13" i="21"/>
  <c r="D13" i="21"/>
  <c r="E13" i="21"/>
  <c r="C14" i="21"/>
  <c r="D14" i="21"/>
  <c r="E14" i="21"/>
  <c r="C15" i="21"/>
  <c r="D15" i="21"/>
  <c r="E15" i="21"/>
  <c r="C16" i="21"/>
  <c r="D16" i="21"/>
  <c r="E16" i="21"/>
  <c r="C17" i="21"/>
  <c r="D17" i="21"/>
  <c r="E17" i="21"/>
  <c r="C18" i="21"/>
  <c r="E18" i="21"/>
  <c r="B5" i="21"/>
  <c r="H5" i="21" s="1"/>
  <c r="B6" i="21"/>
  <c r="H6" i="21" s="1"/>
  <c r="B7" i="21"/>
  <c r="H7" i="21" s="1"/>
  <c r="B8" i="21"/>
  <c r="H8" i="21" s="1"/>
  <c r="B9" i="21"/>
  <c r="H9" i="21" s="1"/>
  <c r="B10" i="21"/>
  <c r="H10" i="21" s="1"/>
  <c r="B11" i="21"/>
  <c r="H11" i="21" s="1"/>
  <c r="B12" i="21"/>
  <c r="H12" i="21" s="1"/>
  <c r="B13" i="21"/>
  <c r="H13" i="21" s="1"/>
  <c r="B14" i="21"/>
  <c r="H14" i="21" s="1"/>
  <c r="B15" i="21"/>
  <c r="H15" i="21" s="1"/>
  <c r="B16" i="21"/>
  <c r="H16" i="21" s="1"/>
  <c r="B17" i="21"/>
  <c r="H17" i="21" s="1"/>
  <c r="B18" i="21"/>
  <c r="H18" i="21" s="1"/>
  <c r="B4" i="21"/>
  <c r="H4" i="21" s="1"/>
  <c r="X15" i="3"/>
  <c r="X16" i="3"/>
  <c r="X17" i="3"/>
  <c r="X18" i="3"/>
  <c r="X19" i="3"/>
  <c r="C33" i="21"/>
  <c r="C32" i="21"/>
  <c r="C31" i="21"/>
  <c r="C30" i="21"/>
  <c r="C29" i="21"/>
  <c r="C36" i="21" l="1"/>
  <c r="C28" i="21"/>
  <c r="C26" i="21"/>
  <c r="J21" i="3"/>
  <c r="I21" i="3"/>
  <c r="H21" i="3"/>
  <c r="G21" i="3"/>
  <c r="F21" i="3"/>
  <c r="E21" i="3"/>
  <c r="D21" i="3"/>
  <c r="C21" i="3"/>
  <c r="J20" i="3"/>
  <c r="J35" i="3" s="1"/>
  <c r="I20" i="3"/>
  <c r="I38" i="3" s="1"/>
  <c r="G20" i="3"/>
  <c r="F20" i="3"/>
  <c r="E20" i="3"/>
  <c r="D20" i="3"/>
  <c r="C20" i="3"/>
  <c r="H19" i="3"/>
  <c r="H18" i="3"/>
  <c r="H17" i="3"/>
  <c r="H16" i="3"/>
  <c r="H15" i="3"/>
  <c r="X14" i="3"/>
  <c r="H14" i="3" s="1"/>
  <c r="X13" i="3"/>
  <c r="H13" i="3" s="1"/>
  <c r="X12" i="3"/>
  <c r="H12" i="3" s="1"/>
  <c r="X11" i="3"/>
  <c r="H11" i="3" s="1"/>
  <c r="X10" i="3"/>
  <c r="H10" i="3" s="1"/>
  <c r="X9" i="3"/>
  <c r="H9" i="3" s="1"/>
  <c r="X8" i="3"/>
  <c r="H8" i="3" s="1"/>
  <c r="X7" i="3"/>
  <c r="H7" i="3" s="1"/>
  <c r="X6" i="3"/>
  <c r="H6" i="3" s="1"/>
  <c r="X5" i="3"/>
  <c r="H5" i="3" s="1"/>
  <c r="G31" i="3" l="1"/>
  <c r="E42" i="3"/>
  <c r="D37" i="3"/>
  <c r="C40" i="3"/>
  <c r="F39" i="3"/>
  <c r="F42" i="3"/>
  <c r="D32" i="3"/>
  <c r="F34" i="3"/>
  <c r="G36" i="3"/>
  <c r="C35" i="3"/>
  <c r="I41" i="3"/>
  <c r="E37" i="3"/>
  <c r="J38" i="3"/>
  <c r="E29" i="3"/>
  <c r="G39" i="3"/>
  <c r="J30" i="3"/>
  <c r="D40" i="3"/>
  <c r="H20" i="3"/>
  <c r="H39" i="3" s="1"/>
  <c r="I28" i="3"/>
  <c r="F29" i="3"/>
  <c r="C30" i="3"/>
  <c r="E32" i="3"/>
  <c r="J33" i="3"/>
  <c r="G34" i="3"/>
  <c r="D35" i="3"/>
  <c r="I36" i="3"/>
  <c r="F37" i="3"/>
  <c r="C38" i="3"/>
  <c r="E40" i="3"/>
  <c r="J41" i="3"/>
  <c r="G42" i="3"/>
  <c r="I33" i="3"/>
  <c r="J28" i="3"/>
  <c r="G29" i="3"/>
  <c r="D30" i="3"/>
  <c r="I31" i="3"/>
  <c r="F32" i="3"/>
  <c r="C33" i="3"/>
  <c r="E35" i="3"/>
  <c r="J36" i="3"/>
  <c r="G37" i="3"/>
  <c r="D38" i="3"/>
  <c r="I39" i="3"/>
  <c r="F40" i="3"/>
  <c r="C41" i="3"/>
  <c r="C28" i="3"/>
  <c r="E30" i="3"/>
  <c r="J31" i="3"/>
  <c r="G32" i="3"/>
  <c r="D33" i="3"/>
  <c r="I34" i="3"/>
  <c r="F35" i="3"/>
  <c r="C36" i="3"/>
  <c r="E38" i="3"/>
  <c r="J39" i="3"/>
  <c r="G40" i="3"/>
  <c r="D41" i="3"/>
  <c r="I42" i="3"/>
  <c r="D28" i="3"/>
  <c r="I29" i="3"/>
  <c r="F30" i="3"/>
  <c r="C31" i="3"/>
  <c r="E33" i="3"/>
  <c r="J34" i="3"/>
  <c r="G35" i="3"/>
  <c r="D36" i="3"/>
  <c r="I37" i="3"/>
  <c r="F38" i="3"/>
  <c r="C39" i="3"/>
  <c r="E41" i="3"/>
  <c r="J42" i="3"/>
  <c r="E28" i="3"/>
  <c r="J29" i="3"/>
  <c r="G30" i="3"/>
  <c r="D31" i="3"/>
  <c r="I32" i="3"/>
  <c r="F33" i="3"/>
  <c r="C34" i="3"/>
  <c r="E36" i="3"/>
  <c r="J37" i="3"/>
  <c r="G38" i="3"/>
  <c r="D39" i="3"/>
  <c r="I40" i="3"/>
  <c r="F41" i="3"/>
  <c r="C42" i="3"/>
  <c r="F28" i="3"/>
  <c r="C29" i="3"/>
  <c r="E31" i="3"/>
  <c r="J32" i="3"/>
  <c r="G33" i="3"/>
  <c r="D34" i="3"/>
  <c r="I35" i="3"/>
  <c r="F36" i="3"/>
  <c r="C37" i="3"/>
  <c r="E39" i="3"/>
  <c r="J40" i="3"/>
  <c r="G41" i="3"/>
  <c r="D42" i="3"/>
  <c r="G28" i="3"/>
  <c r="D29" i="3"/>
  <c r="I30" i="3"/>
  <c r="F31" i="3"/>
  <c r="C32" i="3"/>
  <c r="E34" i="3"/>
  <c r="H36" i="3" l="1"/>
  <c r="H41" i="3"/>
  <c r="H37" i="3"/>
  <c r="H28" i="3"/>
  <c r="F44" i="3"/>
  <c r="F43" i="3"/>
  <c r="D44" i="3"/>
  <c r="D43" i="3"/>
  <c r="H30" i="3"/>
  <c r="H33" i="3"/>
  <c r="I44" i="3"/>
  <c r="I43" i="3"/>
  <c r="H40" i="3"/>
  <c r="H32" i="3"/>
  <c r="C43" i="3"/>
  <c r="C44" i="3"/>
  <c r="J44" i="3"/>
  <c r="J43" i="3"/>
  <c r="H38" i="3"/>
  <c r="H42" i="3"/>
  <c r="E44" i="3"/>
  <c r="E43" i="3"/>
  <c r="H31" i="3"/>
  <c r="H35" i="3"/>
  <c r="H34" i="3"/>
  <c r="G44" i="3"/>
  <c r="G43" i="3"/>
  <c r="H29" i="3"/>
  <c r="H44" i="3" l="1"/>
  <c r="L30" i="3" s="1"/>
  <c r="H43" i="3"/>
  <c r="K28" i="3" s="1"/>
  <c r="K39" i="3" l="1"/>
  <c r="L35" i="3"/>
  <c r="K32" i="3"/>
  <c r="K41" i="3"/>
  <c r="L34" i="3"/>
  <c r="L37" i="3"/>
  <c r="K40" i="3"/>
  <c r="L33" i="3"/>
  <c r="K34" i="3"/>
  <c r="K38" i="3"/>
  <c r="L31" i="3"/>
  <c r="K35" i="3"/>
  <c r="L28" i="3"/>
  <c r="M28" i="3" s="1"/>
  <c r="K33" i="3"/>
  <c r="L39" i="3"/>
  <c r="L29" i="3"/>
  <c r="K30" i="3"/>
  <c r="M30" i="3" s="1"/>
  <c r="L32" i="3"/>
  <c r="L42" i="3"/>
  <c r="K37" i="3"/>
  <c r="L36" i="3"/>
  <c r="L40" i="3"/>
  <c r="L41" i="3"/>
  <c r="L38" i="3"/>
  <c r="K36" i="3"/>
  <c r="K42" i="3"/>
  <c r="K31" i="3"/>
  <c r="K29" i="3"/>
  <c r="M41" i="3" l="1"/>
  <c r="M38" i="3"/>
  <c r="M39" i="3"/>
  <c r="M32" i="3"/>
  <c r="M36" i="3"/>
  <c r="M42" i="3"/>
  <c r="M35" i="3"/>
  <c r="M40" i="3"/>
  <c r="M37" i="3"/>
  <c r="M34" i="3"/>
  <c r="M31" i="3"/>
  <c r="M29" i="3"/>
  <c r="M33" i="3"/>
</calcChain>
</file>

<file path=xl/sharedStrings.xml><?xml version="1.0" encoding="utf-8"?>
<sst xmlns="http://schemas.openxmlformats.org/spreadsheetml/2006/main" count="233" uniqueCount="95">
  <si>
    <t>Critérios</t>
  </si>
  <si>
    <t>A</t>
  </si>
  <si>
    <t>B</t>
  </si>
  <si>
    <t>C</t>
  </si>
  <si>
    <t>D</t>
  </si>
  <si>
    <t>E</t>
  </si>
  <si>
    <t>F</t>
  </si>
  <si>
    <t xml:space="preserve">Alternativas </t>
  </si>
  <si>
    <t>Projeto 1</t>
  </si>
  <si>
    <t>Projeto 2</t>
  </si>
  <si>
    <t>Projeto 3</t>
  </si>
  <si>
    <t>Projeto 4</t>
  </si>
  <si>
    <t>Projeto 5</t>
  </si>
  <si>
    <t>Projeto 6</t>
  </si>
  <si>
    <t>G</t>
  </si>
  <si>
    <t>H</t>
  </si>
  <si>
    <t>Normalização</t>
  </si>
  <si>
    <t>Pesos</t>
  </si>
  <si>
    <t>Tipo</t>
  </si>
  <si>
    <t>Máx</t>
  </si>
  <si>
    <t>Mín</t>
  </si>
  <si>
    <t>d+</t>
  </si>
  <si>
    <t>d-</t>
  </si>
  <si>
    <t>Projetos</t>
  </si>
  <si>
    <t>Di</t>
  </si>
  <si>
    <t>Restrições</t>
  </si>
  <si>
    <t>Valores</t>
  </si>
  <si>
    <t>hi</t>
  </si>
  <si>
    <t>xi</t>
  </si>
  <si>
    <t>Valor total (z)</t>
  </si>
  <si>
    <t>∑ xi * ci</t>
  </si>
  <si>
    <t>∑ xi * hi</t>
  </si>
  <si>
    <t>Solução usando o Solver do Excel para xi baseados na função a ser maximizada e suas restrições.
Marcar no solver a opção PL Simplex.</t>
  </si>
  <si>
    <t>Admitiu-se pesos iguais para todos os critérios</t>
  </si>
  <si>
    <t>Ideal positiva</t>
  </si>
  <si>
    <t>Ideal negativa</t>
  </si>
  <si>
    <t>Legenda:</t>
  </si>
  <si>
    <t>Projeto 7</t>
  </si>
  <si>
    <t>Projeto 8</t>
  </si>
  <si>
    <t>O projeto já foi apresentado outras vezes para desenvolvimento?</t>
  </si>
  <si>
    <t>Prazo para entrar em licitação</t>
  </si>
  <si>
    <t>max</t>
  </si>
  <si>
    <t>min</t>
  </si>
  <si>
    <t xml:space="preserve">Impacto na função fim da UFPE (Ensino, Pesquisa e Extensão) </t>
  </si>
  <si>
    <t>Risco de segurança dos usuários das instalações</t>
  </si>
  <si>
    <t>Risco de patrimonial</t>
  </si>
  <si>
    <t>Planejamento da manutenção</t>
  </si>
  <si>
    <t xml:space="preserve">Custo estimado do ciclo de vida </t>
  </si>
  <si>
    <t>MÉTODO TOPSIS</t>
  </si>
  <si>
    <t>Projeto 9</t>
  </si>
  <si>
    <t>Projeto 10</t>
  </si>
  <si>
    <t>Projeto 11</t>
  </si>
  <si>
    <t>Projeto 12</t>
  </si>
  <si>
    <t>Projeto 13</t>
  </si>
  <si>
    <t>Projeto 14</t>
  </si>
  <si>
    <t>Projeto 15</t>
  </si>
  <si>
    <t>Método de Pontuações Aumentadas</t>
  </si>
  <si>
    <t>Programação Linear Inteira</t>
  </si>
  <si>
    <t>Ranqueamento TOPSIS</t>
  </si>
  <si>
    <t>pa</t>
  </si>
  <si>
    <t>k</t>
  </si>
  <si>
    <t>FMEA</t>
  </si>
  <si>
    <t>Severidade</t>
  </si>
  <si>
    <t>Ocorrência</t>
  </si>
  <si>
    <t>Detecção</t>
  </si>
  <si>
    <t>Risco</t>
  </si>
  <si>
    <t>Porcentagem de recurso disponível para construção</t>
  </si>
  <si>
    <t>Ranqueamento TOPSIS invertido</t>
  </si>
  <si>
    <t xml:space="preserve">Projetos </t>
  </si>
  <si>
    <t>ci</t>
  </si>
  <si>
    <t>Para cálculo de pa ver planilha pontuações aumentadas.</t>
  </si>
  <si>
    <t>i</t>
  </si>
  <si>
    <t>Projeto R1</t>
  </si>
  <si>
    <t>Projeto R2</t>
  </si>
  <si>
    <t>-</t>
  </si>
  <si>
    <t>∑ xai</t>
  </si>
  <si>
    <t>∑ xbi</t>
  </si>
  <si>
    <t>∑ xci</t>
  </si>
  <si>
    <t>∑ xdi</t>
  </si>
  <si>
    <t>Direção de Preferência</t>
  </si>
  <si>
    <t>Pontuações aumentadas</t>
  </si>
  <si>
    <t>Pontuações aumentadas na ordem dos projetos</t>
  </si>
  <si>
    <t xml:space="preserve">Orçamento (C) </t>
  </si>
  <si>
    <t>Hora-arquiteto (H)</t>
  </si>
  <si>
    <t>Projeto R3</t>
  </si>
  <si>
    <t>xr1</t>
  </si>
  <si>
    <t>xr2</t>
  </si>
  <si>
    <t>xr3</t>
  </si>
  <si>
    <t>Valores dos projetos</t>
  </si>
  <si>
    <t>Notas:</t>
  </si>
  <si>
    <t>Projeto 15 possui outra fonte orçamentária para execução.</t>
  </si>
  <si>
    <t>Execução orçamentária ano de 2018 - Fonte planilha Relatório de Gestão 2018 (https://www.ufpe.br/proplan/relatorios-de-gestao) - página 100
R$ 1284822,72</t>
  </si>
  <si>
    <t>Projetos da Reitoria possui outra fonte orçamentária para execução. R$ 16.687.660,00</t>
  </si>
  <si>
    <t>Valor total considerando todas as fontes necessária para a execução. R$ 1.670.000,00</t>
  </si>
  <si>
    <t>Já possui recurso, não usará dinheiro do plano anual da Reitoria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</si>
</sst>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0.000"/>
    <numFmt numFmtId="166" formatCode="0.0000"/>
    <numFmt numFmtId="167" formatCode="0.0000000"/>
    <numFmt numFmtId="168" formatCode="0.00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0">
    <xf numFmtId="0" fontId="0" fillId="0" borderId="0" xfId="0"/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5" fillId="0" borderId="1" xfId="2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4" fontId="3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4" fontId="5" fillId="0" borderId="1" xfId="2" applyFont="1" applyBorder="1" applyAlignment="1">
      <alignment horizontal="center" vertical="center"/>
    </xf>
    <xf numFmtId="44" fontId="5" fillId="0" borderId="0" xfId="0" applyNumberFormat="1" applyFont="1" applyAlignment="1">
      <alignment horizontal="center"/>
    </xf>
    <xf numFmtId="44" fontId="5" fillId="0" borderId="0" xfId="2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9" fontId="11" fillId="0" borderId="1" xfId="1" applyFont="1" applyBorder="1" applyAlignment="1">
      <alignment horizontal="center" vertical="center"/>
    </xf>
    <xf numFmtId="44" fontId="11" fillId="0" borderId="1" xfId="2" applyFont="1" applyBorder="1" applyAlignment="1">
      <alignment horizontal="center" vertical="center"/>
    </xf>
    <xf numFmtId="44" fontId="11" fillId="0" borderId="1" xfId="2" applyFont="1" applyFill="1" applyBorder="1" applyAlignment="1">
      <alignment horizontal="center" vertical="center"/>
    </xf>
    <xf numFmtId="9" fontId="11" fillId="0" borderId="1" xfId="1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7" fontId="11" fillId="4" borderId="1" xfId="0" applyNumberFormat="1" applyFont="1" applyFill="1" applyBorder="1" applyAlignment="1">
      <alignment horizontal="center" vertical="center"/>
    </xf>
    <xf numFmtId="168" fontId="11" fillId="4" borderId="1" xfId="0" applyNumberFormat="1" applyFont="1" applyFill="1" applyBorder="1" applyAlignment="1">
      <alignment horizontal="center" vertical="center"/>
    </xf>
    <xf numFmtId="168" fontId="11" fillId="5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166" fontId="11" fillId="4" borderId="1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4" fontId="3" fillId="0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4" fontId="5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8" fontId="5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10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1" fillId="0" borderId="0" xfId="0" applyFont="1"/>
    <xf numFmtId="0" fontId="5" fillId="0" borderId="1" xfId="2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Alignment="1">
      <alignment horizontal="center"/>
    </xf>
    <xf numFmtId="44" fontId="3" fillId="6" borderId="1" xfId="2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44" fontId="11" fillId="0" borderId="0" xfId="0" applyNumberFormat="1" applyFont="1"/>
    <xf numFmtId="44" fontId="5" fillId="0" borderId="0" xfId="0" applyNumberFormat="1" applyFont="1" applyAlignment="1">
      <alignment horizontal="center"/>
    </xf>
    <xf numFmtId="8" fontId="5" fillId="0" borderId="0" xfId="0" applyNumberFormat="1" applyFont="1" applyAlignment="1">
      <alignment horizontal="center"/>
    </xf>
    <xf numFmtId="4" fontId="5" fillId="0" borderId="17" xfId="0" applyNumberFormat="1" applyFont="1" applyBorder="1" applyAlignment="1">
      <alignment vertical="center" wrapText="1"/>
    </xf>
    <xf numFmtId="44" fontId="5" fillId="0" borderId="0" xfId="0" applyNumberFormat="1" applyFont="1" applyAlignment="1">
      <alignment horizontal="center"/>
    </xf>
    <xf numFmtId="44" fontId="3" fillId="7" borderId="1" xfId="2" applyFont="1" applyFill="1" applyBorder="1" applyAlignment="1">
      <alignment horizontal="center" vertical="center"/>
    </xf>
    <xf numFmtId="0" fontId="11" fillId="0" borderId="17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4" fontId="5" fillId="0" borderId="0" xfId="0" applyNumberFormat="1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 textRotation="90"/>
    </xf>
    <xf numFmtId="0" fontId="11" fillId="2" borderId="4" xfId="0" applyFont="1" applyFill="1" applyBorder="1" applyAlignment="1">
      <alignment horizontal="center" vertical="center" textRotation="90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44" fontId="5" fillId="0" borderId="0" xfId="2" applyFont="1" applyAlignment="1">
      <alignment horizontal="center" vertical="center"/>
    </xf>
    <xf numFmtId="44" fontId="5" fillId="7" borderId="0" xfId="0" applyNumberFormat="1" applyFont="1" applyFill="1" applyBorder="1" applyAlignment="1">
      <alignment horizontal="center" vertical="center" wrapText="1"/>
    </xf>
    <xf numFmtId="44" fontId="5" fillId="0" borderId="0" xfId="0" applyNumberFormat="1" applyFont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349249</xdr:colOff>
      <xdr:row>0</xdr:row>
      <xdr:rowOff>76200</xdr:rowOff>
    </xdr:from>
    <xdr:to>
      <xdr:col>21</xdr:col>
      <xdr:colOff>94053</xdr:colOff>
      <xdr:row>27</xdr:row>
      <xdr:rowOff>122531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EDCC689-1C1D-460F-9D55-30E7D45CA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5968" y="76200"/>
          <a:ext cx="8567335" cy="5166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09F8-550F-47A1-9B75-65729A4B72C0}">
  <dimension ref="A1:X83"/>
  <sheetViews>
    <sheetView tabSelected="1" zoomScale="90" zoomScaleNormal="90" workbookViewId="0">
      <selection activeCell="A5" sqref="A5:A19"/>
    </sheetView>
  </sheetViews>
  <sheetFormatPr defaultColWidth="8.7109375" defaultRowHeight="12" x14ac:dyDescent="0.25"/>
  <cols>
    <col min="1" max="1" width="10.5703125" style="28" bestFit="1" customWidth="1"/>
    <col min="2" max="2" width="13.140625" style="28" customWidth="1"/>
    <col min="3" max="3" width="6.140625" style="28" bestFit="1" customWidth="1"/>
    <col min="4" max="4" width="10.7109375" style="28" customWidth="1"/>
    <col min="5" max="5" width="10.140625" style="28" customWidth="1"/>
    <col min="6" max="7" width="6.140625" style="28" customWidth="1"/>
    <col min="8" max="8" width="6.42578125" style="28" customWidth="1"/>
    <col min="9" max="9" width="6.7109375" style="28" customWidth="1"/>
    <col min="10" max="10" width="13.85546875" style="28" bestFit="1" customWidth="1"/>
    <col min="11" max="11" width="10.7109375" style="28" customWidth="1"/>
    <col min="12" max="14" width="8.7109375" style="28"/>
    <col min="15" max="15" width="2.85546875" style="28" bestFit="1" customWidth="1"/>
    <col min="16" max="16" width="48.7109375" style="28" bestFit="1" customWidth="1"/>
    <col min="17" max="18" width="8.7109375" style="28"/>
    <col min="19" max="19" width="2.85546875" style="28" bestFit="1" customWidth="1"/>
    <col min="20" max="20" width="9.140625" style="28" bestFit="1" customWidth="1"/>
    <col min="21" max="21" width="10.140625" style="28" bestFit="1" customWidth="1"/>
    <col min="22" max="22" width="9.85546875" style="28" bestFit="1" customWidth="1"/>
    <col min="23" max="16384" width="8.7109375" style="28"/>
  </cols>
  <sheetData>
    <row r="1" spans="1:24" ht="18" x14ac:dyDescent="0.25">
      <c r="A1" s="107" t="s">
        <v>48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T1" s="97" t="s">
        <v>61</v>
      </c>
      <c r="U1" s="97"/>
      <c r="V1" s="97"/>
      <c r="W1" s="97"/>
      <c r="X1" s="97"/>
    </row>
    <row r="2" spans="1:24" ht="12.75" thickBot="1" x14ac:dyDescent="0.3"/>
    <row r="3" spans="1:24" ht="15" customHeight="1" thickBot="1" x14ac:dyDescent="0.3">
      <c r="B3" s="29"/>
      <c r="C3" s="98" t="s">
        <v>0</v>
      </c>
      <c r="D3" s="99"/>
      <c r="E3" s="99"/>
      <c r="F3" s="99"/>
      <c r="G3" s="99"/>
      <c r="H3" s="99"/>
      <c r="I3" s="99"/>
      <c r="J3" s="100"/>
      <c r="O3" s="104" t="s">
        <v>36</v>
      </c>
      <c r="P3" s="105"/>
      <c r="Q3" s="106"/>
    </row>
    <row r="4" spans="1:24" ht="12.6" customHeight="1" thickBot="1" x14ac:dyDescent="0.3">
      <c r="A4" s="30"/>
      <c r="B4" s="31"/>
      <c r="C4" s="32" t="s">
        <v>1</v>
      </c>
      <c r="D4" s="32" t="s">
        <v>2</v>
      </c>
      <c r="E4" s="32" t="s">
        <v>3</v>
      </c>
      <c r="F4" s="32" t="s">
        <v>4</v>
      </c>
      <c r="G4" s="32" t="s">
        <v>5</v>
      </c>
      <c r="H4" s="32" t="s">
        <v>6</v>
      </c>
      <c r="I4" s="33" t="s">
        <v>14</v>
      </c>
      <c r="J4" s="33" t="s">
        <v>15</v>
      </c>
      <c r="O4" s="108" t="s">
        <v>0</v>
      </c>
      <c r="P4" s="109"/>
      <c r="Q4" s="34" t="s">
        <v>18</v>
      </c>
      <c r="U4" s="35" t="s">
        <v>62</v>
      </c>
      <c r="V4" s="35" t="s">
        <v>63</v>
      </c>
      <c r="W4" s="35" t="s">
        <v>64</v>
      </c>
      <c r="X4" s="35" t="s">
        <v>65</v>
      </c>
    </row>
    <row r="5" spans="1:24" ht="12.6" customHeight="1" thickBot="1" x14ac:dyDescent="0.3">
      <c r="A5" s="101" t="s">
        <v>7</v>
      </c>
      <c r="B5" s="33" t="s">
        <v>8</v>
      </c>
      <c r="C5" s="35">
        <v>3</v>
      </c>
      <c r="D5" s="35">
        <v>1</v>
      </c>
      <c r="E5" s="35">
        <v>1</v>
      </c>
      <c r="F5" s="35">
        <v>1</v>
      </c>
      <c r="G5" s="36">
        <v>0</v>
      </c>
      <c r="H5" s="35">
        <f>X5</f>
        <v>18</v>
      </c>
      <c r="I5" s="35">
        <v>120</v>
      </c>
      <c r="J5" s="37">
        <v>10000</v>
      </c>
      <c r="O5" s="35" t="s">
        <v>1</v>
      </c>
      <c r="P5" s="9" t="s">
        <v>43</v>
      </c>
      <c r="Q5" s="7" t="s">
        <v>41</v>
      </c>
      <c r="T5" s="33" t="s">
        <v>8</v>
      </c>
      <c r="U5" s="35">
        <v>2</v>
      </c>
      <c r="V5" s="35">
        <v>3</v>
      </c>
      <c r="W5" s="35">
        <v>3</v>
      </c>
      <c r="X5" s="35">
        <f>U5*V5*W5</f>
        <v>18</v>
      </c>
    </row>
    <row r="6" spans="1:24" ht="12.6" customHeight="1" thickBot="1" x14ac:dyDescent="0.3">
      <c r="A6" s="102"/>
      <c r="B6" s="33" t="s">
        <v>9</v>
      </c>
      <c r="C6" s="35">
        <v>3</v>
      </c>
      <c r="D6" s="35">
        <v>3</v>
      </c>
      <c r="E6" s="35">
        <v>3</v>
      </c>
      <c r="F6" s="35">
        <v>1</v>
      </c>
      <c r="G6" s="36">
        <v>0</v>
      </c>
      <c r="H6" s="35">
        <f t="shared" ref="H6:H14" si="0">X6</f>
        <v>27</v>
      </c>
      <c r="I6" s="35">
        <v>365</v>
      </c>
      <c r="J6" s="37">
        <v>90000</v>
      </c>
      <c r="O6" s="35" t="s">
        <v>2</v>
      </c>
      <c r="P6" s="9" t="s">
        <v>44</v>
      </c>
      <c r="Q6" s="7" t="s">
        <v>41</v>
      </c>
      <c r="T6" s="33" t="s">
        <v>9</v>
      </c>
      <c r="U6" s="35">
        <v>3</v>
      </c>
      <c r="V6" s="35">
        <v>3</v>
      </c>
      <c r="W6" s="35">
        <v>3</v>
      </c>
      <c r="X6" s="35">
        <f t="shared" ref="X6:X19" si="1">U6*V6*W6</f>
        <v>27</v>
      </c>
    </row>
    <row r="7" spans="1:24" ht="12.6" customHeight="1" thickBot="1" x14ac:dyDescent="0.3">
      <c r="A7" s="102"/>
      <c r="B7" s="33" t="s">
        <v>10</v>
      </c>
      <c r="C7" s="35">
        <v>4</v>
      </c>
      <c r="D7" s="35">
        <v>3</v>
      </c>
      <c r="E7" s="35">
        <v>3</v>
      </c>
      <c r="F7" s="35">
        <v>1</v>
      </c>
      <c r="G7" s="36">
        <v>0</v>
      </c>
      <c r="H7" s="35">
        <f t="shared" si="0"/>
        <v>27</v>
      </c>
      <c r="I7" s="35">
        <v>120</v>
      </c>
      <c r="J7" s="37">
        <v>30000</v>
      </c>
      <c r="O7" s="35" t="s">
        <v>3</v>
      </c>
      <c r="P7" s="9" t="s">
        <v>45</v>
      </c>
      <c r="Q7" s="7" t="s">
        <v>41</v>
      </c>
      <c r="T7" s="33" t="s">
        <v>10</v>
      </c>
      <c r="U7" s="35">
        <v>3</v>
      </c>
      <c r="V7" s="35">
        <v>3</v>
      </c>
      <c r="W7" s="35">
        <v>3</v>
      </c>
      <c r="X7" s="35">
        <f t="shared" si="1"/>
        <v>27</v>
      </c>
    </row>
    <row r="8" spans="1:24" ht="12.6" customHeight="1" thickBot="1" x14ac:dyDescent="0.3">
      <c r="A8" s="102"/>
      <c r="B8" s="33" t="s">
        <v>11</v>
      </c>
      <c r="C8" s="35">
        <v>2</v>
      </c>
      <c r="D8" s="35">
        <v>4</v>
      </c>
      <c r="E8" s="35">
        <v>1</v>
      </c>
      <c r="F8" s="35">
        <v>1</v>
      </c>
      <c r="G8" s="36">
        <v>0</v>
      </c>
      <c r="H8" s="35">
        <f t="shared" si="0"/>
        <v>24</v>
      </c>
      <c r="I8" s="35">
        <v>200</v>
      </c>
      <c r="J8" s="37">
        <v>35000</v>
      </c>
      <c r="O8" s="35" t="s">
        <v>4</v>
      </c>
      <c r="P8" s="9" t="s">
        <v>39</v>
      </c>
      <c r="Q8" s="7" t="s">
        <v>41</v>
      </c>
      <c r="T8" s="33" t="s">
        <v>11</v>
      </c>
      <c r="U8" s="35">
        <v>3</v>
      </c>
      <c r="V8" s="35">
        <v>4</v>
      </c>
      <c r="W8" s="35">
        <v>2</v>
      </c>
      <c r="X8" s="35">
        <f t="shared" si="1"/>
        <v>24</v>
      </c>
    </row>
    <row r="9" spans="1:24" ht="12.6" customHeight="1" thickBot="1" x14ac:dyDescent="0.3">
      <c r="A9" s="102"/>
      <c r="B9" s="33" t="s">
        <v>12</v>
      </c>
      <c r="C9" s="35">
        <v>2</v>
      </c>
      <c r="D9" s="35">
        <v>4</v>
      </c>
      <c r="E9" s="35">
        <v>1</v>
      </c>
      <c r="F9" s="35">
        <v>1</v>
      </c>
      <c r="G9" s="36">
        <v>0</v>
      </c>
      <c r="H9" s="35">
        <f t="shared" si="0"/>
        <v>24</v>
      </c>
      <c r="I9" s="35">
        <v>200</v>
      </c>
      <c r="J9" s="37">
        <v>40000</v>
      </c>
      <c r="O9" s="35" t="s">
        <v>5</v>
      </c>
      <c r="P9" s="9" t="s">
        <v>66</v>
      </c>
      <c r="Q9" s="7" t="s">
        <v>41</v>
      </c>
      <c r="T9" s="33" t="s">
        <v>12</v>
      </c>
      <c r="U9" s="35">
        <v>2</v>
      </c>
      <c r="V9" s="35">
        <v>4</v>
      </c>
      <c r="W9" s="35">
        <v>3</v>
      </c>
      <c r="X9" s="35">
        <f t="shared" si="1"/>
        <v>24</v>
      </c>
    </row>
    <row r="10" spans="1:24" ht="15" customHeight="1" thickBot="1" x14ac:dyDescent="0.3">
      <c r="A10" s="102"/>
      <c r="B10" s="33" t="s">
        <v>13</v>
      </c>
      <c r="C10" s="35">
        <v>5</v>
      </c>
      <c r="D10" s="35">
        <v>3</v>
      </c>
      <c r="E10" s="35">
        <v>2</v>
      </c>
      <c r="F10" s="35">
        <v>1</v>
      </c>
      <c r="G10" s="36">
        <v>0</v>
      </c>
      <c r="H10" s="35">
        <f t="shared" si="0"/>
        <v>27</v>
      </c>
      <c r="I10" s="35">
        <v>120</v>
      </c>
      <c r="J10" s="37">
        <v>90000</v>
      </c>
      <c r="O10" s="35" t="s">
        <v>6</v>
      </c>
      <c r="P10" s="9" t="s">
        <v>46</v>
      </c>
      <c r="Q10" s="7" t="s">
        <v>42</v>
      </c>
      <c r="T10" s="33" t="s">
        <v>13</v>
      </c>
      <c r="U10" s="35">
        <v>3</v>
      </c>
      <c r="V10" s="35">
        <v>3</v>
      </c>
      <c r="W10" s="35">
        <v>3</v>
      </c>
      <c r="X10" s="35">
        <f t="shared" si="1"/>
        <v>27</v>
      </c>
    </row>
    <row r="11" spans="1:24" ht="12.6" customHeight="1" thickBot="1" x14ac:dyDescent="0.3">
      <c r="A11" s="102"/>
      <c r="B11" s="33" t="s">
        <v>37</v>
      </c>
      <c r="C11" s="35">
        <v>3</v>
      </c>
      <c r="D11" s="35">
        <v>1</v>
      </c>
      <c r="E11" s="35">
        <v>1</v>
      </c>
      <c r="F11" s="35">
        <v>1</v>
      </c>
      <c r="G11" s="36">
        <v>0</v>
      </c>
      <c r="H11" s="35">
        <f t="shared" si="0"/>
        <v>3</v>
      </c>
      <c r="I11" s="35">
        <v>400</v>
      </c>
      <c r="J11" s="37">
        <v>20000</v>
      </c>
      <c r="O11" s="35" t="s">
        <v>14</v>
      </c>
      <c r="P11" s="9" t="s">
        <v>40</v>
      </c>
      <c r="Q11" s="7" t="s">
        <v>42</v>
      </c>
      <c r="T11" s="33" t="s">
        <v>37</v>
      </c>
      <c r="U11" s="35">
        <v>1</v>
      </c>
      <c r="V11" s="35">
        <v>1</v>
      </c>
      <c r="W11" s="35">
        <v>3</v>
      </c>
      <c r="X11" s="35">
        <f t="shared" si="1"/>
        <v>3</v>
      </c>
    </row>
    <row r="12" spans="1:24" ht="15" customHeight="1" thickBot="1" x14ac:dyDescent="0.3">
      <c r="A12" s="102"/>
      <c r="B12" s="33" t="s">
        <v>38</v>
      </c>
      <c r="C12" s="35">
        <v>3</v>
      </c>
      <c r="D12" s="35">
        <v>4</v>
      </c>
      <c r="E12" s="35">
        <v>3</v>
      </c>
      <c r="F12" s="35">
        <v>1</v>
      </c>
      <c r="G12" s="36">
        <v>0</v>
      </c>
      <c r="H12" s="35">
        <f t="shared" si="0"/>
        <v>27</v>
      </c>
      <c r="I12" s="35">
        <v>120</v>
      </c>
      <c r="J12" s="37">
        <v>20000</v>
      </c>
      <c r="O12" s="35" t="s">
        <v>15</v>
      </c>
      <c r="P12" s="9" t="s">
        <v>47</v>
      </c>
      <c r="Q12" s="9" t="s">
        <v>42</v>
      </c>
      <c r="T12" s="33" t="s">
        <v>38</v>
      </c>
      <c r="U12" s="35">
        <v>3</v>
      </c>
      <c r="V12" s="35">
        <v>3</v>
      </c>
      <c r="W12" s="35">
        <v>3</v>
      </c>
      <c r="X12" s="35">
        <f t="shared" si="1"/>
        <v>27</v>
      </c>
    </row>
    <row r="13" spans="1:24" ht="15" customHeight="1" thickBot="1" x14ac:dyDescent="0.3">
      <c r="A13" s="102"/>
      <c r="B13" s="33" t="s">
        <v>49</v>
      </c>
      <c r="C13" s="35">
        <v>3</v>
      </c>
      <c r="D13" s="35">
        <v>1</v>
      </c>
      <c r="E13" s="35">
        <v>1</v>
      </c>
      <c r="F13" s="35">
        <v>1</v>
      </c>
      <c r="G13" s="36">
        <v>0</v>
      </c>
      <c r="H13" s="35">
        <f t="shared" si="0"/>
        <v>27</v>
      </c>
      <c r="I13" s="35">
        <v>420</v>
      </c>
      <c r="J13" s="38">
        <v>80000</v>
      </c>
      <c r="P13" s="28" t="s">
        <v>33</v>
      </c>
      <c r="T13" s="33" t="s">
        <v>49</v>
      </c>
      <c r="U13" s="35">
        <v>3</v>
      </c>
      <c r="V13" s="35">
        <v>3</v>
      </c>
      <c r="W13" s="35">
        <v>3</v>
      </c>
      <c r="X13" s="35">
        <f t="shared" si="1"/>
        <v>27</v>
      </c>
    </row>
    <row r="14" spans="1:24" ht="15" customHeight="1" thickBot="1" x14ac:dyDescent="0.3">
      <c r="A14" s="102"/>
      <c r="B14" s="33" t="s">
        <v>50</v>
      </c>
      <c r="C14" s="35">
        <v>2</v>
      </c>
      <c r="D14" s="35">
        <v>1</v>
      </c>
      <c r="E14" s="35">
        <v>1</v>
      </c>
      <c r="F14" s="35">
        <v>1</v>
      </c>
      <c r="G14" s="36">
        <v>0</v>
      </c>
      <c r="H14" s="35">
        <f t="shared" si="0"/>
        <v>27</v>
      </c>
      <c r="I14" s="35">
        <v>120</v>
      </c>
      <c r="J14" s="38">
        <v>60000</v>
      </c>
      <c r="T14" s="33" t="s">
        <v>50</v>
      </c>
      <c r="U14" s="35">
        <v>3</v>
      </c>
      <c r="V14" s="35">
        <v>3</v>
      </c>
      <c r="W14" s="35">
        <v>3</v>
      </c>
      <c r="X14" s="35">
        <f t="shared" si="1"/>
        <v>27</v>
      </c>
    </row>
    <row r="15" spans="1:24" ht="15" customHeight="1" thickBot="1" x14ac:dyDescent="0.3">
      <c r="A15" s="102"/>
      <c r="B15" s="33" t="s">
        <v>51</v>
      </c>
      <c r="C15" s="35">
        <v>1</v>
      </c>
      <c r="D15" s="35">
        <v>1</v>
      </c>
      <c r="E15" s="35">
        <v>1</v>
      </c>
      <c r="F15" s="35">
        <v>1</v>
      </c>
      <c r="G15" s="36">
        <v>0</v>
      </c>
      <c r="H15" s="35">
        <f>X15</f>
        <v>27</v>
      </c>
      <c r="I15" s="35">
        <v>120</v>
      </c>
      <c r="J15" s="38">
        <v>70000</v>
      </c>
      <c r="T15" s="33" t="s">
        <v>51</v>
      </c>
      <c r="U15" s="35">
        <v>3</v>
      </c>
      <c r="V15" s="35">
        <v>3</v>
      </c>
      <c r="W15" s="35">
        <v>3</v>
      </c>
      <c r="X15" s="35">
        <f t="shared" si="1"/>
        <v>27</v>
      </c>
    </row>
    <row r="16" spans="1:24" ht="15" customHeight="1" thickBot="1" x14ac:dyDescent="0.3">
      <c r="A16" s="102"/>
      <c r="B16" s="33" t="s">
        <v>52</v>
      </c>
      <c r="C16" s="35">
        <v>2</v>
      </c>
      <c r="D16" s="35">
        <v>3</v>
      </c>
      <c r="E16" s="35">
        <v>1</v>
      </c>
      <c r="F16" s="35">
        <v>1</v>
      </c>
      <c r="G16" s="36">
        <v>0</v>
      </c>
      <c r="H16" s="35">
        <f>X16</f>
        <v>8</v>
      </c>
      <c r="I16" s="35">
        <v>150</v>
      </c>
      <c r="J16" s="38">
        <v>45000</v>
      </c>
      <c r="T16" s="33" t="s">
        <v>52</v>
      </c>
      <c r="U16" s="35">
        <v>2</v>
      </c>
      <c r="V16" s="35">
        <v>2</v>
      </c>
      <c r="W16" s="35">
        <v>2</v>
      </c>
      <c r="X16" s="35">
        <f t="shared" si="1"/>
        <v>8</v>
      </c>
    </row>
    <row r="17" spans="1:24" ht="15" customHeight="1" thickBot="1" x14ac:dyDescent="0.3">
      <c r="A17" s="102"/>
      <c r="B17" s="33" t="s">
        <v>53</v>
      </c>
      <c r="C17" s="35">
        <v>5</v>
      </c>
      <c r="D17" s="35">
        <v>5</v>
      </c>
      <c r="E17" s="35">
        <v>3</v>
      </c>
      <c r="F17" s="35">
        <v>1</v>
      </c>
      <c r="G17" s="36">
        <v>0</v>
      </c>
      <c r="H17" s="35">
        <f>X17</f>
        <v>48</v>
      </c>
      <c r="I17" s="35">
        <v>200</v>
      </c>
      <c r="J17" s="38">
        <v>80000</v>
      </c>
      <c r="K17" s="91"/>
      <c r="L17" s="92"/>
      <c r="M17" s="92"/>
      <c r="N17" s="92"/>
      <c r="O17" s="95"/>
      <c r="T17" s="33" t="s">
        <v>53</v>
      </c>
      <c r="U17" s="35">
        <v>4</v>
      </c>
      <c r="V17" s="35">
        <v>4</v>
      </c>
      <c r="W17" s="35">
        <v>3</v>
      </c>
      <c r="X17" s="35">
        <f t="shared" si="1"/>
        <v>48</v>
      </c>
    </row>
    <row r="18" spans="1:24" ht="12.6" customHeight="1" thickBot="1" x14ac:dyDescent="0.3">
      <c r="A18" s="102"/>
      <c r="B18" s="33" t="s">
        <v>54</v>
      </c>
      <c r="C18" s="35">
        <v>3</v>
      </c>
      <c r="D18" s="35">
        <v>3</v>
      </c>
      <c r="E18" s="35">
        <v>3</v>
      </c>
      <c r="F18" s="35">
        <v>1</v>
      </c>
      <c r="G18" s="36">
        <v>0</v>
      </c>
      <c r="H18" s="35">
        <f>X18</f>
        <v>36</v>
      </c>
      <c r="I18" s="35">
        <v>120</v>
      </c>
      <c r="J18" s="38">
        <v>50000</v>
      </c>
      <c r="K18" s="91"/>
      <c r="L18" s="92"/>
      <c r="M18" s="92"/>
      <c r="N18" s="92"/>
      <c r="O18" s="95"/>
      <c r="T18" s="33" t="s">
        <v>54</v>
      </c>
      <c r="U18" s="35">
        <v>3</v>
      </c>
      <c r="V18" s="35">
        <v>3</v>
      </c>
      <c r="W18" s="35">
        <v>4</v>
      </c>
      <c r="X18" s="35">
        <f t="shared" si="1"/>
        <v>36</v>
      </c>
    </row>
    <row r="19" spans="1:24" ht="15" customHeight="1" thickBot="1" x14ac:dyDescent="0.3">
      <c r="A19" s="103"/>
      <c r="B19" s="33" t="s">
        <v>55</v>
      </c>
      <c r="C19" s="35">
        <v>5</v>
      </c>
      <c r="D19" s="35">
        <v>3</v>
      </c>
      <c r="E19" s="35">
        <v>2</v>
      </c>
      <c r="F19" s="35">
        <v>1</v>
      </c>
      <c r="G19" s="39">
        <v>1</v>
      </c>
      <c r="H19" s="35">
        <f>X19</f>
        <v>125</v>
      </c>
      <c r="I19" s="35">
        <v>120</v>
      </c>
      <c r="J19" s="38">
        <v>200000</v>
      </c>
      <c r="K19" s="91"/>
      <c r="L19" s="92"/>
      <c r="M19" s="92"/>
      <c r="N19" s="92"/>
      <c r="O19" s="95"/>
      <c r="T19" s="33" t="s">
        <v>55</v>
      </c>
      <c r="U19" s="35">
        <v>5</v>
      </c>
      <c r="V19" s="35">
        <v>5</v>
      </c>
      <c r="W19" s="35">
        <v>5</v>
      </c>
      <c r="X19" s="35">
        <f t="shared" si="1"/>
        <v>125</v>
      </c>
    </row>
    <row r="20" spans="1:24" ht="12.75" thickBot="1" x14ac:dyDescent="0.3">
      <c r="A20" s="98" t="s">
        <v>16</v>
      </c>
      <c r="B20" s="100"/>
      <c r="C20" s="35">
        <f t="shared" ref="C20:J20" si="2">SQRT(SUMSQ(C5:C19))</f>
        <v>12.727922061357855</v>
      </c>
      <c r="D20" s="35">
        <f t="shared" si="2"/>
        <v>11.489125293076057</v>
      </c>
      <c r="E20" s="35">
        <f t="shared" si="2"/>
        <v>7.810249675906654</v>
      </c>
      <c r="F20" s="35">
        <f t="shared" si="2"/>
        <v>3.872983346207417</v>
      </c>
      <c r="G20" s="35">
        <f t="shared" si="2"/>
        <v>1</v>
      </c>
      <c r="H20" s="35">
        <f t="shared" si="2"/>
        <v>160.86329600005092</v>
      </c>
      <c r="I20" s="35">
        <f t="shared" si="2"/>
        <v>852.83351247473854</v>
      </c>
      <c r="J20" s="35">
        <f t="shared" si="2"/>
        <v>294363.72059070051</v>
      </c>
      <c r="K20" s="91"/>
      <c r="L20" s="92"/>
      <c r="M20" s="92"/>
      <c r="N20" s="92"/>
      <c r="O20" s="95"/>
    </row>
    <row r="21" spans="1:24" ht="12.6" customHeight="1" thickBot="1" x14ac:dyDescent="0.3">
      <c r="A21" s="98" t="s">
        <v>17</v>
      </c>
      <c r="B21" s="100"/>
      <c r="C21" s="40">
        <f t="shared" ref="C21:J21" si="3">1/8</f>
        <v>0.125</v>
      </c>
      <c r="D21" s="40">
        <f t="shared" si="3"/>
        <v>0.125</v>
      </c>
      <c r="E21" s="40">
        <f t="shared" si="3"/>
        <v>0.125</v>
      </c>
      <c r="F21" s="40">
        <f t="shared" si="3"/>
        <v>0.125</v>
      </c>
      <c r="G21" s="40">
        <f t="shared" si="3"/>
        <v>0.125</v>
      </c>
      <c r="H21" s="40">
        <f t="shared" si="3"/>
        <v>0.125</v>
      </c>
      <c r="I21" s="40">
        <f t="shared" si="3"/>
        <v>0.125</v>
      </c>
      <c r="J21" s="40">
        <f t="shared" si="3"/>
        <v>0.125</v>
      </c>
    </row>
    <row r="22" spans="1:24" ht="12.6" customHeight="1" thickBot="1" x14ac:dyDescent="0.3">
      <c r="A22" s="98" t="s">
        <v>79</v>
      </c>
      <c r="B22" s="100"/>
      <c r="C22" s="104" t="s">
        <v>19</v>
      </c>
      <c r="D22" s="105"/>
      <c r="E22" s="105"/>
      <c r="F22" s="105"/>
      <c r="G22" s="106"/>
      <c r="H22" s="104" t="s">
        <v>20</v>
      </c>
      <c r="I22" s="105"/>
      <c r="J22" s="106"/>
    </row>
    <row r="23" spans="1:24" ht="12.6" customHeight="1" x14ac:dyDescent="0.25"/>
    <row r="24" spans="1:24" ht="12.6" customHeight="1" x14ac:dyDescent="0.25"/>
    <row r="25" spans="1:24" ht="12.6" customHeight="1" thickBot="1" x14ac:dyDescent="0.3"/>
    <row r="26" spans="1:24" ht="12.6" customHeight="1" thickBot="1" x14ac:dyDescent="0.3">
      <c r="B26" s="29"/>
      <c r="C26" s="98" t="s">
        <v>0</v>
      </c>
      <c r="D26" s="99"/>
      <c r="E26" s="99"/>
      <c r="F26" s="99"/>
      <c r="G26" s="99"/>
      <c r="H26" s="99"/>
      <c r="I26" s="99"/>
      <c r="J26" s="100"/>
    </row>
    <row r="27" spans="1:24" ht="15" customHeight="1" thickBot="1" x14ac:dyDescent="0.3">
      <c r="B27" s="31"/>
      <c r="C27" s="32" t="s">
        <v>1</v>
      </c>
      <c r="D27" s="32" t="s">
        <v>2</v>
      </c>
      <c r="E27" s="32" t="s">
        <v>3</v>
      </c>
      <c r="F27" s="32" t="s">
        <v>4</v>
      </c>
      <c r="G27" s="32" t="s">
        <v>5</v>
      </c>
      <c r="H27" s="32" t="s">
        <v>6</v>
      </c>
      <c r="I27" s="33" t="s">
        <v>14</v>
      </c>
      <c r="J27" s="33" t="s">
        <v>15</v>
      </c>
      <c r="K27" s="41" t="s">
        <v>21</v>
      </c>
      <c r="L27" s="41" t="s">
        <v>22</v>
      </c>
      <c r="M27" s="42" t="s">
        <v>4</v>
      </c>
    </row>
    <row r="28" spans="1:24" ht="12.6" customHeight="1" thickBot="1" x14ac:dyDescent="0.3">
      <c r="A28" s="101" t="s">
        <v>7</v>
      </c>
      <c r="B28" s="33" t="s">
        <v>8</v>
      </c>
      <c r="C28" s="44">
        <f>(C5/$C$20)*$C$21</f>
        <v>2.946278254943948E-2</v>
      </c>
      <c r="D28" s="43">
        <f>(D5/$D$20)*$D$21</f>
        <v>1.0879853497231116E-2</v>
      </c>
      <c r="E28" s="35">
        <f>(E5/$E$20)*$E$21</f>
        <v>1.6004609991611997E-2</v>
      </c>
      <c r="F28" s="43">
        <f>(F5/$F$20)*$F$21</f>
        <v>3.2274861218395137E-2</v>
      </c>
      <c r="G28" s="43">
        <f>(G5/$G$20)*$G$21</f>
        <v>0</v>
      </c>
      <c r="H28" s="43">
        <f>(H5/$H$20)*$H$21</f>
        <v>1.3987031572443274E-2</v>
      </c>
      <c r="I28" s="44">
        <f>(I5/$I$20)*$I$21</f>
        <v>1.7588427026598945E-2</v>
      </c>
      <c r="J28" s="44">
        <f>(J5/$J$20)*$J$21</f>
        <v>4.2464472099062395E-3</v>
      </c>
      <c r="K28" s="45">
        <f t="shared" ref="K28:K42" si="4">SQRT((C28-$C$43)^2+(D28-$D$43)^2+(E28-$E$43)^2+(F28-$F$43)^2+(G28-$G$43)^2+(H28-$H$43)^2+(I28-$I$43)^2+(J28-$J$43)^2)</f>
        <v>0.13807675796832472</v>
      </c>
      <c r="L28" s="46">
        <f t="shared" ref="L28:L42" si="5">SQRT((C28-$C$44)^2+(D28-$D$44)^2+(E28-$E$44)^2+(F28-$F$44)^2+(G28-$G$44)^2+(H28-$H$44)^2+(I28-$I$44)^2+(J28-$J$44)^2)</f>
        <v>0.12546726891274909</v>
      </c>
      <c r="M28" s="47">
        <f>L28/(L28+K28)</f>
        <v>0.47607707295664542</v>
      </c>
    </row>
    <row r="29" spans="1:24" ht="12.6" customHeight="1" thickBot="1" x14ac:dyDescent="0.3">
      <c r="A29" s="102"/>
      <c r="B29" s="33" t="s">
        <v>9</v>
      </c>
      <c r="C29" s="44">
        <f t="shared" ref="C29:C42" si="6">(C6/$C$20)*$C$21</f>
        <v>2.946278254943948E-2</v>
      </c>
      <c r="D29" s="43">
        <f t="shared" ref="D29:D42" si="7">(D6/$D$20)*$D$21</f>
        <v>3.2639560491693344E-2</v>
      </c>
      <c r="E29" s="35">
        <f t="shared" ref="E29:E42" si="8">(E6/$E$20)*$E$21</f>
        <v>4.8013829974835991E-2</v>
      </c>
      <c r="F29" s="43">
        <f t="shared" ref="F29:F42" si="9">(F6/$F$20)*$F$21</f>
        <v>3.2274861218395137E-2</v>
      </c>
      <c r="G29" s="43">
        <f t="shared" ref="G29:G42" si="10">(G6/$G$20)*$G$21</f>
        <v>0</v>
      </c>
      <c r="H29" s="43">
        <f t="shared" ref="H29:H42" si="11">(H6/$H$20)*$H$21</f>
        <v>2.0980547358664909E-2</v>
      </c>
      <c r="I29" s="44">
        <f t="shared" ref="I29:I42" si="12">(I6/$I$20)*$I$21</f>
        <v>5.3498132205905123E-2</v>
      </c>
      <c r="J29" s="44">
        <f t="shared" ref="J29:J42" si="13">(J6/$J$20)*$J$21</f>
        <v>3.8218024889156155E-2</v>
      </c>
      <c r="K29" s="45">
        <f t="shared" si="4"/>
        <v>0.13883681621828167</v>
      </c>
      <c r="L29" s="46">
        <f t="shared" si="5"/>
        <v>9.9648591052770408E-2</v>
      </c>
      <c r="M29" s="47">
        <f t="shared" ref="M29:M42" si="14">L29/(L29+K29)</f>
        <v>0.41783936465141525</v>
      </c>
    </row>
    <row r="30" spans="1:24" ht="12.6" customHeight="1" thickBot="1" x14ac:dyDescent="0.3">
      <c r="A30" s="102"/>
      <c r="B30" s="33" t="s">
        <v>10</v>
      </c>
      <c r="C30" s="44">
        <f t="shared" si="6"/>
        <v>3.9283710065919304E-2</v>
      </c>
      <c r="D30" s="43">
        <f t="shared" si="7"/>
        <v>3.2639560491693344E-2</v>
      </c>
      <c r="E30" s="35">
        <f t="shared" si="8"/>
        <v>4.8013829974835991E-2</v>
      </c>
      <c r="F30" s="43">
        <f t="shared" si="9"/>
        <v>3.2274861218395137E-2</v>
      </c>
      <c r="G30" s="43">
        <f t="shared" si="10"/>
        <v>0</v>
      </c>
      <c r="H30" s="43">
        <f t="shared" si="11"/>
        <v>2.0980547358664909E-2</v>
      </c>
      <c r="I30" s="44">
        <f t="shared" si="12"/>
        <v>1.7588427026598945E-2</v>
      </c>
      <c r="J30" s="44">
        <f t="shared" si="13"/>
        <v>1.2739341629718718E-2</v>
      </c>
      <c r="K30" s="45">
        <f t="shared" si="4"/>
        <v>0.12889865757765342</v>
      </c>
      <c r="L30" s="46">
        <f t="shared" si="5"/>
        <v>0.12373355543633799</v>
      </c>
      <c r="M30" s="47">
        <f t="shared" si="14"/>
        <v>0.48977742766907284</v>
      </c>
    </row>
    <row r="31" spans="1:24" ht="15" customHeight="1" thickBot="1" x14ac:dyDescent="0.3">
      <c r="A31" s="102"/>
      <c r="B31" s="33" t="s">
        <v>11</v>
      </c>
      <c r="C31" s="44">
        <f t="shared" si="6"/>
        <v>1.9641855032959652E-2</v>
      </c>
      <c r="D31" s="43">
        <f t="shared" si="7"/>
        <v>4.3519413988924463E-2</v>
      </c>
      <c r="E31" s="35">
        <f t="shared" si="8"/>
        <v>1.6004609991611997E-2</v>
      </c>
      <c r="F31" s="43">
        <f t="shared" si="9"/>
        <v>3.2274861218395137E-2</v>
      </c>
      <c r="G31" s="43">
        <f t="shared" si="10"/>
        <v>0</v>
      </c>
      <c r="H31" s="43">
        <f t="shared" si="11"/>
        <v>1.8649375429924366E-2</v>
      </c>
      <c r="I31" s="44">
        <f t="shared" si="12"/>
        <v>2.9314045044331577E-2</v>
      </c>
      <c r="J31" s="44">
        <f t="shared" si="13"/>
        <v>1.4862565234671837E-2</v>
      </c>
      <c r="K31" s="45">
        <f t="shared" si="4"/>
        <v>0.13473118709835066</v>
      </c>
      <c r="L31" s="46">
        <f t="shared" si="5"/>
        <v>0.11519724848399665</v>
      </c>
      <c r="M31" s="47">
        <f t="shared" si="14"/>
        <v>0.46092093608948731</v>
      </c>
    </row>
    <row r="32" spans="1:24" ht="15" customHeight="1" thickBot="1" x14ac:dyDescent="0.3">
      <c r="A32" s="102"/>
      <c r="B32" s="33" t="s">
        <v>12</v>
      </c>
      <c r="C32" s="44">
        <f t="shared" si="6"/>
        <v>1.9641855032959652E-2</v>
      </c>
      <c r="D32" s="43">
        <f t="shared" si="7"/>
        <v>4.3519413988924463E-2</v>
      </c>
      <c r="E32" s="35">
        <f t="shared" si="8"/>
        <v>1.6004609991611997E-2</v>
      </c>
      <c r="F32" s="43">
        <f t="shared" si="9"/>
        <v>3.2274861218395137E-2</v>
      </c>
      <c r="G32" s="43">
        <f t="shared" si="10"/>
        <v>0</v>
      </c>
      <c r="H32" s="43">
        <f t="shared" si="11"/>
        <v>1.8649375429924366E-2</v>
      </c>
      <c r="I32" s="44">
        <f t="shared" si="12"/>
        <v>2.9314045044331577E-2</v>
      </c>
      <c r="J32" s="44">
        <f t="shared" si="13"/>
        <v>1.6985788839624958E-2</v>
      </c>
      <c r="K32" s="45">
        <f t="shared" si="4"/>
        <v>0.13491509048351003</v>
      </c>
      <c r="L32" s="46">
        <f t="shared" si="5"/>
        <v>0.11391830826211699</v>
      </c>
      <c r="M32" s="47">
        <f t="shared" si="14"/>
        <v>0.45780955786635125</v>
      </c>
    </row>
    <row r="33" spans="1:13" ht="15" customHeight="1" thickBot="1" x14ac:dyDescent="0.3">
      <c r="A33" s="102"/>
      <c r="B33" s="33" t="s">
        <v>13</v>
      </c>
      <c r="C33" s="44">
        <f t="shared" si="6"/>
        <v>4.9104637582399135E-2</v>
      </c>
      <c r="D33" s="43">
        <f t="shared" si="7"/>
        <v>3.2639560491693344E-2</v>
      </c>
      <c r="E33" s="35">
        <f t="shared" si="8"/>
        <v>3.2009219983223994E-2</v>
      </c>
      <c r="F33" s="43">
        <f t="shared" si="9"/>
        <v>3.2274861218395137E-2</v>
      </c>
      <c r="G33" s="43">
        <f t="shared" si="10"/>
        <v>0</v>
      </c>
      <c r="H33" s="43">
        <f t="shared" si="11"/>
        <v>2.0980547358664909E-2</v>
      </c>
      <c r="I33" s="44">
        <f t="shared" si="12"/>
        <v>1.7588427026598945E-2</v>
      </c>
      <c r="J33" s="44">
        <f t="shared" si="13"/>
        <v>3.8218024889156155E-2</v>
      </c>
      <c r="K33" s="45">
        <f t="shared" si="4"/>
        <v>0.1336282143988014</v>
      </c>
      <c r="L33" s="46">
        <f t="shared" si="5"/>
        <v>0.11039599495751065</v>
      </c>
      <c r="M33" s="47">
        <f t="shared" si="14"/>
        <v>0.45239771598364609</v>
      </c>
    </row>
    <row r="34" spans="1:13" ht="15" customHeight="1" thickBot="1" x14ac:dyDescent="0.3">
      <c r="A34" s="102"/>
      <c r="B34" s="33" t="s">
        <v>37</v>
      </c>
      <c r="C34" s="44">
        <f t="shared" si="6"/>
        <v>2.946278254943948E-2</v>
      </c>
      <c r="D34" s="43">
        <f t="shared" si="7"/>
        <v>1.0879853497231116E-2</v>
      </c>
      <c r="E34" s="35">
        <f t="shared" si="8"/>
        <v>1.6004609991611997E-2</v>
      </c>
      <c r="F34" s="43">
        <f t="shared" si="9"/>
        <v>3.2274861218395137E-2</v>
      </c>
      <c r="G34" s="43">
        <f t="shared" si="10"/>
        <v>0</v>
      </c>
      <c r="H34" s="43">
        <f t="shared" si="11"/>
        <v>2.3311719287405458E-3</v>
      </c>
      <c r="I34" s="44">
        <f t="shared" si="12"/>
        <v>5.8628090088663154E-2</v>
      </c>
      <c r="J34" s="44">
        <f t="shared" si="13"/>
        <v>8.492894419812479E-3</v>
      </c>
      <c r="K34" s="45">
        <f t="shared" si="4"/>
        <v>0.14363710622664291</v>
      </c>
      <c r="L34" s="46">
        <f t="shared" si="5"/>
        <v>0.12338595279674974</v>
      </c>
      <c r="M34" s="47">
        <f t="shared" si="14"/>
        <v>0.46207976662397715</v>
      </c>
    </row>
    <row r="35" spans="1:13" ht="15" customHeight="1" thickBot="1" x14ac:dyDescent="0.3">
      <c r="A35" s="102"/>
      <c r="B35" s="33" t="s">
        <v>38</v>
      </c>
      <c r="C35" s="44">
        <f t="shared" si="6"/>
        <v>2.946278254943948E-2</v>
      </c>
      <c r="D35" s="43">
        <f t="shared" si="7"/>
        <v>4.3519413988924463E-2</v>
      </c>
      <c r="E35" s="35">
        <f t="shared" si="8"/>
        <v>4.8013829974835991E-2</v>
      </c>
      <c r="F35" s="43">
        <f t="shared" si="9"/>
        <v>3.2274861218395137E-2</v>
      </c>
      <c r="G35" s="43">
        <f t="shared" si="10"/>
        <v>0</v>
      </c>
      <c r="H35" s="43">
        <f t="shared" si="11"/>
        <v>2.0980547358664909E-2</v>
      </c>
      <c r="I35" s="44">
        <f t="shared" si="12"/>
        <v>1.7588427026598945E-2</v>
      </c>
      <c r="J35" s="44">
        <f t="shared" si="13"/>
        <v>8.492894419812479E-3</v>
      </c>
      <c r="K35" s="45">
        <f t="shared" si="4"/>
        <v>0.12843288207888898</v>
      </c>
      <c r="L35" s="46">
        <f t="shared" si="5"/>
        <v>0.12669146262409259</v>
      </c>
      <c r="M35" s="47">
        <f t="shared" si="14"/>
        <v>0.49658711626124163</v>
      </c>
    </row>
    <row r="36" spans="1:13" ht="15" customHeight="1" thickBot="1" x14ac:dyDescent="0.3">
      <c r="A36" s="102"/>
      <c r="B36" s="33" t="s">
        <v>49</v>
      </c>
      <c r="C36" s="44">
        <f t="shared" si="6"/>
        <v>2.946278254943948E-2</v>
      </c>
      <c r="D36" s="43">
        <f t="shared" si="7"/>
        <v>1.0879853497231116E-2</v>
      </c>
      <c r="E36" s="35">
        <f t="shared" si="8"/>
        <v>1.6004609991611997E-2</v>
      </c>
      <c r="F36" s="43">
        <f t="shared" si="9"/>
        <v>3.2274861218395137E-2</v>
      </c>
      <c r="G36" s="43">
        <f t="shared" si="10"/>
        <v>0</v>
      </c>
      <c r="H36" s="43">
        <f t="shared" si="11"/>
        <v>2.0980547358664909E-2</v>
      </c>
      <c r="I36" s="44">
        <f t="shared" si="12"/>
        <v>6.1559494593096308E-2</v>
      </c>
      <c r="J36" s="44">
        <f t="shared" si="13"/>
        <v>3.3971577679249916E-2</v>
      </c>
      <c r="K36" s="45">
        <f t="shared" si="4"/>
        <v>0.14864107573377175</v>
      </c>
      <c r="L36" s="46">
        <f t="shared" si="5"/>
        <v>9.3709787870293201E-2</v>
      </c>
      <c r="M36" s="47">
        <f t="shared" si="14"/>
        <v>0.38666991516642324</v>
      </c>
    </row>
    <row r="37" spans="1:13" ht="15" customHeight="1" thickBot="1" x14ac:dyDescent="0.3">
      <c r="A37" s="102"/>
      <c r="B37" s="33" t="s">
        <v>50</v>
      </c>
      <c r="C37" s="44">
        <f t="shared" si="6"/>
        <v>1.9641855032959652E-2</v>
      </c>
      <c r="D37" s="43">
        <f t="shared" si="7"/>
        <v>1.0879853497231116E-2</v>
      </c>
      <c r="E37" s="35">
        <f t="shared" si="8"/>
        <v>1.6004609991611997E-2</v>
      </c>
      <c r="F37" s="43">
        <f t="shared" si="9"/>
        <v>3.2274861218395137E-2</v>
      </c>
      <c r="G37" s="43">
        <f t="shared" si="10"/>
        <v>0</v>
      </c>
      <c r="H37" s="43">
        <f t="shared" si="11"/>
        <v>2.0980547358664909E-2</v>
      </c>
      <c r="I37" s="44">
        <f t="shared" si="12"/>
        <v>1.7588427026598945E-2</v>
      </c>
      <c r="J37" s="44">
        <f t="shared" si="13"/>
        <v>2.5478683259437435E-2</v>
      </c>
      <c r="K37" s="45">
        <f t="shared" si="4"/>
        <v>0.14216255542518449</v>
      </c>
      <c r="L37" s="46">
        <f t="shared" si="5"/>
        <v>0.10659881611406405</v>
      </c>
      <c r="M37" s="47">
        <f t="shared" si="14"/>
        <v>0.4285183646257768</v>
      </c>
    </row>
    <row r="38" spans="1:13" ht="15" customHeight="1" thickBot="1" x14ac:dyDescent="0.3">
      <c r="A38" s="102"/>
      <c r="B38" s="33" t="s">
        <v>51</v>
      </c>
      <c r="C38" s="44">
        <f t="shared" si="6"/>
        <v>9.820927516479826E-3</v>
      </c>
      <c r="D38" s="43">
        <f t="shared" si="7"/>
        <v>1.0879853497231116E-2</v>
      </c>
      <c r="E38" s="35">
        <f t="shared" si="8"/>
        <v>1.6004609991611997E-2</v>
      </c>
      <c r="F38" s="43">
        <f t="shared" si="9"/>
        <v>3.2274861218395137E-2</v>
      </c>
      <c r="G38" s="43">
        <f t="shared" si="10"/>
        <v>0</v>
      </c>
      <c r="H38" s="43">
        <f t="shared" si="11"/>
        <v>2.0980547358664909E-2</v>
      </c>
      <c r="I38" s="44">
        <f t="shared" si="12"/>
        <v>1.7588427026598945E-2</v>
      </c>
      <c r="J38" s="44">
        <f t="shared" si="13"/>
        <v>2.9725130469343674E-2</v>
      </c>
      <c r="K38" s="45">
        <f t="shared" si="4"/>
        <v>0.14520227938630315</v>
      </c>
      <c r="L38" s="46">
        <f t="shared" si="5"/>
        <v>0.10382670419578981</v>
      </c>
      <c r="M38" s="47">
        <f t="shared" si="14"/>
        <v>0.41692618546773735</v>
      </c>
    </row>
    <row r="39" spans="1:13" ht="15" customHeight="1" thickBot="1" x14ac:dyDescent="0.3">
      <c r="A39" s="102"/>
      <c r="B39" s="33" t="s">
        <v>52</v>
      </c>
      <c r="C39" s="44">
        <f t="shared" si="6"/>
        <v>1.9641855032959652E-2</v>
      </c>
      <c r="D39" s="43">
        <f t="shared" si="7"/>
        <v>3.2639560491693344E-2</v>
      </c>
      <c r="E39" s="35">
        <f t="shared" si="8"/>
        <v>1.6004609991611997E-2</v>
      </c>
      <c r="F39" s="43">
        <f t="shared" si="9"/>
        <v>3.2274861218395137E-2</v>
      </c>
      <c r="G39" s="43">
        <f t="shared" si="10"/>
        <v>0</v>
      </c>
      <c r="H39" s="43">
        <f t="shared" si="11"/>
        <v>6.2164584766414548E-3</v>
      </c>
      <c r="I39" s="44">
        <f t="shared" si="12"/>
        <v>2.1985533783248683E-2</v>
      </c>
      <c r="J39" s="44">
        <f t="shared" si="13"/>
        <v>1.9109012444578077E-2</v>
      </c>
      <c r="K39" s="45">
        <f t="shared" si="4"/>
        <v>0.1350794448194039</v>
      </c>
      <c r="L39" s="46">
        <f t="shared" si="5"/>
        <v>0.12138353558782129</v>
      </c>
      <c r="M39" s="47">
        <f t="shared" si="14"/>
        <v>0.47329846746334392</v>
      </c>
    </row>
    <row r="40" spans="1:13" ht="15" customHeight="1" thickBot="1" x14ac:dyDescent="0.3">
      <c r="A40" s="102"/>
      <c r="B40" s="33" t="s">
        <v>53</v>
      </c>
      <c r="C40" s="44">
        <f t="shared" si="6"/>
        <v>4.9104637582399135E-2</v>
      </c>
      <c r="D40" s="43">
        <f t="shared" si="7"/>
        <v>5.4399267486155575E-2</v>
      </c>
      <c r="E40" s="35">
        <f t="shared" si="8"/>
        <v>4.8013829974835991E-2</v>
      </c>
      <c r="F40" s="43">
        <f t="shared" si="9"/>
        <v>3.2274861218395137E-2</v>
      </c>
      <c r="G40" s="43">
        <f t="shared" si="10"/>
        <v>0</v>
      </c>
      <c r="H40" s="43">
        <f t="shared" si="11"/>
        <v>3.7298750859848732E-2</v>
      </c>
      <c r="I40" s="44">
        <f t="shared" si="12"/>
        <v>2.9314045044331577E-2</v>
      </c>
      <c r="J40" s="44">
        <f t="shared" si="13"/>
        <v>3.3971577679249916E-2</v>
      </c>
      <c r="K40" s="45">
        <f t="shared" si="4"/>
        <v>0.1336742498599508</v>
      </c>
      <c r="L40" s="46">
        <f t="shared" si="5"/>
        <v>0.10806571586475261</v>
      </c>
      <c r="M40" s="47">
        <f t="shared" si="14"/>
        <v>0.44703289148232628</v>
      </c>
    </row>
    <row r="41" spans="1:13" ht="15" customHeight="1" thickBot="1" x14ac:dyDescent="0.3">
      <c r="A41" s="102"/>
      <c r="B41" s="33" t="s">
        <v>54</v>
      </c>
      <c r="C41" s="44">
        <f t="shared" si="6"/>
        <v>2.946278254943948E-2</v>
      </c>
      <c r="D41" s="43">
        <f t="shared" si="7"/>
        <v>3.2639560491693344E-2</v>
      </c>
      <c r="E41" s="35">
        <f t="shared" si="8"/>
        <v>4.8013829974835991E-2</v>
      </c>
      <c r="F41" s="43">
        <f t="shared" si="9"/>
        <v>3.2274861218395137E-2</v>
      </c>
      <c r="G41" s="43">
        <f t="shared" si="10"/>
        <v>0</v>
      </c>
      <c r="H41" s="43">
        <f t="shared" si="11"/>
        <v>2.7974063144886548E-2</v>
      </c>
      <c r="I41" s="44">
        <f t="shared" si="12"/>
        <v>1.7588427026598945E-2</v>
      </c>
      <c r="J41" s="44">
        <f t="shared" si="13"/>
        <v>2.1232236049531197E-2</v>
      </c>
      <c r="K41" s="45">
        <f t="shared" si="4"/>
        <v>0.13202409708098017</v>
      </c>
      <c r="L41" s="46">
        <f t="shared" si="5"/>
        <v>0.11250531438784658</v>
      </c>
      <c r="M41" s="47">
        <f t="shared" si="14"/>
        <v>0.46008908994650344</v>
      </c>
    </row>
    <row r="42" spans="1:13" ht="15" customHeight="1" thickBot="1" x14ac:dyDescent="0.3">
      <c r="A42" s="103"/>
      <c r="B42" s="33" t="s">
        <v>55</v>
      </c>
      <c r="C42" s="44">
        <f t="shared" si="6"/>
        <v>4.9104637582399135E-2</v>
      </c>
      <c r="D42" s="43">
        <f t="shared" si="7"/>
        <v>3.2639560491693344E-2</v>
      </c>
      <c r="E42" s="35">
        <f t="shared" si="8"/>
        <v>3.2009219983223994E-2</v>
      </c>
      <c r="F42" s="43">
        <f t="shared" si="9"/>
        <v>3.2274861218395137E-2</v>
      </c>
      <c r="G42" s="43">
        <f t="shared" si="10"/>
        <v>0.125</v>
      </c>
      <c r="H42" s="43">
        <f t="shared" si="11"/>
        <v>9.7132163697522728E-2</v>
      </c>
      <c r="I42" s="44">
        <f t="shared" si="12"/>
        <v>1.7588427026598945E-2</v>
      </c>
      <c r="J42" s="44">
        <f t="shared" si="13"/>
        <v>8.4928944198124787E-2</v>
      </c>
      <c r="K42" s="45">
        <f t="shared" si="4"/>
        <v>0.12738338098067212</v>
      </c>
      <c r="L42" s="46">
        <f t="shared" si="5"/>
        <v>0.14082363810436493</v>
      </c>
      <c r="M42" s="47">
        <f t="shared" si="14"/>
        <v>0.52505575202607102</v>
      </c>
    </row>
    <row r="43" spans="1:13" ht="12.75" thickBot="1" x14ac:dyDescent="0.3">
      <c r="B43" s="41" t="s">
        <v>34</v>
      </c>
      <c r="C43" s="49">
        <f>MAX(C28:C42)</f>
        <v>4.9104637582399135E-2</v>
      </c>
      <c r="D43" s="48">
        <f>MAX(D28:D42)</f>
        <v>5.4399267486155575E-2</v>
      </c>
      <c r="E43" s="41">
        <f>MAX(E28:E42)</f>
        <v>4.8013829974835991E-2</v>
      </c>
      <c r="F43" s="48">
        <f>MAX(F28:F42)</f>
        <v>3.2274861218395137E-2</v>
      </c>
      <c r="G43" s="41">
        <f>MAX(G28:G42)</f>
        <v>0.125</v>
      </c>
      <c r="H43" s="48">
        <f>MIN(H28:H42)</f>
        <v>2.3311719287405458E-3</v>
      </c>
      <c r="I43" s="49">
        <f>MIN(I28:I42)</f>
        <v>1.7588427026598945E-2</v>
      </c>
      <c r="J43" s="49">
        <f>MIN(J28:J42)</f>
        <v>4.2464472099062395E-3</v>
      </c>
    </row>
    <row r="44" spans="1:13" ht="12.75" thickBot="1" x14ac:dyDescent="0.3">
      <c r="B44" s="41" t="s">
        <v>35</v>
      </c>
      <c r="C44" s="49">
        <f>MIN(C28:C42)</f>
        <v>9.820927516479826E-3</v>
      </c>
      <c r="D44" s="48">
        <f>MIN(D28:D42)</f>
        <v>1.0879853497231116E-2</v>
      </c>
      <c r="E44" s="41">
        <f>MIN(E28:E42)</f>
        <v>1.6004609991611997E-2</v>
      </c>
      <c r="F44" s="48">
        <f>MIN(F28:F42)</f>
        <v>3.2274861218395137E-2</v>
      </c>
      <c r="G44" s="41">
        <f>MIN(G28:G42)</f>
        <v>0</v>
      </c>
      <c r="H44" s="48">
        <f>MAX(H28:H42)</f>
        <v>9.7132163697522728E-2</v>
      </c>
      <c r="I44" s="49">
        <f>MAX(I28:I42)</f>
        <v>6.1559494593096308E-2</v>
      </c>
      <c r="J44" s="49">
        <f>MAX(J28:J42)</f>
        <v>8.4928944198124787E-2</v>
      </c>
    </row>
    <row r="48" spans="1:13" ht="12.75" thickBot="1" x14ac:dyDescent="0.3">
      <c r="A48" s="97" t="s">
        <v>58</v>
      </c>
      <c r="B48" s="97"/>
    </row>
    <row r="49" spans="1:16" ht="12.75" thickBot="1" x14ac:dyDescent="0.3">
      <c r="A49" s="32" t="s">
        <v>23</v>
      </c>
      <c r="B49" s="32" t="s">
        <v>4</v>
      </c>
    </row>
    <row r="50" spans="1:16" x14ac:dyDescent="0.25">
      <c r="A50" s="50" t="s">
        <v>55</v>
      </c>
      <c r="B50" s="51">
        <v>0.52505575202607102</v>
      </c>
    </row>
    <row r="51" spans="1:16" x14ac:dyDescent="0.25">
      <c r="A51" s="52" t="s">
        <v>38</v>
      </c>
      <c r="B51" s="53">
        <v>0.49658711626124163</v>
      </c>
      <c r="O51" s="61"/>
      <c r="P51" s="61"/>
    </row>
    <row r="52" spans="1:16" x14ac:dyDescent="0.25">
      <c r="A52" s="52" t="s">
        <v>10</v>
      </c>
      <c r="B52" s="53">
        <v>0.48977742766907284</v>
      </c>
    </row>
    <row r="53" spans="1:16" x14ac:dyDescent="0.25">
      <c r="A53" s="52" t="s">
        <v>8</v>
      </c>
      <c r="B53" s="53">
        <v>0.47607707295664542</v>
      </c>
    </row>
    <row r="54" spans="1:16" x14ac:dyDescent="0.25">
      <c r="A54" s="52" t="s">
        <v>52</v>
      </c>
      <c r="B54" s="53">
        <v>0.47329846746334392</v>
      </c>
    </row>
    <row r="55" spans="1:16" x14ac:dyDescent="0.25">
      <c r="A55" s="52" t="s">
        <v>37</v>
      </c>
      <c r="B55" s="53">
        <v>0.46207976662397715</v>
      </c>
    </row>
    <row r="56" spans="1:16" x14ac:dyDescent="0.25">
      <c r="A56" s="52" t="s">
        <v>11</v>
      </c>
      <c r="B56" s="53">
        <v>0.46092093608948731</v>
      </c>
    </row>
    <row r="57" spans="1:16" x14ac:dyDescent="0.25">
      <c r="A57" s="52" t="s">
        <v>54</v>
      </c>
      <c r="B57" s="53">
        <v>0.46008908994650344</v>
      </c>
    </row>
    <row r="58" spans="1:16" x14ac:dyDescent="0.25">
      <c r="A58" s="52" t="s">
        <v>12</v>
      </c>
      <c r="B58" s="53">
        <v>0.45780955786635125</v>
      </c>
    </row>
    <row r="59" spans="1:16" x14ac:dyDescent="0.25">
      <c r="A59" s="52" t="s">
        <v>13</v>
      </c>
      <c r="B59" s="53">
        <v>0.45239771598364609</v>
      </c>
    </row>
    <row r="60" spans="1:16" x14ac:dyDescent="0.25">
      <c r="A60" s="52" t="s">
        <v>53</v>
      </c>
      <c r="B60" s="53">
        <v>0.44703289148232628</v>
      </c>
    </row>
    <row r="61" spans="1:16" x14ac:dyDescent="0.25">
      <c r="A61" s="52" t="s">
        <v>50</v>
      </c>
      <c r="B61" s="53">
        <v>0.4285183646257768</v>
      </c>
    </row>
    <row r="62" spans="1:16" x14ac:dyDescent="0.25">
      <c r="A62" s="52" t="s">
        <v>9</v>
      </c>
      <c r="B62" s="53">
        <v>0.41783936465141525</v>
      </c>
    </row>
    <row r="63" spans="1:16" x14ac:dyDescent="0.25">
      <c r="A63" s="52" t="s">
        <v>51</v>
      </c>
      <c r="B63" s="53">
        <v>0.41692618546773735</v>
      </c>
    </row>
    <row r="64" spans="1:16" ht="12.75" thickBot="1" x14ac:dyDescent="0.3">
      <c r="A64" s="54" t="s">
        <v>49</v>
      </c>
      <c r="B64" s="55">
        <v>0.38666991516642324</v>
      </c>
    </row>
    <row r="65" spans="1:16" x14ac:dyDescent="0.25">
      <c r="A65" s="56"/>
      <c r="B65" s="56"/>
    </row>
    <row r="66" spans="1:16" x14ac:dyDescent="0.25">
      <c r="A66" s="56"/>
      <c r="B66" s="56"/>
    </row>
    <row r="67" spans="1:16" ht="12.75" thickBot="1" x14ac:dyDescent="0.3">
      <c r="A67" s="57" t="s">
        <v>67</v>
      </c>
      <c r="B67" s="57"/>
    </row>
    <row r="68" spans="1:16" ht="12.75" thickBot="1" x14ac:dyDescent="0.3">
      <c r="A68" s="32" t="s">
        <v>23</v>
      </c>
      <c r="B68" s="32" t="s">
        <v>4</v>
      </c>
    </row>
    <row r="69" spans="1:16" s="61" customFormat="1" x14ac:dyDescent="0.25">
      <c r="A69" s="50" t="s">
        <v>49</v>
      </c>
      <c r="B69" s="51">
        <v>0.38666991516642324</v>
      </c>
      <c r="O69" s="28"/>
      <c r="P69" s="28"/>
    </row>
    <row r="70" spans="1:16" x14ac:dyDescent="0.25">
      <c r="A70" s="52" t="s">
        <v>51</v>
      </c>
      <c r="B70" s="53">
        <v>0.41692618546773735</v>
      </c>
    </row>
    <row r="71" spans="1:16" x14ac:dyDescent="0.25">
      <c r="A71" s="52" t="s">
        <v>9</v>
      </c>
      <c r="B71" s="53">
        <v>0.41783936465141525</v>
      </c>
    </row>
    <row r="72" spans="1:16" x14ac:dyDescent="0.25">
      <c r="A72" s="52" t="s">
        <v>50</v>
      </c>
      <c r="B72" s="53">
        <v>0.4285183646257768</v>
      </c>
    </row>
    <row r="73" spans="1:16" x14ac:dyDescent="0.25">
      <c r="A73" s="52" t="s">
        <v>53</v>
      </c>
      <c r="B73" s="53">
        <v>0.44703289148232628</v>
      </c>
    </row>
    <row r="74" spans="1:16" x14ac:dyDescent="0.25">
      <c r="A74" s="52" t="s">
        <v>13</v>
      </c>
      <c r="B74" s="53">
        <v>0.45239771598364609</v>
      </c>
    </row>
    <row r="75" spans="1:16" x14ac:dyDescent="0.25">
      <c r="A75" s="52" t="s">
        <v>12</v>
      </c>
      <c r="B75" s="53">
        <v>0.45780955786635125</v>
      </c>
    </row>
    <row r="76" spans="1:16" x14ac:dyDescent="0.25">
      <c r="A76" s="52" t="s">
        <v>54</v>
      </c>
      <c r="B76" s="53">
        <v>0.46008908994650344</v>
      </c>
    </row>
    <row r="77" spans="1:16" x14ac:dyDescent="0.25">
      <c r="A77" s="52" t="s">
        <v>11</v>
      </c>
      <c r="B77" s="53">
        <v>0.46092093608948731</v>
      </c>
    </row>
    <row r="78" spans="1:16" x14ac:dyDescent="0.25">
      <c r="A78" s="52" t="s">
        <v>37</v>
      </c>
      <c r="B78" s="53">
        <v>0.46207976662397715</v>
      </c>
    </row>
    <row r="79" spans="1:16" x14ac:dyDescent="0.25">
      <c r="A79" s="52" t="s">
        <v>52</v>
      </c>
      <c r="B79" s="53">
        <v>0.47329846746334392</v>
      </c>
    </row>
    <row r="80" spans="1:16" x14ac:dyDescent="0.25">
      <c r="A80" s="52" t="s">
        <v>8</v>
      </c>
      <c r="B80" s="53">
        <v>0.47607707295664542</v>
      </c>
    </row>
    <row r="81" spans="1:2" x14ac:dyDescent="0.25">
      <c r="A81" s="52" t="s">
        <v>10</v>
      </c>
      <c r="B81" s="53">
        <v>0.48977742766907284</v>
      </c>
    </row>
    <row r="82" spans="1:2" x14ac:dyDescent="0.25">
      <c r="A82" s="52" t="s">
        <v>38</v>
      </c>
      <c r="B82" s="53">
        <v>0.49658711626124163</v>
      </c>
    </row>
    <row r="83" spans="1:2" ht="12.75" thickBot="1" x14ac:dyDescent="0.3">
      <c r="A83" s="54" t="s">
        <v>55</v>
      </c>
      <c r="B83" s="55">
        <v>0.52505575202607102</v>
      </c>
    </row>
  </sheetData>
  <mergeCells count="14">
    <mergeCell ref="A48:B48"/>
    <mergeCell ref="C26:J26"/>
    <mergeCell ref="A28:A42"/>
    <mergeCell ref="T1:X1"/>
    <mergeCell ref="A5:A19"/>
    <mergeCell ref="C22:G22"/>
    <mergeCell ref="H22:J22"/>
    <mergeCell ref="A1:M1"/>
    <mergeCell ref="C3:J3"/>
    <mergeCell ref="O3:Q3"/>
    <mergeCell ref="O4:P4"/>
    <mergeCell ref="A20:B20"/>
    <mergeCell ref="A21:B21"/>
    <mergeCell ref="A22:B2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9797-E857-463E-BC65-CE5C9BFA2621}">
  <dimension ref="A1:E22"/>
  <sheetViews>
    <sheetView workbookViewId="0">
      <selection activeCell="B20" sqref="B20"/>
    </sheetView>
  </sheetViews>
  <sheetFormatPr defaultColWidth="8.7109375" defaultRowHeight="12" x14ac:dyDescent="0.2"/>
  <cols>
    <col min="1" max="1" width="9.85546875" style="77" bestFit="1" customWidth="1"/>
    <col min="2" max="2" width="15.5703125" style="77" bestFit="1" customWidth="1"/>
    <col min="3" max="4" width="8.7109375" style="77"/>
    <col min="5" max="5" width="15" style="77" bestFit="1" customWidth="1"/>
    <col min="6" max="16384" width="8.7109375" style="77"/>
  </cols>
  <sheetData>
    <row r="1" spans="1:3" ht="15.75" x14ac:dyDescent="0.25">
      <c r="A1" s="110" t="s">
        <v>88</v>
      </c>
      <c r="B1" s="110"/>
      <c r="C1" s="110"/>
    </row>
    <row r="2" spans="1:3" ht="12.75" thickBot="1" x14ac:dyDescent="0.25"/>
    <row r="3" spans="1:3" ht="15.75" thickBot="1" x14ac:dyDescent="0.25">
      <c r="A3" s="65" t="s">
        <v>23</v>
      </c>
      <c r="B3" s="65" t="s">
        <v>69</v>
      </c>
      <c r="C3" s="65" t="s">
        <v>27</v>
      </c>
    </row>
    <row r="4" spans="1:3" ht="13.5" thickBot="1" x14ac:dyDescent="0.25">
      <c r="A4" s="66" t="s">
        <v>8</v>
      </c>
      <c r="B4" s="60">
        <v>35000</v>
      </c>
      <c r="C4" s="58">
        <v>35</v>
      </c>
    </row>
    <row r="5" spans="1:3" ht="13.5" thickBot="1" x14ac:dyDescent="0.25">
      <c r="A5" s="66" t="s">
        <v>9</v>
      </c>
      <c r="B5" s="60">
        <v>500000</v>
      </c>
      <c r="C5" s="58">
        <v>520</v>
      </c>
    </row>
    <row r="6" spans="1:3" ht="13.5" thickBot="1" x14ac:dyDescent="0.25">
      <c r="A6" s="66" t="s">
        <v>10</v>
      </c>
      <c r="B6" s="60">
        <v>25000</v>
      </c>
      <c r="C6" s="58">
        <v>35</v>
      </c>
    </row>
    <row r="7" spans="1:3" ht="13.5" thickBot="1" x14ac:dyDescent="0.25">
      <c r="A7" s="66" t="s">
        <v>11</v>
      </c>
      <c r="B7" s="60">
        <v>25500</v>
      </c>
      <c r="C7" s="58">
        <v>45</v>
      </c>
    </row>
    <row r="8" spans="1:3" ht="13.5" thickBot="1" x14ac:dyDescent="0.25">
      <c r="A8" s="66" t="s">
        <v>12</v>
      </c>
      <c r="B8" s="60">
        <v>45000</v>
      </c>
      <c r="C8" s="58">
        <v>40</v>
      </c>
    </row>
    <row r="9" spans="1:3" ht="13.5" thickBot="1" x14ac:dyDescent="0.25">
      <c r="A9" s="66" t="s">
        <v>13</v>
      </c>
      <c r="B9" s="60">
        <v>350000</v>
      </c>
      <c r="C9" s="58">
        <v>370</v>
      </c>
    </row>
    <row r="10" spans="1:3" ht="13.5" thickBot="1" x14ac:dyDescent="0.25">
      <c r="A10" s="66" t="s">
        <v>37</v>
      </c>
      <c r="B10" s="60">
        <v>25000</v>
      </c>
      <c r="C10" s="58">
        <v>50</v>
      </c>
    </row>
    <row r="11" spans="1:3" ht="13.5" thickBot="1" x14ac:dyDescent="0.25">
      <c r="A11" s="66" t="s">
        <v>38</v>
      </c>
      <c r="B11" s="60">
        <v>70000</v>
      </c>
      <c r="C11" s="58">
        <v>45</v>
      </c>
    </row>
    <row r="12" spans="1:3" ht="13.5" thickBot="1" x14ac:dyDescent="0.25">
      <c r="A12" s="66" t="s">
        <v>49</v>
      </c>
      <c r="B12" s="60">
        <v>120000</v>
      </c>
      <c r="C12" s="58">
        <v>340</v>
      </c>
    </row>
    <row r="13" spans="1:3" ht="13.5" thickBot="1" x14ac:dyDescent="0.25">
      <c r="A13" s="66" t="s">
        <v>50</v>
      </c>
      <c r="B13" s="60">
        <v>85000</v>
      </c>
      <c r="C13" s="58">
        <v>180</v>
      </c>
    </row>
    <row r="14" spans="1:3" ht="13.5" thickBot="1" x14ac:dyDescent="0.25">
      <c r="A14" s="66" t="s">
        <v>51</v>
      </c>
      <c r="B14" s="60">
        <v>350000</v>
      </c>
      <c r="C14" s="58">
        <v>400</v>
      </c>
    </row>
    <row r="15" spans="1:3" ht="13.5" thickBot="1" x14ac:dyDescent="0.25">
      <c r="A15" s="66" t="s">
        <v>52</v>
      </c>
      <c r="B15" s="60">
        <v>35500</v>
      </c>
      <c r="C15" s="58">
        <v>40</v>
      </c>
    </row>
    <row r="16" spans="1:3" ht="13.5" thickBot="1" x14ac:dyDescent="0.25">
      <c r="A16" s="66" t="s">
        <v>53</v>
      </c>
      <c r="B16" s="60">
        <v>45500</v>
      </c>
      <c r="C16" s="58">
        <v>70</v>
      </c>
    </row>
    <row r="17" spans="1:5" ht="13.5" thickBot="1" x14ac:dyDescent="0.25">
      <c r="A17" s="66" t="s">
        <v>54</v>
      </c>
      <c r="B17" s="60">
        <v>90000</v>
      </c>
      <c r="C17" s="58">
        <v>90</v>
      </c>
    </row>
    <row r="18" spans="1:5" ht="13.5" thickBot="1" x14ac:dyDescent="0.25">
      <c r="A18" s="66" t="s">
        <v>55</v>
      </c>
      <c r="B18" s="60">
        <v>1670000</v>
      </c>
      <c r="C18" s="58">
        <v>704</v>
      </c>
    </row>
    <row r="19" spans="1:5" ht="13.5" thickBot="1" x14ac:dyDescent="0.25">
      <c r="A19" s="66" t="s">
        <v>72</v>
      </c>
      <c r="B19" s="18">
        <v>7428800</v>
      </c>
      <c r="C19" s="19">
        <v>1050</v>
      </c>
    </row>
    <row r="20" spans="1:5" ht="13.5" thickBot="1" x14ac:dyDescent="0.25">
      <c r="A20" s="66" t="s">
        <v>73</v>
      </c>
      <c r="B20" s="18">
        <v>6076506</v>
      </c>
      <c r="C20" s="19">
        <v>1140</v>
      </c>
    </row>
    <row r="21" spans="1:5" ht="13.5" thickBot="1" x14ac:dyDescent="0.25">
      <c r="A21" s="66" t="s">
        <v>84</v>
      </c>
      <c r="B21" s="18">
        <v>3182354</v>
      </c>
      <c r="C21" s="19">
        <v>880</v>
      </c>
    </row>
    <row r="22" spans="1:5" x14ac:dyDescent="0.2">
      <c r="E22" s="85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2AF1-827C-478D-B0C8-693D9FFD1278}">
  <dimension ref="A1:S33"/>
  <sheetViews>
    <sheetView topLeftCell="H1" workbookViewId="0">
      <selection activeCell="O3" sqref="O3:S5"/>
    </sheetView>
  </sheetViews>
  <sheetFormatPr defaultColWidth="8.7109375" defaultRowHeight="14.25" x14ac:dyDescent="0.25"/>
  <cols>
    <col min="1" max="1" width="17" style="10" bestFit="1" customWidth="1"/>
    <col min="2" max="2" width="8.7109375" style="10"/>
    <col min="3" max="3" width="16.7109375" style="15" bestFit="1" customWidth="1"/>
    <col min="4" max="4" width="15.140625" style="21" customWidth="1"/>
    <col min="5" max="7" width="8.7109375" style="10"/>
    <col min="8" max="8" width="7.28515625" style="10" customWidth="1"/>
    <col min="9" max="10" width="8.7109375" style="10"/>
    <col min="11" max="11" width="18" style="10" bestFit="1" customWidth="1"/>
    <col min="12" max="12" width="10.5703125" style="10" customWidth="1"/>
    <col min="13" max="16384" width="8.7109375" style="10"/>
  </cols>
  <sheetData>
    <row r="1" spans="1:19" x14ac:dyDescent="0.25">
      <c r="A1" s="112" t="s">
        <v>56</v>
      </c>
      <c r="B1" s="112"/>
      <c r="C1" s="112"/>
      <c r="D1" s="112"/>
      <c r="E1" s="112"/>
      <c r="F1" s="112"/>
    </row>
    <row r="2" spans="1:19" s="15" customFormat="1" x14ac:dyDescent="0.25">
      <c r="D2" s="21"/>
    </row>
    <row r="3" spans="1:19" ht="15" customHeight="1" thickBot="1" x14ac:dyDescent="0.3">
      <c r="A3" s="113" t="s">
        <v>80</v>
      </c>
      <c r="B3" s="113"/>
      <c r="C3" s="113"/>
      <c r="D3" s="113"/>
      <c r="E3" s="113"/>
      <c r="F3" s="113"/>
      <c r="I3" s="113" t="s">
        <v>81</v>
      </c>
      <c r="J3" s="113"/>
      <c r="K3" s="113"/>
      <c r="L3" s="113"/>
      <c r="O3" s="111" t="s">
        <v>70</v>
      </c>
      <c r="P3" s="111"/>
      <c r="Q3" s="111"/>
      <c r="R3" s="111"/>
      <c r="S3" s="111"/>
    </row>
    <row r="4" spans="1:19" ht="15.75" thickBot="1" x14ac:dyDescent="0.3">
      <c r="A4" s="11" t="s">
        <v>68</v>
      </c>
      <c r="B4" s="11" t="s">
        <v>24</v>
      </c>
      <c r="C4" s="11" t="s">
        <v>69</v>
      </c>
      <c r="D4" s="11" t="s">
        <v>27</v>
      </c>
      <c r="E4" s="11" t="s">
        <v>60</v>
      </c>
      <c r="F4" s="11" t="s">
        <v>59</v>
      </c>
      <c r="G4" s="8"/>
      <c r="I4" s="11" t="s">
        <v>68</v>
      </c>
      <c r="J4" s="11" t="s">
        <v>59</v>
      </c>
      <c r="K4" s="11" t="s">
        <v>69</v>
      </c>
      <c r="L4" s="11" t="s">
        <v>27</v>
      </c>
      <c r="O4" s="111"/>
      <c r="P4" s="111"/>
      <c r="Q4" s="111"/>
      <c r="R4" s="111"/>
      <c r="S4" s="111"/>
    </row>
    <row r="5" spans="1:19" ht="15" thickBot="1" x14ac:dyDescent="0.25">
      <c r="A5" s="12" t="str">
        <f>'Método Topsis'!A69</f>
        <v>Projeto 9</v>
      </c>
      <c r="B5" s="68">
        <f>'Método Topsis'!B69</f>
        <v>0.38666991516642324</v>
      </c>
      <c r="C5" s="63">
        <f>VLOOKUP(A5,Projetos!$A$3:$C$21,2,0)</f>
        <v>120000</v>
      </c>
      <c r="D5" s="78">
        <f>VLOOKUP(A5,Projetos!$A$3:$C$21,3,0)</f>
        <v>340</v>
      </c>
      <c r="E5" s="13">
        <v>1</v>
      </c>
      <c r="F5" s="13">
        <v>1</v>
      </c>
      <c r="I5" s="12" t="s">
        <v>8</v>
      </c>
      <c r="J5" s="19">
        <f>VLOOKUP(I5,$A$4:$F$19,6,0)</f>
        <v>19</v>
      </c>
      <c r="K5" s="23">
        <f>VLOOKUP(I5,$A$4:$F$19,3,0)</f>
        <v>35000</v>
      </c>
      <c r="L5" s="64">
        <f>VLOOKUP(I5,$A$4:$F$19,4,0)</f>
        <v>35</v>
      </c>
      <c r="O5" s="111"/>
      <c r="P5" s="111"/>
      <c r="Q5" s="111"/>
      <c r="R5" s="111"/>
      <c r="S5" s="111"/>
    </row>
    <row r="6" spans="1:19" ht="15" thickBot="1" x14ac:dyDescent="0.25">
      <c r="A6" s="12" t="str">
        <f>'Método Topsis'!A70</f>
        <v>Projeto 11</v>
      </c>
      <c r="B6" s="68">
        <f>'Método Topsis'!B70</f>
        <v>0.41692618546773735</v>
      </c>
      <c r="C6" s="63">
        <f>VLOOKUP(A6,Projetos!$A$3:$C$21,2,0)</f>
        <v>350000</v>
      </c>
      <c r="D6" s="78">
        <f>VLOOKUP(A6,Projetos!$A$3:$C$21,3,0)</f>
        <v>400</v>
      </c>
      <c r="E6" s="13">
        <v>2</v>
      </c>
      <c r="F6" s="13">
        <v>2</v>
      </c>
      <c r="G6" s="16"/>
      <c r="H6" s="93"/>
      <c r="I6" s="12" t="s">
        <v>9</v>
      </c>
      <c r="J6" s="19">
        <f t="shared" ref="J6:J19" si="0">VLOOKUP(I6,$A$4:$F$19,6,0)</f>
        <v>4</v>
      </c>
      <c r="K6" s="23">
        <f t="shared" ref="K6:K19" si="1">VLOOKUP(I6,$A$4:$F$19,3,0)</f>
        <v>500000</v>
      </c>
      <c r="L6" s="64">
        <f t="shared" ref="L6:L19" si="2">VLOOKUP(I6,$A$4:$F$19,4,0)</f>
        <v>520</v>
      </c>
    </row>
    <row r="7" spans="1:19" ht="15.75" thickBot="1" x14ac:dyDescent="0.25">
      <c r="A7" s="12" t="str">
        <f>'Método Topsis'!A71</f>
        <v>Projeto 2</v>
      </c>
      <c r="B7" s="68">
        <f>'Método Topsis'!B71</f>
        <v>0.41783936465141525</v>
      </c>
      <c r="C7" s="63">
        <f>VLOOKUP(A7,Projetos!$A$3:$C$21,2,0)</f>
        <v>500000</v>
      </c>
      <c r="D7" s="78">
        <f>VLOOKUP(A7,Projetos!$A$3:$C$21,3,0)</f>
        <v>520</v>
      </c>
      <c r="E7" s="13">
        <v>3</v>
      </c>
      <c r="F7" s="13">
        <v>4</v>
      </c>
      <c r="G7" s="8"/>
      <c r="H7" s="93"/>
      <c r="I7" s="12" t="s">
        <v>10</v>
      </c>
      <c r="J7" s="19">
        <f t="shared" si="0"/>
        <v>20</v>
      </c>
      <c r="K7" s="23">
        <f t="shared" si="1"/>
        <v>25000</v>
      </c>
      <c r="L7" s="64">
        <f t="shared" si="2"/>
        <v>35</v>
      </c>
    </row>
    <row r="8" spans="1:19" ht="15.75" thickBot="1" x14ac:dyDescent="0.25">
      <c r="A8" s="12" t="str">
        <f>'Método Topsis'!A72</f>
        <v>Projeto 10</v>
      </c>
      <c r="B8" s="68">
        <f>'Método Topsis'!B72</f>
        <v>0.4285183646257768</v>
      </c>
      <c r="C8" s="63">
        <f>VLOOKUP(A8,Projetos!$A$3:$C$21,2,0)</f>
        <v>85000</v>
      </c>
      <c r="D8" s="78">
        <f>VLOOKUP(A8,Projetos!$A$3:$C$21,3,0)</f>
        <v>180</v>
      </c>
      <c r="E8" s="13">
        <v>4</v>
      </c>
      <c r="F8" s="13">
        <v>5</v>
      </c>
      <c r="G8" s="8"/>
      <c r="H8" s="93"/>
      <c r="I8" s="12" t="s">
        <v>11</v>
      </c>
      <c r="J8" s="19">
        <f t="shared" si="0"/>
        <v>16</v>
      </c>
      <c r="K8" s="23">
        <f t="shared" si="1"/>
        <v>25500</v>
      </c>
      <c r="L8" s="64">
        <f t="shared" si="2"/>
        <v>45</v>
      </c>
    </row>
    <row r="9" spans="1:19" s="74" customFormat="1" ht="15.75" thickBot="1" x14ac:dyDescent="0.25">
      <c r="A9" s="69" t="str">
        <f>'Método Topsis'!A73</f>
        <v>Projeto 13</v>
      </c>
      <c r="B9" s="70">
        <f>'Método Topsis'!B73</f>
        <v>0.44703289148232628</v>
      </c>
      <c r="C9" s="63">
        <f>VLOOKUP(A9,Projetos!$A$3:$C$21,2,0)</f>
        <v>45500</v>
      </c>
      <c r="D9" s="78">
        <f>VLOOKUP(A9,Projetos!$A$3:$C$21,3,0)</f>
        <v>70</v>
      </c>
      <c r="E9" s="72">
        <v>5</v>
      </c>
      <c r="F9" s="72">
        <v>6</v>
      </c>
      <c r="G9" s="73"/>
      <c r="H9" s="94"/>
      <c r="I9" s="69" t="s">
        <v>12</v>
      </c>
      <c r="J9" s="72">
        <f t="shared" si="0"/>
        <v>14</v>
      </c>
      <c r="K9" s="75">
        <f t="shared" si="1"/>
        <v>45000</v>
      </c>
      <c r="L9" s="71">
        <f t="shared" si="2"/>
        <v>40</v>
      </c>
    </row>
    <row r="10" spans="1:19" ht="15.75" thickBot="1" x14ac:dyDescent="0.25">
      <c r="A10" s="12" t="str">
        <f>'Método Topsis'!A74</f>
        <v>Projeto 6</v>
      </c>
      <c r="B10" s="68">
        <f>'Método Topsis'!B74</f>
        <v>0.45239771598364609</v>
      </c>
      <c r="C10" s="63">
        <f>VLOOKUP(A10,Projetos!$A$3:$C$21,2,0)</f>
        <v>350000</v>
      </c>
      <c r="D10" s="78">
        <f>VLOOKUP(A10,Projetos!$A$3:$C$21,3,0)</f>
        <v>370</v>
      </c>
      <c r="E10" s="13">
        <v>6</v>
      </c>
      <c r="F10" s="19">
        <v>13</v>
      </c>
      <c r="G10" s="8"/>
      <c r="H10" s="93"/>
      <c r="I10" s="12" t="s">
        <v>13</v>
      </c>
      <c r="J10" s="19">
        <f t="shared" si="0"/>
        <v>13</v>
      </c>
      <c r="K10" s="23">
        <f t="shared" si="1"/>
        <v>350000</v>
      </c>
      <c r="L10" s="64">
        <f t="shared" si="2"/>
        <v>370</v>
      </c>
    </row>
    <row r="11" spans="1:19" s="74" customFormat="1" ht="15.75" thickBot="1" x14ac:dyDescent="0.25">
      <c r="A11" s="69" t="str">
        <f>'Método Topsis'!A75</f>
        <v>Projeto 5</v>
      </c>
      <c r="B11" s="70">
        <f>'Método Topsis'!B75</f>
        <v>0.45780955786635125</v>
      </c>
      <c r="C11" s="63">
        <f>VLOOKUP(A11,Projetos!$A$3:$C$21,2,0)</f>
        <v>45000</v>
      </c>
      <c r="D11" s="78">
        <f>VLOOKUP(A11,Projetos!$A$3:$C$21,3,0)</f>
        <v>40</v>
      </c>
      <c r="E11" s="72">
        <v>7</v>
      </c>
      <c r="F11" s="72">
        <v>14</v>
      </c>
      <c r="G11" s="73"/>
      <c r="H11" s="94"/>
      <c r="I11" s="69" t="s">
        <v>37</v>
      </c>
      <c r="J11" s="72">
        <f t="shared" si="0"/>
        <v>17</v>
      </c>
      <c r="K11" s="75">
        <f t="shared" si="1"/>
        <v>25000</v>
      </c>
      <c r="L11" s="71">
        <f t="shared" si="2"/>
        <v>50</v>
      </c>
    </row>
    <row r="12" spans="1:19" ht="15.75" thickBot="1" x14ac:dyDescent="0.25">
      <c r="A12" s="12" t="str">
        <f>'Método Topsis'!A76</f>
        <v>Projeto 14</v>
      </c>
      <c r="B12" s="68">
        <f>'Método Topsis'!B76</f>
        <v>0.46008908994650344</v>
      </c>
      <c r="C12" s="63">
        <f>VLOOKUP(A12,Projetos!$A$3:$C$21,2,0)</f>
        <v>90000</v>
      </c>
      <c r="D12" s="78">
        <f>VLOOKUP(A12,Projetos!$A$3:$C$21,3,0)</f>
        <v>90</v>
      </c>
      <c r="E12" s="13">
        <v>8</v>
      </c>
      <c r="F12" s="13">
        <v>15</v>
      </c>
      <c r="G12" s="8"/>
      <c r="H12" s="93"/>
      <c r="I12" s="12" t="s">
        <v>38</v>
      </c>
      <c r="J12" s="19">
        <f t="shared" si="0"/>
        <v>40</v>
      </c>
      <c r="K12" s="23">
        <f t="shared" si="1"/>
        <v>70000</v>
      </c>
      <c r="L12" s="64">
        <f t="shared" si="2"/>
        <v>45</v>
      </c>
    </row>
    <row r="13" spans="1:19" ht="15.75" thickBot="1" x14ac:dyDescent="0.25">
      <c r="A13" s="12" t="str">
        <f>'Método Topsis'!A77</f>
        <v>Projeto 4</v>
      </c>
      <c r="B13" s="68">
        <f>'Método Topsis'!B77</f>
        <v>0.46092093608948731</v>
      </c>
      <c r="C13" s="63">
        <f>VLOOKUP(A13,Projetos!$A$3:$C$21,2,0)</f>
        <v>25500</v>
      </c>
      <c r="D13" s="78">
        <f>VLOOKUP(A13,Projetos!$A$3:$C$21,3,0)</f>
        <v>45</v>
      </c>
      <c r="E13" s="13">
        <v>9</v>
      </c>
      <c r="F13" s="13">
        <v>16</v>
      </c>
      <c r="G13" s="8"/>
      <c r="H13" s="93"/>
      <c r="I13" s="12" t="s">
        <v>49</v>
      </c>
      <c r="J13" s="19">
        <f t="shared" si="0"/>
        <v>1</v>
      </c>
      <c r="K13" s="23">
        <f t="shared" si="1"/>
        <v>120000</v>
      </c>
      <c r="L13" s="64">
        <f t="shared" si="2"/>
        <v>340</v>
      </c>
    </row>
    <row r="14" spans="1:19" ht="15.75" thickBot="1" x14ac:dyDescent="0.25">
      <c r="A14" s="12" t="str">
        <f>'Método Topsis'!A78</f>
        <v>Projeto 7</v>
      </c>
      <c r="B14" s="68">
        <f>'Método Topsis'!B78</f>
        <v>0.46207976662397715</v>
      </c>
      <c r="C14" s="63">
        <f>VLOOKUP(A14,Projetos!$A$3:$C$21,2,0)</f>
        <v>25000</v>
      </c>
      <c r="D14" s="78">
        <f>VLOOKUP(A14,Projetos!$A$3:$C$21,3,0)</f>
        <v>50</v>
      </c>
      <c r="E14" s="13">
        <v>10</v>
      </c>
      <c r="F14" s="13">
        <v>17</v>
      </c>
      <c r="G14" s="8"/>
      <c r="H14" s="93"/>
      <c r="I14" s="12" t="s">
        <v>50</v>
      </c>
      <c r="J14" s="19">
        <f t="shared" si="0"/>
        <v>5</v>
      </c>
      <c r="K14" s="23">
        <f t="shared" si="1"/>
        <v>85000</v>
      </c>
      <c r="L14" s="64">
        <f t="shared" si="2"/>
        <v>180</v>
      </c>
    </row>
    <row r="15" spans="1:19" ht="15.75" thickBot="1" x14ac:dyDescent="0.25">
      <c r="A15" s="12" t="str">
        <f>'Método Topsis'!A79</f>
        <v>Projeto 12</v>
      </c>
      <c r="B15" s="68">
        <f>'Método Topsis'!B79</f>
        <v>0.47329846746334392</v>
      </c>
      <c r="C15" s="63">
        <f>VLOOKUP(A15,Projetos!$A$3:$C$21,2,0)</f>
        <v>35500</v>
      </c>
      <c r="D15" s="78">
        <f>VLOOKUP(A15,Projetos!$A$3:$C$21,3,0)</f>
        <v>40</v>
      </c>
      <c r="E15" s="13">
        <v>11</v>
      </c>
      <c r="F15" s="13">
        <v>18</v>
      </c>
      <c r="G15" s="8"/>
      <c r="H15" s="93"/>
      <c r="I15" s="12" t="s">
        <v>51</v>
      </c>
      <c r="J15" s="19">
        <f t="shared" si="0"/>
        <v>2</v>
      </c>
      <c r="K15" s="23">
        <f t="shared" si="1"/>
        <v>350000</v>
      </c>
      <c r="L15" s="64">
        <f t="shared" si="2"/>
        <v>400</v>
      </c>
    </row>
    <row r="16" spans="1:19" ht="15.75" thickBot="1" x14ac:dyDescent="0.25">
      <c r="A16" s="12" t="str">
        <f>'Método Topsis'!A80</f>
        <v>Projeto 1</v>
      </c>
      <c r="B16" s="68">
        <f>'Método Topsis'!B80</f>
        <v>0.47607707295664542</v>
      </c>
      <c r="C16" s="63">
        <f>VLOOKUP(A16,Projetos!$A$3:$C$21,2,0)</f>
        <v>35000</v>
      </c>
      <c r="D16" s="78">
        <f>VLOOKUP(A16,Projetos!$A$3:$C$21,3,0)</f>
        <v>35</v>
      </c>
      <c r="E16" s="13">
        <v>12</v>
      </c>
      <c r="F16" s="13">
        <v>19</v>
      </c>
      <c r="G16" s="8"/>
      <c r="I16" s="12" t="s">
        <v>52</v>
      </c>
      <c r="J16" s="19">
        <f t="shared" si="0"/>
        <v>18</v>
      </c>
      <c r="K16" s="23">
        <f t="shared" si="1"/>
        <v>35500</v>
      </c>
      <c r="L16" s="64">
        <f t="shared" si="2"/>
        <v>40</v>
      </c>
    </row>
    <row r="17" spans="1:12" ht="15.75" thickBot="1" x14ac:dyDescent="0.25">
      <c r="A17" s="12" t="str">
        <f>'Método Topsis'!A81</f>
        <v>Projeto 3</v>
      </c>
      <c r="B17" s="68">
        <f>'Método Topsis'!B81</f>
        <v>0.48977742766907284</v>
      </c>
      <c r="C17" s="63">
        <f>VLOOKUP(A17,Projetos!$A$3:$C$21,2,0)</f>
        <v>25000</v>
      </c>
      <c r="D17" s="78">
        <f>VLOOKUP(A17,Projetos!$A$3:$C$21,3,0)</f>
        <v>35</v>
      </c>
      <c r="E17" s="13">
        <v>13</v>
      </c>
      <c r="F17" s="13">
        <v>20</v>
      </c>
      <c r="G17" s="8"/>
      <c r="I17" s="12" t="s">
        <v>53</v>
      </c>
      <c r="J17" s="19">
        <f t="shared" si="0"/>
        <v>6</v>
      </c>
      <c r="K17" s="23">
        <f t="shared" si="1"/>
        <v>45500</v>
      </c>
      <c r="L17" s="64">
        <f t="shared" si="2"/>
        <v>70</v>
      </c>
    </row>
    <row r="18" spans="1:12" ht="15.75" thickBot="1" x14ac:dyDescent="0.25">
      <c r="A18" s="12" t="str">
        <f>'Método Topsis'!A82</f>
        <v>Projeto 8</v>
      </c>
      <c r="B18" s="68">
        <f>'Método Topsis'!B82</f>
        <v>0.49658711626124163</v>
      </c>
      <c r="C18" s="63">
        <f>VLOOKUP(A18,Projetos!$A$3:$C$21,2,0)</f>
        <v>70000</v>
      </c>
      <c r="D18" s="78">
        <f>VLOOKUP(A18,Projetos!$A$3:$C$21,3,0)</f>
        <v>45</v>
      </c>
      <c r="E18" s="13">
        <v>14</v>
      </c>
      <c r="F18" s="13">
        <v>40</v>
      </c>
      <c r="G18" s="8"/>
      <c r="I18" s="12" t="s">
        <v>54</v>
      </c>
      <c r="J18" s="19">
        <f t="shared" si="0"/>
        <v>15</v>
      </c>
      <c r="K18" s="23">
        <f t="shared" si="1"/>
        <v>90000</v>
      </c>
      <c r="L18" s="64">
        <f t="shared" si="2"/>
        <v>90</v>
      </c>
    </row>
    <row r="19" spans="1:12" ht="15.75" thickBot="1" x14ac:dyDescent="0.25">
      <c r="A19" s="12" t="str">
        <f>'Método Topsis'!A83</f>
        <v>Projeto 15</v>
      </c>
      <c r="B19" s="68">
        <f>'Método Topsis'!B83</f>
        <v>0.52505575202607102</v>
      </c>
      <c r="C19" s="63">
        <f>VLOOKUP(A19,Projetos!$A$3:$C$21,2,0)</f>
        <v>1670000</v>
      </c>
      <c r="D19" s="78">
        <f>VLOOKUP(A19,Projetos!$A$3:$C$21,3,0)</f>
        <v>704</v>
      </c>
      <c r="E19" s="13">
        <v>15</v>
      </c>
      <c r="F19" s="13">
        <v>189</v>
      </c>
      <c r="G19" s="8"/>
      <c r="I19" s="12" t="s">
        <v>55</v>
      </c>
      <c r="J19" s="19">
        <f t="shared" si="0"/>
        <v>189</v>
      </c>
      <c r="K19" s="23">
        <f t="shared" si="1"/>
        <v>1670000</v>
      </c>
      <c r="L19" s="64">
        <f t="shared" si="2"/>
        <v>704</v>
      </c>
    </row>
    <row r="20" spans="1:12" ht="15" x14ac:dyDescent="0.25">
      <c r="B20" s="15"/>
      <c r="E20" s="15"/>
      <c r="G20" s="8"/>
      <c r="I20" s="15"/>
      <c r="J20" s="15"/>
      <c r="K20" s="15"/>
      <c r="L20" s="15"/>
    </row>
    <row r="21" spans="1:12" ht="15" x14ac:dyDescent="0.25">
      <c r="H21" s="8"/>
    </row>
    <row r="22" spans="1:12" x14ac:dyDescent="0.25">
      <c r="I22" s="111" t="s">
        <v>32</v>
      </c>
      <c r="J22" s="111"/>
      <c r="K22" s="111"/>
      <c r="L22" s="111"/>
    </row>
    <row r="23" spans="1:12" x14ac:dyDescent="0.25">
      <c r="I23" s="111"/>
      <c r="J23" s="111"/>
      <c r="K23" s="111"/>
      <c r="L23" s="111"/>
    </row>
    <row r="24" spans="1:12" x14ac:dyDescent="0.25">
      <c r="I24" s="111"/>
      <c r="J24" s="111"/>
      <c r="K24" s="111"/>
      <c r="L24" s="111"/>
    </row>
    <row r="25" spans="1:12" x14ac:dyDescent="0.25">
      <c r="I25" s="111"/>
      <c r="J25" s="111"/>
      <c r="K25" s="111"/>
      <c r="L25" s="111"/>
    </row>
    <row r="26" spans="1:12" x14ac:dyDescent="0.25">
      <c r="I26" s="111"/>
      <c r="J26" s="111"/>
      <c r="K26" s="111"/>
      <c r="L26" s="111"/>
    </row>
    <row r="27" spans="1:12" x14ac:dyDescent="0.25">
      <c r="I27" s="111"/>
      <c r="J27" s="111"/>
      <c r="K27" s="111"/>
      <c r="L27" s="111"/>
    </row>
    <row r="28" spans="1:12" x14ac:dyDescent="0.25">
      <c r="I28" s="111"/>
      <c r="J28" s="111"/>
      <c r="K28" s="111"/>
      <c r="L28" s="111"/>
    </row>
    <row r="29" spans="1:12" x14ac:dyDescent="0.25">
      <c r="I29" s="111"/>
      <c r="J29" s="111"/>
      <c r="K29" s="111"/>
      <c r="L29" s="111"/>
    </row>
    <row r="30" spans="1:12" x14ac:dyDescent="0.25">
      <c r="I30" s="111"/>
      <c r="J30" s="111"/>
      <c r="K30" s="111"/>
      <c r="L30" s="111"/>
    </row>
    <row r="31" spans="1:12" x14ac:dyDescent="0.25">
      <c r="I31" s="111"/>
      <c r="J31" s="111"/>
      <c r="K31" s="111"/>
      <c r="L31" s="111"/>
    </row>
    <row r="32" spans="1:12" x14ac:dyDescent="0.25">
      <c r="I32" s="111"/>
      <c r="J32" s="111"/>
      <c r="K32" s="111"/>
      <c r="L32" s="111"/>
    </row>
    <row r="33" spans="9:12" x14ac:dyDescent="0.25">
      <c r="I33" s="111"/>
      <c r="J33" s="111"/>
      <c r="K33" s="111"/>
      <c r="L33" s="111"/>
    </row>
  </sheetData>
  <sortState xmlns:xlrd2="http://schemas.microsoft.com/office/spreadsheetml/2017/richdata2" ref="I5:L13">
    <sortCondition ref="I5:I13"/>
  </sortState>
  <mergeCells count="5">
    <mergeCell ref="I22:L33"/>
    <mergeCell ref="A1:F1"/>
    <mergeCell ref="O3:S5"/>
    <mergeCell ref="A3:F3"/>
    <mergeCell ref="I3:L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EEBB-9C16-47FE-8F3E-F89F1F1D375B}">
  <dimension ref="A1:V46"/>
  <sheetViews>
    <sheetView zoomScale="80" zoomScaleNormal="80" workbookViewId="0">
      <selection activeCell="D4" sqref="D4"/>
    </sheetView>
  </sheetViews>
  <sheetFormatPr defaultColWidth="8.7109375" defaultRowHeight="14.25" x14ac:dyDescent="0.2"/>
  <cols>
    <col min="1" max="1" width="8.7109375" style="20"/>
    <col min="2" max="2" width="17" style="6" bestFit="1" customWidth="1"/>
    <col min="3" max="3" width="18.85546875" style="6" bestFit="1" customWidth="1"/>
    <col min="4" max="4" width="17" style="6" customWidth="1"/>
    <col min="5" max="5" width="18.85546875" style="6" bestFit="1" customWidth="1"/>
    <col min="6" max="6" width="9.85546875" style="6" customWidth="1"/>
    <col min="7" max="7" width="17.85546875" style="6" bestFit="1" customWidth="1"/>
    <col min="8" max="8" width="9.42578125" style="22" bestFit="1" customWidth="1"/>
    <col min="9" max="9" width="2.85546875" style="22" bestFit="1" customWidth="1"/>
    <col min="10" max="12" width="17.85546875" style="22" customWidth="1"/>
    <col min="13" max="15" width="8.7109375" style="6"/>
    <col min="16" max="18" width="8.7109375" style="17"/>
    <col min="19" max="16384" width="8.7109375" style="6"/>
  </cols>
  <sheetData>
    <row r="1" spans="1:22" x14ac:dyDescent="0.2">
      <c r="B1" s="116" t="s">
        <v>57</v>
      </c>
      <c r="C1" s="116"/>
      <c r="D1" s="116"/>
      <c r="E1" s="116"/>
      <c r="F1" s="116"/>
      <c r="G1" s="116"/>
    </row>
    <row r="2" spans="1:22" ht="15" thickBot="1" x14ac:dyDescent="0.25"/>
    <row r="3" spans="1:22" ht="15.95" customHeight="1" thickBot="1" x14ac:dyDescent="0.25">
      <c r="A3" s="65" t="s">
        <v>71</v>
      </c>
      <c r="B3" s="65" t="s">
        <v>23</v>
      </c>
      <c r="C3" s="65" t="s">
        <v>59</v>
      </c>
      <c r="D3" s="65" t="s">
        <v>69</v>
      </c>
      <c r="E3" s="65" t="s">
        <v>27</v>
      </c>
      <c r="F3" s="65" t="s">
        <v>28</v>
      </c>
      <c r="H3" s="65" t="s">
        <v>23</v>
      </c>
      <c r="I3" s="65" t="s">
        <v>28</v>
      </c>
      <c r="M3" s="22"/>
      <c r="S3" s="111" t="s">
        <v>32</v>
      </c>
      <c r="T3" s="111"/>
      <c r="U3" s="111"/>
      <c r="V3" s="111"/>
    </row>
    <row r="4" spans="1:22" s="82" customFormat="1" ht="15" thickBot="1" x14ac:dyDescent="0.25">
      <c r="A4" s="66">
        <v>1</v>
      </c>
      <c r="B4" s="66" t="str">
        <f>'Resumo pa'!I5</f>
        <v>Projeto 1</v>
      </c>
      <c r="C4" s="58">
        <f>'Resumo pa'!J5</f>
        <v>19</v>
      </c>
      <c r="D4" s="60">
        <f>'Resumo pa'!K5</f>
        <v>35000</v>
      </c>
      <c r="E4" s="58">
        <f>'Resumo pa'!L5</f>
        <v>35</v>
      </c>
      <c r="F4" s="59">
        <v>1</v>
      </c>
      <c r="H4" s="12" t="str">
        <f>B4</f>
        <v>Projeto 1</v>
      </c>
      <c r="I4" s="58">
        <f>F4</f>
        <v>1</v>
      </c>
      <c r="S4" s="111"/>
      <c r="T4" s="111"/>
      <c r="U4" s="111"/>
      <c r="V4" s="111"/>
    </row>
    <row r="5" spans="1:22" ht="15" thickBot="1" x14ac:dyDescent="0.25">
      <c r="A5" s="66">
        <v>2</v>
      </c>
      <c r="B5" s="66" t="str">
        <f>'Resumo pa'!I6</f>
        <v>Projeto 2</v>
      </c>
      <c r="C5" s="58">
        <f>'Resumo pa'!J6</f>
        <v>4</v>
      </c>
      <c r="D5" s="60">
        <f>'Resumo pa'!K6</f>
        <v>500000</v>
      </c>
      <c r="E5" s="58">
        <f>'Resumo pa'!L6</f>
        <v>520</v>
      </c>
      <c r="F5" s="59">
        <v>0</v>
      </c>
      <c r="H5" s="12" t="str">
        <f t="shared" ref="H5:H21" si="0">B5</f>
        <v>Projeto 2</v>
      </c>
      <c r="I5" s="58">
        <f t="shared" ref="I5:I21" si="1">F5</f>
        <v>0</v>
      </c>
      <c r="J5" s="67"/>
      <c r="M5" s="22"/>
      <c r="S5" s="111"/>
      <c r="T5" s="111"/>
      <c r="U5" s="111"/>
      <c r="V5" s="111"/>
    </row>
    <row r="6" spans="1:22" ht="15" thickBot="1" x14ac:dyDescent="0.25">
      <c r="A6" s="66">
        <v>3</v>
      </c>
      <c r="B6" s="66" t="str">
        <f>'Resumo pa'!I7</f>
        <v>Projeto 3</v>
      </c>
      <c r="C6" s="58">
        <f>'Resumo pa'!J7</f>
        <v>20</v>
      </c>
      <c r="D6" s="60">
        <f>'Resumo pa'!K7</f>
        <v>25000</v>
      </c>
      <c r="E6" s="58">
        <f>'Resumo pa'!L7</f>
        <v>35</v>
      </c>
      <c r="F6" s="59">
        <v>1</v>
      </c>
      <c r="H6" s="12" t="str">
        <f t="shared" si="0"/>
        <v>Projeto 3</v>
      </c>
      <c r="I6" s="58">
        <f t="shared" si="1"/>
        <v>1</v>
      </c>
      <c r="J6" s="67"/>
      <c r="M6" s="22"/>
      <c r="S6" s="111"/>
      <c r="T6" s="111"/>
      <c r="U6" s="111"/>
      <c r="V6" s="111"/>
    </row>
    <row r="7" spans="1:22" ht="15" thickBot="1" x14ac:dyDescent="0.25">
      <c r="A7" s="66">
        <v>4</v>
      </c>
      <c r="B7" s="66" t="str">
        <f>'Resumo pa'!I8</f>
        <v>Projeto 4</v>
      </c>
      <c r="C7" s="58">
        <f>'Resumo pa'!J8</f>
        <v>16</v>
      </c>
      <c r="D7" s="60">
        <f>'Resumo pa'!K8</f>
        <v>25500</v>
      </c>
      <c r="E7" s="58">
        <f>'Resumo pa'!L8</f>
        <v>45</v>
      </c>
      <c r="F7" s="59">
        <v>1</v>
      </c>
      <c r="H7" s="12" t="str">
        <f t="shared" si="0"/>
        <v>Projeto 4</v>
      </c>
      <c r="I7" s="58">
        <f t="shared" si="1"/>
        <v>1</v>
      </c>
      <c r="J7" s="67"/>
      <c r="M7" s="22"/>
      <c r="S7" s="111"/>
      <c r="T7" s="111"/>
      <c r="U7" s="111"/>
      <c r="V7" s="111"/>
    </row>
    <row r="8" spans="1:22" ht="15" thickBot="1" x14ac:dyDescent="0.25">
      <c r="A8" s="66">
        <v>5</v>
      </c>
      <c r="B8" s="66" t="str">
        <f>'Resumo pa'!I9</f>
        <v>Projeto 5</v>
      </c>
      <c r="C8" s="58">
        <f>'Resumo pa'!J9</f>
        <v>14</v>
      </c>
      <c r="D8" s="60">
        <f>'Resumo pa'!K9</f>
        <v>45000</v>
      </c>
      <c r="E8" s="58">
        <f>'Resumo pa'!L9</f>
        <v>40</v>
      </c>
      <c r="F8" s="59">
        <v>1</v>
      </c>
      <c r="H8" s="12" t="str">
        <f t="shared" si="0"/>
        <v>Projeto 5</v>
      </c>
      <c r="I8" s="58">
        <f t="shared" si="1"/>
        <v>1</v>
      </c>
      <c r="J8" s="67"/>
      <c r="M8" s="22"/>
      <c r="S8" s="111"/>
      <c r="T8" s="111"/>
      <c r="U8" s="111"/>
      <c r="V8" s="111"/>
    </row>
    <row r="9" spans="1:22" ht="15" thickBot="1" x14ac:dyDescent="0.25">
      <c r="A9" s="66">
        <v>6</v>
      </c>
      <c r="B9" s="66" t="str">
        <f>'Resumo pa'!I10</f>
        <v>Projeto 6</v>
      </c>
      <c r="C9" s="58">
        <f>'Resumo pa'!J10</f>
        <v>13</v>
      </c>
      <c r="D9" s="60">
        <f>'Resumo pa'!K10</f>
        <v>350000</v>
      </c>
      <c r="E9" s="58">
        <f>'Resumo pa'!L10</f>
        <v>370</v>
      </c>
      <c r="F9" s="59">
        <v>1</v>
      </c>
      <c r="H9" s="12" t="str">
        <f t="shared" si="0"/>
        <v>Projeto 6</v>
      </c>
      <c r="I9" s="58">
        <f t="shared" si="1"/>
        <v>1</v>
      </c>
      <c r="J9" s="67"/>
      <c r="M9" s="22"/>
      <c r="S9" s="111"/>
      <c r="T9" s="111"/>
      <c r="U9" s="111"/>
      <c r="V9" s="111"/>
    </row>
    <row r="10" spans="1:22" ht="15" thickBot="1" x14ac:dyDescent="0.25">
      <c r="A10" s="66">
        <v>7</v>
      </c>
      <c r="B10" s="66" t="str">
        <f>'Resumo pa'!I11</f>
        <v>Projeto 7</v>
      </c>
      <c r="C10" s="58">
        <f>'Resumo pa'!J11</f>
        <v>17</v>
      </c>
      <c r="D10" s="60">
        <f>'Resumo pa'!K11</f>
        <v>25000</v>
      </c>
      <c r="E10" s="58">
        <f>'Resumo pa'!L11</f>
        <v>50</v>
      </c>
      <c r="F10" s="59">
        <v>1</v>
      </c>
      <c r="H10" s="12" t="str">
        <f t="shared" si="0"/>
        <v>Projeto 7</v>
      </c>
      <c r="I10" s="58">
        <f t="shared" si="1"/>
        <v>1</v>
      </c>
      <c r="J10" s="67"/>
      <c r="M10" s="22"/>
      <c r="S10" s="111"/>
      <c r="T10" s="111"/>
      <c r="U10" s="111"/>
      <c r="V10" s="111"/>
    </row>
    <row r="11" spans="1:22" ht="15" thickBot="1" x14ac:dyDescent="0.25">
      <c r="A11" s="66">
        <v>8</v>
      </c>
      <c r="B11" s="66" t="str">
        <f>'Resumo pa'!I12</f>
        <v>Projeto 8</v>
      </c>
      <c r="C11" s="58">
        <f>'Resumo pa'!J12</f>
        <v>40</v>
      </c>
      <c r="D11" s="60">
        <f>'Resumo pa'!K12</f>
        <v>70000</v>
      </c>
      <c r="E11" s="58">
        <f>'Resumo pa'!L12</f>
        <v>45</v>
      </c>
      <c r="F11" s="59">
        <v>1</v>
      </c>
      <c r="H11" s="12" t="str">
        <f t="shared" si="0"/>
        <v>Projeto 8</v>
      </c>
      <c r="I11" s="58">
        <f t="shared" si="1"/>
        <v>1</v>
      </c>
      <c r="J11" s="67"/>
      <c r="M11" s="22"/>
      <c r="S11" s="111"/>
      <c r="T11" s="111"/>
      <c r="U11" s="111"/>
      <c r="V11" s="111"/>
    </row>
    <row r="12" spans="1:22" ht="15" thickBot="1" x14ac:dyDescent="0.25">
      <c r="A12" s="66">
        <v>9</v>
      </c>
      <c r="B12" s="66" t="str">
        <f>'Resumo pa'!I13</f>
        <v>Projeto 9</v>
      </c>
      <c r="C12" s="58">
        <f>'Resumo pa'!J13</f>
        <v>1</v>
      </c>
      <c r="D12" s="60">
        <f>'Resumo pa'!K13</f>
        <v>120000</v>
      </c>
      <c r="E12" s="58">
        <f>'Resumo pa'!L13</f>
        <v>340</v>
      </c>
      <c r="F12" s="59">
        <v>1</v>
      </c>
      <c r="H12" s="12" t="str">
        <f t="shared" si="0"/>
        <v>Projeto 9</v>
      </c>
      <c r="I12" s="58">
        <f t="shared" si="1"/>
        <v>1</v>
      </c>
      <c r="J12" s="67"/>
      <c r="M12" s="22"/>
      <c r="S12" s="111"/>
      <c r="T12" s="111"/>
      <c r="U12" s="111"/>
      <c r="V12" s="111"/>
    </row>
    <row r="13" spans="1:22" s="82" customFormat="1" ht="15" thickBot="1" x14ac:dyDescent="0.25">
      <c r="A13" s="66">
        <v>10</v>
      </c>
      <c r="B13" s="66" t="str">
        <f>'Resumo pa'!I14</f>
        <v>Projeto 10</v>
      </c>
      <c r="C13" s="58">
        <f>'Resumo pa'!J14</f>
        <v>5</v>
      </c>
      <c r="D13" s="60">
        <f>'Resumo pa'!K14</f>
        <v>85000</v>
      </c>
      <c r="E13" s="58">
        <f>'Resumo pa'!L14</f>
        <v>180</v>
      </c>
      <c r="F13" s="59">
        <v>1</v>
      </c>
      <c r="H13" s="12" t="str">
        <f t="shared" si="0"/>
        <v>Projeto 10</v>
      </c>
      <c r="I13" s="58">
        <f t="shared" si="1"/>
        <v>1</v>
      </c>
      <c r="S13" s="111"/>
      <c r="T13" s="111"/>
      <c r="U13" s="111"/>
      <c r="V13" s="111"/>
    </row>
    <row r="14" spans="1:22" ht="15" thickBot="1" x14ac:dyDescent="0.25">
      <c r="A14" s="66">
        <v>11</v>
      </c>
      <c r="B14" s="66" t="str">
        <f>'Resumo pa'!I15</f>
        <v>Projeto 11</v>
      </c>
      <c r="C14" s="58">
        <f>'Resumo pa'!J15</f>
        <v>2</v>
      </c>
      <c r="D14" s="60">
        <f>'Resumo pa'!K15</f>
        <v>350000</v>
      </c>
      <c r="E14" s="58">
        <f>'Resumo pa'!L15</f>
        <v>400</v>
      </c>
      <c r="F14" s="59">
        <v>0</v>
      </c>
      <c r="H14" s="12" t="str">
        <f t="shared" si="0"/>
        <v>Projeto 11</v>
      </c>
      <c r="I14" s="58">
        <f t="shared" si="1"/>
        <v>0</v>
      </c>
      <c r="J14" s="67"/>
      <c r="M14" s="22"/>
      <c r="S14" s="111"/>
      <c r="T14" s="111"/>
      <c r="U14" s="111"/>
      <c r="V14" s="111"/>
    </row>
    <row r="15" spans="1:22" s="82" customFormat="1" ht="15" thickBot="1" x14ac:dyDescent="0.25">
      <c r="A15" s="66">
        <v>12</v>
      </c>
      <c r="B15" s="66" t="str">
        <f>'Resumo pa'!I16</f>
        <v>Projeto 12</v>
      </c>
      <c r="C15" s="58">
        <f>'Resumo pa'!J16</f>
        <v>18</v>
      </c>
      <c r="D15" s="60">
        <f>'Resumo pa'!K16</f>
        <v>35500</v>
      </c>
      <c r="E15" s="58">
        <f>'Resumo pa'!L16</f>
        <v>40</v>
      </c>
      <c r="F15" s="59">
        <v>1</v>
      </c>
      <c r="H15" s="12" t="str">
        <f t="shared" si="0"/>
        <v>Projeto 12</v>
      </c>
      <c r="I15" s="58">
        <f t="shared" si="1"/>
        <v>1</v>
      </c>
      <c r="S15" s="111"/>
      <c r="T15" s="111"/>
      <c r="U15" s="111"/>
      <c r="V15" s="111"/>
    </row>
    <row r="16" spans="1:22" ht="15" thickBot="1" x14ac:dyDescent="0.25">
      <c r="A16" s="66">
        <v>13</v>
      </c>
      <c r="B16" s="66" t="str">
        <f>'Resumo pa'!I17</f>
        <v>Projeto 13</v>
      </c>
      <c r="C16" s="58">
        <f>'Resumo pa'!J17</f>
        <v>6</v>
      </c>
      <c r="D16" s="60">
        <f>'Resumo pa'!K17</f>
        <v>45500</v>
      </c>
      <c r="E16" s="58">
        <f>'Resumo pa'!L17</f>
        <v>70</v>
      </c>
      <c r="F16" s="59">
        <v>1</v>
      </c>
      <c r="H16" s="12" t="str">
        <f t="shared" si="0"/>
        <v>Projeto 13</v>
      </c>
      <c r="I16" s="58">
        <f t="shared" si="1"/>
        <v>1</v>
      </c>
      <c r="J16" s="67"/>
      <c r="M16" s="22"/>
      <c r="S16" s="111"/>
      <c r="T16" s="111"/>
      <c r="U16" s="111"/>
      <c r="V16" s="111"/>
    </row>
    <row r="17" spans="1:22" ht="15" thickBot="1" x14ac:dyDescent="0.25">
      <c r="A17" s="66">
        <v>14</v>
      </c>
      <c r="B17" s="66" t="str">
        <f>'Resumo pa'!I18</f>
        <v>Projeto 14</v>
      </c>
      <c r="C17" s="58">
        <f>'Resumo pa'!J18</f>
        <v>15</v>
      </c>
      <c r="D17" s="60">
        <f>'Resumo pa'!K18</f>
        <v>90000</v>
      </c>
      <c r="E17" s="58">
        <f>'Resumo pa'!L18</f>
        <v>90</v>
      </c>
      <c r="F17" s="59">
        <v>1</v>
      </c>
      <c r="H17" s="12" t="str">
        <f t="shared" si="0"/>
        <v>Projeto 14</v>
      </c>
      <c r="I17" s="58">
        <f t="shared" si="1"/>
        <v>1</v>
      </c>
      <c r="J17" s="67"/>
      <c r="M17" s="22"/>
      <c r="S17" s="111"/>
      <c r="T17" s="111"/>
      <c r="U17" s="111"/>
      <c r="V17" s="111"/>
    </row>
    <row r="18" spans="1:22" ht="15" thickBot="1" x14ac:dyDescent="0.25">
      <c r="A18" s="66">
        <v>15</v>
      </c>
      <c r="B18" s="66" t="str">
        <f>'Resumo pa'!I19</f>
        <v>Projeto 15</v>
      </c>
      <c r="C18" s="58">
        <f>'Resumo pa'!J19</f>
        <v>189</v>
      </c>
      <c r="D18" s="90">
        <v>0</v>
      </c>
      <c r="E18" s="58">
        <f>'Resumo pa'!L19</f>
        <v>704</v>
      </c>
      <c r="F18" s="59">
        <v>1</v>
      </c>
      <c r="H18" s="12" t="str">
        <f t="shared" si="0"/>
        <v>Projeto 15</v>
      </c>
      <c r="I18" s="58">
        <f t="shared" si="1"/>
        <v>1</v>
      </c>
      <c r="J18" s="67"/>
      <c r="M18" s="22"/>
      <c r="S18" s="111"/>
      <c r="T18" s="111"/>
      <c r="U18" s="111"/>
      <c r="V18" s="111"/>
    </row>
    <row r="19" spans="1:22" ht="15" thickBot="1" x14ac:dyDescent="0.25">
      <c r="A19" s="66">
        <v>16</v>
      </c>
      <c r="B19" s="66" t="s">
        <v>72</v>
      </c>
      <c r="C19" s="19" t="s">
        <v>74</v>
      </c>
      <c r="D19" s="83">
        <v>0</v>
      </c>
      <c r="E19" s="19">
        <v>1050</v>
      </c>
      <c r="F19" s="59">
        <v>1</v>
      </c>
      <c r="H19" s="12" t="str">
        <f t="shared" si="0"/>
        <v>Projeto R1</v>
      </c>
      <c r="I19" s="58">
        <f t="shared" si="1"/>
        <v>1</v>
      </c>
      <c r="J19" s="67"/>
      <c r="S19" s="111"/>
      <c r="T19" s="111"/>
      <c r="U19" s="111"/>
      <c r="V19" s="111"/>
    </row>
    <row r="20" spans="1:22" s="62" customFormat="1" ht="15" thickBot="1" x14ac:dyDescent="0.25">
      <c r="A20" s="66">
        <v>17</v>
      </c>
      <c r="B20" s="66" t="s">
        <v>73</v>
      </c>
      <c r="C20" s="19" t="s">
        <v>74</v>
      </c>
      <c r="D20" s="83">
        <v>0</v>
      </c>
      <c r="E20" s="19">
        <v>1140</v>
      </c>
      <c r="F20" s="59">
        <v>1</v>
      </c>
      <c r="H20" s="12" t="str">
        <f t="shared" si="0"/>
        <v>Projeto R2</v>
      </c>
      <c r="I20" s="58">
        <f t="shared" si="1"/>
        <v>1</v>
      </c>
      <c r="J20" s="67"/>
      <c r="S20" s="111"/>
      <c r="T20" s="111"/>
      <c r="U20" s="111"/>
      <c r="V20" s="111"/>
    </row>
    <row r="21" spans="1:22" s="20" customFormat="1" ht="15" thickBot="1" x14ac:dyDescent="0.25">
      <c r="A21" s="66">
        <v>18</v>
      </c>
      <c r="B21" s="66" t="s">
        <v>84</v>
      </c>
      <c r="C21" s="19" t="s">
        <v>74</v>
      </c>
      <c r="D21" s="83">
        <v>0</v>
      </c>
      <c r="E21" s="19">
        <v>880</v>
      </c>
      <c r="F21" s="59">
        <v>1</v>
      </c>
      <c r="H21" s="12" t="str">
        <f t="shared" si="0"/>
        <v>Projeto R3</v>
      </c>
      <c r="I21" s="58">
        <f t="shared" si="1"/>
        <v>1</v>
      </c>
      <c r="J21" s="67"/>
      <c r="K21" s="22"/>
      <c r="L21" s="22"/>
      <c r="S21" s="111"/>
      <c r="T21" s="111"/>
      <c r="U21" s="111"/>
      <c r="V21" s="111"/>
    </row>
    <row r="22" spans="1:22" s="20" customFormat="1" x14ac:dyDescent="0.2">
      <c r="G22" s="89"/>
      <c r="H22" s="22"/>
      <c r="I22" s="22"/>
      <c r="J22" s="22"/>
      <c r="K22" s="22"/>
      <c r="L22" s="22"/>
      <c r="S22" s="111"/>
      <c r="T22" s="111"/>
      <c r="U22" s="111"/>
      <c r="V22" s="111"/>
    </row>
    <row r="23" spans="1:22" ht="15" thickBot="1" x14ac:dyDescent="0.25">
      <c r="E23" s="24"/>
      <c r="G23" s="86"/>
      <c r="S23" s="111"/>
      <c r="T23" s="111"/>
      <c r="U23" s="111"/>
      <c r="V23" s="111"/>
    </row>
    <row r="24" spans="1:22" ht="15" thickBot="1" x14ac:dyDescent="0.25">
      <c r="B24" s="2" t="s">
        <v>25</v>
      </c>
      <c r="C24" s="1" t="s">
        <v>26</v>
      </c>
      <c r="D24" s="80"/>
      <c r="E24" s="76"/>
      <c r="F24" s="76"/>
      <c r="G24" s="76"/>
      <c r="H24" s="76"/>
      <c r="I24" s="76"/>
      <c r="J24" s="76"/>
      <c r="S24" s="111"/>
      <c r="T24" s="111"/>
      <c r="U24" s="111"/>
      <c r="V24" s="111"/>
    </row>
    <row r="25" spans="1:22" ht="14.45" customHeight="1" thickBot="1" x14ac:dyDescent="0.25">
      <c r="B25" s="2" t="s">
        <v>82</v>
      </c>
      <c r="C25" s="14">
        <v>1284822.72</v>
      </c>
      <c r="D25" s="88"/>
      <c r="E25" s="118" t="s">
        <v>94</v>
      </c>
      <c r="F25" s="118"/>
      <c r="G25" s="118"/>
      <c r="H25" s="81"/>
      <c r="I25" s="81"/>
      <c r="J25" s="81"/>
      <c r="K25" s="25"/>
      <c r="L25" s="25"/>
      <c r="S25" s="111"/>
      <c r="T25" s="111"/>
      <c r="U25" s="111"/>
      <c r="V25" s="111"/>
    </row>
    <row r="26" spans="1:22" ht="15" thickBot="1" x14ac:dyDescent="0.25">
      <c r="B26" s="2" t="s">
        <v>30</v>
      </c>
      <c r="C26" s="14">
        <f>SUMPRODUCT(D4:D21,F4:F21)</f>
        <v>951500</v>
      </c>
      <c r="D26" s="79"/>
      <c r="E26" s="118"/>
      <c r="F26" s="118"/>
      <c r="G26" s="118"/>
      <c r="H26" s="81"/>
      <c r="I26" s="81"/>
      <c r="J26" s="81"/>
      <c r="K26" s="24"/>
      <c r="L26" s="24"/>
      <c r="S26" s="111"/>
      <c r="T26" s="111"/>
      <c r="U26" s="111"/>
      <c r="V26" s="111"/>
    </row>
    <row r="27" spans="1:22" ht="15" thickBot="1" x14ac:dyDescent="0.25">
      <c r="B27" s="2" t="s">
        <v>83</v>
      </c>
      <c r="C27" s="3">
        <v>6050</v>
      </c>
      <c r="E27" s="118"/>
      <c r="F27" s="118"/>
      <c r="G27" s="118"/>
      <c r="H27" s="24"/>
      <c r="I27" s="24"/>
      <c r="J27" s="24"/>
      <c r="K27" s="24"/>
      <c r="L27" s="24"/>
    </row>
    <row r="28" spans="1:22" ht="15" thickBot="1" x14ac:dyDescent="0.25">
      <c r="B28" s="26" t="s">
        <v>31</v>
      </c>
      <c r="C28" s="27">
        <f>SUMPRODUCT(E4:E21,F4:F21)</f>
        <v>5114</v>
      </c>
      <c r="E28" s="119"/>
      <c r="F28" s="119"/>
      <c r="G28" s="119"/>
      <c r="M28" s="17"/>
      <c r="N28" s="17"/>
      <c r="O28" s="17"/>
      <c r="P28" s="6"/>
      <c r="Q28" s="6"/>
      <c r="R28" s="6"/>
    </row>
    <row r="29" spans="1:22" s="20" customFormat="1" ht="15.95" customHeight="1" thickBot="1" x14ac:dyDescent="0.25">
      <c r="B29" s="2" t="s">
        <v>75</v>
      </c>
      <c r="C29" s="3">
        <f>SUM(F4:F12)</f>
        <v>8</v>
      </c>
      <c r="E29" s="96"/>
      <c r="F29" s="96"/>
      <c r="G29" s="96"/>
      <c r="H29" s="22"/>
      <c r="I29" s="22"/>
      <c r="J29" s="84"/>
      <c r="K29" s="22"/>
      <c r="L29" s="22"/>
      <c r="M29" s="5"/>
      <c r="N29" s="5"/>
      <c r="O29" s="5"/>
      <c r="P29" s="5"/>
      <c r="Q29" s="5"/>
      <c r="R29" s="5"/>
    </row>
    <row r="30" spans="1:22" s="20" customFormat="1" ht="15.95" customHeight="1" thickBot="1" x14ac:dyDescent="0.25">
      <c r="B30" s="2" t="s">
        <v>76</v>
      </c>
      <c r="C30" s="3">
        <f>SUM(F13)</f>
        <v>1</v>
      </c>
      <c r="E30" s="96"/>
      <c r="F30" s="96"/>
      <c r="G30" s="96"/>
      <c r="H30" s="22"/>
      <c r="I30" s="22"/>
      <c r="J30" s="24"/>
      <c r="K30" s="22"/>
      <c r="L30" s="22"/>
      <c r="M30" s="5"/>
      <c r="N30" s="5"/>
      <c r="O30" s="5"/>
      <c r="P30" s="5"/>
      <c r="Q30" s="5"/>
      <c r="R30" s="5"/>
    </row>
    <row r="31" spans="1:22" s="20" customFormat="1" ht="15.95" customHeight="1" thickBot="1" x14ac:dyDescent="0.25">
      <c r="B31" s="2" t="s">
        <v>77</v>
      </c>
      <c r="C31" s="3">
        <f>SUM(F14:F17)</f>
        <v>3</v>
      </c>
      <c r="E31" s="24"/>
      <c r="G31" s="87"/>
      <c r="H31" s="22"/>
      <c r="I31" s="22"/>
      <c r="J31" s="24"/>
      <c r="K31" s="22"/>
      <c r="L31" s="22"/>
      <c r="M31" s="5"/>
      <c r="N31" s="5"/>
      <c r="O31" s="5"/>
      <c r="P31" s="5"/>
      <c r="Q31" s="5"/>
      <c r="R31" s="5"/>
    </row>
    <row r="32" spans="1:22" s="20" customFormat="1" ht="15.95" customHeight="1" thickBot="1" x14ac:dyDescent="0.25">
      <c r="B32" s="2" t="s">
        <v>78</v>
      </c>
      <c r="C32" s="3">
        <f>SUM(F18)</f>
        <v>1</v>
      </c>
      <c r="E32" s="84"/>
      <c r="G32" s="87"/>
      <c r="H32" s="22"/>
      <c r="I32" s="22"/>
      <c r="J32" s="22"/>
      <c r="K32" s="22"/>
      <c r="L32" s="22"/>
      <c r="M32" s="5"/>
      <c r="N32" s="5"/>
      <c r="O32" s="5"/>
      <c r="P32" s="5"/>
      <c r="Q32" s="5"/>
      <c r="R32" s="5"/>
    </row>
    <row r="33" spans="1:18" s="20" customFormat="1" ht="15.95" customHeight="1" thickBot="1" x14ac:dyDescent="0.25">
      <c r="B33" s="2" t="s">
        <v>85</v>
      </c>
      <c r="C33" s="3">
        <f>F19</f>
        <v>1</v>
      </c>
      <c r="E33" s="24"/>
      <c r="H33" s="22"/>
      <c r="I33" s="22"/>
      <c r="J33" s="22"/>
      <c r="K33" s="22"/>
      <c r="L33" s="22"/>
      <c r="M33" s="5"/>
      <c r="N33" s="5"/>
      <c r="O33" s="5"/>
      <c r="P33" s="5"/>
      <c r="Q33" s="5"/>
      <c r="R33" s="5"/>
    </row>
    <row r="34" spans="1:18" s="62" customFormat="1" ht="15.95" customHeight="1" thickBot="1" x14ac:dyDescent="0.25">
      <c r="B34" s="2" t="s">
        <v>86</v>
      </c>
      <c r="C34" s="3">
        <f>F20</f>
        <v>1</v>
      </c>
      <c r="E34" s="84"/>
      <c r="M34" s="5"/>
      <c r="N34" s="5"/>
      <c r="O34" s="5"/>
      <c r="P34" s="5"/>
      <c r="Q34" s="5"/>
      <c r="R34" s="5"/>
    </row>
    <row r="35" spans="1:18" ht="15.95" customHeight="1" thickBot="1" x14ac:dyDescent="0.25">
      <c r="B35" s="2" t="s">
        <v>87</v>
      </c>
      <c r="C35" s="3">
        <f>F21</f>
        <v>1</v>
      </c>
      <c r="E35" s="84"/>
      <c r="M35" s="5"/>
      <c r="N35" s="5"/>
      <c r="O35" s="5"/>
      <c r="P35" s="5"/>
      <c r="Q35" s="5"/>
      <c r="R35" s="5"/>
    </row>
    <row r="36" spans="1:18" ht="15" thickBot="1" x14ac:dyDescent="0.25">
      <c r="B36" s="2" t="s">
        <v>29</v>
      </c>
      <c r="C36" s="4">
        <f>SUMPRODUCT(C4:C18,F4:F18)</f>
        <v>373</v>
      </c>
      <c r="M36" s="5"/>
      <c r="N36" s="5"/>
      <c r="O36" s="5"/>
      <c r="P36" s="5"/>
      <c r="Q36" s="5"/>
      <c r="R36" s="5"/>
    </row>
    <row r="39" spans="1:18" x14ac:dyDescent="0.2">
      <c r="A39" s="20" t="s">
        <v>89</v>
      </c>
    </row>
    <row r="40" spans="1:18" x14ac:dyDescent="0.2">
      <c r="A40" s="20">
        <v>1</v>
      </c>
      <c r="B40" s="116" t="s">
        <v>90</v>
      </c>
      <c r="C40" s="116"/>
      <c r="D40" s="116"/>
      <c r="E40" s="76"/>
    </row>
    <row r="41" spans="1:18" x14ac:dyDescent="0.2">
      <c r="A41" s="112">
        <v>2</v>
      </c>
      <c r="B41" s="115" t="s">
        <v>91</v>
      </c>
      <c r="C41" s="115"/>
      <c r="D41" s="115"/>
      <c r="E41" s="117">
        <v>1284822.72</v>
      </c>
    </row>
    <row r="42" spans="1:18" ht="59.45" customHeight="1" x14ac:dyDescent="0.2">
      <c r="A42" s="112"/>
      <c r="B42" s="115"/>
      <c r="C42" s="115"/>
      <c r="D42" s="115"/>
      <c r="E42" s="117"/>
    </row>
    <row r="43" spans="1:18" x14ac:dyDescent="0.2">
      <c r="A43" s="112">
        <v>3</v>
      </c>
      <c r="B43" s="115" t="s">
        <v>92</v>
      </c>
      <c r="C43" s="115"/>
      <c r="D43" s="115"/>
    </row>
    <row r="44" spans="1:18" x14ac:dyDescent="0.2">
      <c r="A44" s="112"/>
      <c r="B44" s="115"/>
      <c r="C44" s="115"/>
      <c r="D44" s="115"/>
    </row>
    <row r="45" spans="1:18" x14ac:dyDescent="0.2">
      <c r="A45" s="112">
        <v>4</v>
      </c>
      <c r="B45" s="114" t="s">
        <v>93</v>
      </c>
      <c r="C45" s="114"/>
      <c r="D45" s="114"/>
    </row>
    <row r="46" spans="1:18" x14ac:dyDescent="0.2">
      <c r="A46" s="112"/>
      <c r="B46" s="114"/>
      <c r="C46" s="114"/>
      <c r="D46" s="114"/>
    </row>
  </sheetData>
  <mergeCells count="12">
    <mergeCell ref="B1:G1"/>
    <mergeCell ref="S3:V26"/>
    <mergeCell ref="B40:D40"/>
    <mergeCell ref="E41:E42"/>
    <mergeCell ref="E25:G27"/>
    <mergeCell ref="E28:G28"/>
    <mergeCell ref="B45:D46"/>
    <mergeCell ref="A45:A46"/>
    <mergeCell ref="B41:D42"/>
    <mergeCell ref="A41:A42"/>
    <mergeCell ref="B43:D44"/>
    <mergeCell ref="A43:A44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C29 C3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Método Topsis</vt:lpstr>
      <vt:lpstr>Projetos</vt:lpstr>
      <vt:lpstr>Resumo pa</vt:lpstr>
      <vt:lpstr>PLI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Cláudia Saraiva</dc:creator>
  <cp:lastModifiedBy>Yuri Barros</cp:lastModifiedBy>
  <cp:lastPrinted>2021-05-12T14:20:39Z</cp:lastPrinted>
  <dcterms:created xsi:type="dcterms:W3CDTF">2021-04-01T11:44:30Z</dcterms:created>
  <dcterms:modified xsi:type="dcterms:W3CDTF">2022-04-11T18:43:44Z</dcterms:modified>
</cp:coreProperties>
</file>