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tables/table25.xml" ContentType="application/vnd.openxmlformats-officedocument.spreadsheetml.table+xml"/>
  <Override PartName="/xl/tables/table3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tables/table19.xml" ContentType="application/vnd.openxmlformats-officedocument.spreadsheetml.table+xml"/>
  <Override PartName="/xl/charts/chart23.xml" ContentType="application/vnd.openxmlformats-officedocument.drawingml.chart+xml"/>
  <Override PartName="/xl/tables/table39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tables/table26.xml" ContentType="application/vnd.openxmlformats-officedocument.spreadsheetml.table+xml"/>
  <Override PartName="/xl/tables/table28.xml" ContentType="application/vnd.openxmlformats-officedocument.spreadsheetml.table+xml"/>
  <Override PartName="/xl/tables/table37.xml" ContentType="application/vnd.openxmlformats-officedocument.spreadsheetml.table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35.xml" ContentType="application/vnd.openxmlformats-officedocument.spreadsheetml.tab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tables/table40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tables/table29.xml" ContentType="application/vnd.openxmlformats-officedocument.spreadsheetml.table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tables/table38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tables/table27.xml" ContentType="application/vnd.openxmlformats-officedocument.spreadsheetml.table+xml"/>
  <Override PartName="/xl/tables/table3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2"/>
  </bookViews>
  <sheets>
    <sheet name="Original" sheetId="1" r:id="rId1"/>
    <sheet name="Rescaled" sheetId="2" r:id="rId2"/>
    <sheet name="T1" sheetId="10" r:id="rId3"/>
    <sheet name="Rescaled (3)" sheetId="13" r:id="rId4"/>
    <sheet name="T1 (3)" sheetId="14" r:id="rId5"/>
    <sheet name="Rescaled (2)" sheetId="12" r:id="rId6"/>
    <sheet name="T1 (2)" sheetId="11" r:id="rId7"/>
    <sheet name="T1 (4)" sheetId="15" r:id="rId8"/>
    <sheet name="T1 (5)" sheetId="16" r:id="rId9"/>
    <sheet name="T1 (6)" sheetId="17" r:id="rId10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N29" i="10"/>
  <c r="B48" i="17" l="1"/>
  <c r="C48"/>
  <c r="M48" s="1"/>
  <c r="D48"/>
  <c r="E48"/>
  <c r="F48"/>
  <c r="G48"/>
  <c r="H48"/>
  <c r="I48"/>
  <c r="J48"/>
  <c r="K48"/>
  <c r="C41"/>
  <c r="D41"/>
  <c r="E41"/>
  <c r="F41"/>
  <c r="G41"/>
  <c r="H41"/>
  <c r="I41"/>
  <c r="S41" s="1"/>
  <c r="J41"/>
  <c r="K41"/>
  <c r="C51"/>
  <c r="D51"/>
  <c r="E51"/>
  <c r="F51"/>
  <c r="G51"/>
  <c r="H51"/>
  <c r="I51"/>
  <c r="S51" s="1"/>
  <c r="J51"/>
  <c r="K51"/>
  <c r="AA27"/>
  <c r="Z27"/>
  <c r="Y27"/>
  <c r="AA26"/>
  <c r="Z26"/>
  <c r="Y26"/>
  <c r="AC26" s="1"/>
  <c r="K23"/>
  <c r="K52" s="1"/>
  <c r="U52" s="1"/>
  <c r="J23"/>
  <c r="J52" s="1"/>
  <c r="I23"/>
  <c r="I52" s="1"/>
  <c r="S52" s="1"/>
  <c r="H23"/>
  <c r="H52" s="1"/>
  <c r="G23"/>
  <c r="G52" s="1"/>
  <c r="Q52" s="1"/>
  <c r="F23"/>
  <c r="Z23" s="1"/>
  <c r="E23"/>
  <c r="E52" s="1"/>
  <c r="O52" s="1"/>
  <c r="D23"/>
  <c r="D52" s="1"/>
  <c r="C23"/>
  <c r="C52" s="1"/>
  <c r="M52" s="1"/>
  <c r="B23"/>
  <c r="B52" s="1"/>
  <c r="AB22"/>
  <c r="AG22" s="1"/>
  <c r="Q51"/>
  <c r="O51"/>
  <c r="Y22"/>
  <c r="AD22" s="1"/>
  <c r="B51"/>
  <c r="K21"/>
  <c r="K50" s="1"/>
  <c r="U50" s="1"/>
  <c r="J21"/>
  <c r="J50" s="1"/>
  <c r="I21"/>
  <c r="I50" s="1"/>
  <c r="S50" s="1"/>
  <c r="H21"/>
  <c r="H50" s="1"/>
  <c r="G21"/>
  <c r="G50" s="1"/>
  <c r="Q50" s="1"/>
  <c r="F21"/>
  <c r="F50" s="1"/>
  <c r="E21"/>
  <c r="E50" s="1"/>
  <c r="O50" s="1"/>
  <c r="D21"/>
  <c r="D50" s="1"/>
  <c r="C21"/>
  <c r="C50" s="1"/>
  <c r="M50" s="1"/>
  <c r="B21"/>
  <c r="X21" s="1"/>
  <c r="AC21" s="1"/>
  <c r="K20"/>
  <c r="K49" s="1"/>
  <c r="U49" s="1"/>
  <c r="J20"/>
  <c r="J49" s="1"/>
  <c r="I20"/>
  <c r="I49" s="1"/>
  <c r="S49" s="1"/>
  <c r="H20"/>
  <c r="AA20" s="1"/>
  <c r="AF20" s="1"/>
  <c r="G20"/>
  <c r="G49" s="1"/>
  <c r="Q49" s="1"/>
  <c r="F20"/>
  <c r="Z20" s="1"/>
  <c r="AE20" s="1"/>
  <c r="E20"/>
  <c r="E49" s="1"/>
  <c r="O49" s="1"/>
  <c r="D20"/>
  <c r="Y20" s="1"/>
  <c r="AD20" s="1"/>
  <c r="C20"/>
  <c r="C49" s="1"/>
  <c r="M49" s="1"/>
  <c r="B20"/>
  <c r="B49" s="1"/>
  <c r="U48"/>
  <c r="S48"/>
  <c r="Q48"/>
  <c r="Z19"/>
  <c r="AE19" s="1"/>
  <c r="Y19"/>
  <c r="AD19" s="1"/>
  <c r="K18"/>
  <c r="K47" s="1"/>
  <c r="U47" s="1"/>
  <c r="J18"/>
  <c r="AB18" s="1"/>
  <c r="AG18" s="1"/>
  <c r="I18"/>
  <c r="I47" s="1"/>
  <c r="S47" s="1"/>
  <c r="H18"/>
  <c r="H47" s="1"/>
  <c r="G18"/>
  <c r="G47" s="1"/>
  <c r="Q47" s="1"/>
  <c r="F18"/>
  <c r="F47" s="1"/>
  <c r="E18"/>
  <c r="Y18" s="1"/>
  <c r="AD18" s="1"/>
  <c r="D18"/>
  <c r="D47" s="1"/>
  <c r="C18"/>
  <c r="C47" s="1"/>
  <c r="M47" s="1"/>
  <c r="B18"/>
  <c r="B47" s="1"/>
  <c r="K17"/>
  <c r="K46" s="1"/>
  <c r="U46" s="1"/>
  <c r="J17"/>
  <c r="J46" s="1"/>
  <c r="I17"/>
  <c r="I46" s="1"/>
  <c r="S46" s="1"/>
  <c r="H17"/>
  <c r="H46" s="1"/>
  <c r="G17"/>
  <c r="G46" s="1"/>
  <c r="Q46" s="1"/>
  <c r="F17"/>
  <c r="F46" s="1"/>
  <c r="E17"/>
  <c r="E46" s="1"/>
  <c r="O46" s="1"/>
  <c r="D17"/>
  <c r="D46" s="1"/>
  <c r="C17"/>
  <c r="C46" s="1"/>
  <c r="M46" s="1"/>
  <c r="B17"/>
  <c r="X17" s="1"/>
  <c r="AC17" s="1"/>
  <c r="K16"/>
  <c r="K45" s="1"/>
  <c r="U45" s="1"/>
  <c r="J16"/>
  <c r="J45" s="1"/>
  <c r="I16"/>
  <c r="I45" s="1"/>
  <c r="S45" s="1"/>
  <c r="H16"/>
  <c r="AA16" s="1"/>
  <c r="AF16" s="1"/>
  <c r="G16"/>
  <c r="G45" s="1"/>
  <c r="Q45" s="1"/>
  <c r="F16"/>
  <c r="Z16" s="1"/>
  <c r="AE16" s="1"/>
  <c r="E16"/>
  <c r="Y16" s="1"/>
  <c r="AD16" s="1"/>
  <c r="D16"/>
  <c r="D45" s="1"/>
  <c r="C16"/>
  <c r="C45" s="1"/>
  <c r="M45" s="1"/>
  <c r="B16"/>
  <c r="B45" s="1"/>
  <c r="K15"/>
  <c r="K44" s="1"/>
  <c r="U44" s="1"/>
  <c r="J15"/>
  <c r="J44" s="1"/>
  <c r="I15"/>
  <c r="I44" s="1"/>
  <c r="S44" s="1"/>
  <c r="H15"/>
  <c r="H44" s="1"/>
  <c r="G15"/>
  <c r="G44" s="1"/>
  <c r="Q44" s="1"/>
  <c r="F15"/>
  <c r="Z15" s="1"/>
  <c r="AE15" s="1"/>
  <c r="E15"/>
  <c r="Y15" s="1"/>
  <c r="AD15" s="1"/>
  <c r="D15"/>
  <c r="D44" s="1"/>
  <c r="C15"/>
  <c r="C44" s="1"/>
  <c r="M44" s="1"/>
  <c r="B15"/>
  <c r="B44" s="1"/>
  <c r="K14"/>
  <c r="K43" s="1"/>
  <c r="U43" s="1"/>
  <c r="J14"/>
  <c r="AB14" s="1"/>
  <c r="AG14" s="1"/>
  <c r="I14"/>
  <c r="I43" s="1"/>
  <c r="S43" s="1"/>
  <c r="H14"/>
  <c r="H43" s="1"/>
  <c r="G14"/>
  <c r="G43" s="1"/>
  <c r="Q43" s="1"/>
  <c r="F14"/>
  <c r="F43" s="1"/>
  <c r="E14"/>
  <c r="Y14" s="1"/>
  <c r="AD14" s="1"/>
  <c r="D14"/>
  <c r="D43" s="1"/>
  <c r="C14"/>
  <c r="C43" s="1"/>
  <c r="M43" s="1"/>
  <c r="B14"/>
  <c r="B43" s="1"/>
  <c r="K13"/>
  <c r="K42" s="1"/>
  <c r="U42" s="1"/>
  <c r="J13"/>
  <c r="J42" s="1"/>
  <c r="I13"/>
  <c r="I42" s="1"/>
  <c r="S42" s="1"/>
  <c r="H13"/>
  <c r="H42" s="1"/>
  <c r="G13"/>
  <c r="G42" s="1"/>
  <c r="Q42" s="1"/>
  <c r="F13"/>
  <c r="F42" s="1"/>
  <c r="E13"/>
  <c r="E42" s="1"/>
  <c r="O42" s="1"/>
  <c r="D13"/>
  <c r="D42" s="1"/>
  <c r="C13"/>
  <c r="C42" s="1"/>
  <c r="M42" s="1"/>
  <c r="B13"/>
  <c r="X13" s="1"/>
  <c r="AC13" s="1"/>
  <c r="AA12"/>
  <c r="AF12" s="1"/>
  <c r="Q41"/>
  <c r="Z12"/>
  <c r="AE12" s="1"/>
  <c r="Y12"/>
  <c r="AD12" s="1"/>
  <c r="M41"/>
  <c r="B41"/>
  <c r="K11"/>
  <c r="K40" s="1"/>
  <c r="U40" s="1"/>
  <c r="J11"/>
  <c r="J40" s="1"/>
  <c r="I11"/>
  <c r="I40" s="1"/>
  <c r="S40" s="1"/>
  <c r="H11"/>
  <c r="H40" s="1"/>
  <c r="G11"/>
  <c r="G40" s="1"/>
  <c r="Q40" s="1"/>
  <c r="F11"/>
  <c r="Z11" s="1"/>
  <c r="AE11" s="1"/>
  <c r="E11"/>
  <c r="Y11" s="1"/>
  <c r="AD11" s="1"/>
  <c r="D11"/>
  <c r="D40" s="1"/>
  <c r="C11"/>
  <c r="C40" s="1"/>
  <c r="M40" s="1"/>
  <c r="B11"/>
  <c r="B40" s="1"/>
  <c r="K10"/>
  <c r="K39" s="1"/>
  <c r="U39" s="1"/>
  <c r="J10"/>
  <c r="AB10" s="1"/>
  <c r="AG10" s="1"/>
  <c r="I10"/>
  <c r="I39" s="1"/>
  <c r="S39" s="1"/>
  <c r="H10"/>
  <c r="H39" s="1"/>
  <c r="G10"/>
  <c r="G39" s="1"/>
  <c r="Q39" s="1"/>
  <c r="F10"/>
  <c r="F39" s="1"/>
  <c r="E10"/>
  <c r="Y10" s="1"/>
  <c r="AD10" s="1"/>
  <c r="D10"/>
  <c r="D39" s="1"/>
  <c r="C10"/>
  <c r="C39" s="1"/>
  <c r="M39" s="1"/>
  <c r="B10"/>
  <c r="B39" s="1"/>
  <c r="K9"/>
  <c r="K38" s="1"/>
  <c r="U38" s="1"/>
  <c r="J9"/>
  <c r="J38" s="1"/>
  <c r="I9"/>
  <c r="I38" s="1"/>
  <c r="S38" s="1"/>
  <c r="H9"/>
  <c r="H38" s="1"/>
  <c r="G9"/>
  <c r="G38" s="1"/>
  <c r="Q38" s="1"/>
  <c r="F9"/>
  <c r="F38" s="1"/>
  <c r="E9"/>
  <c r="E38" s="1"/>
  <c r="O38" s="1"/>
  <c r="D9"/>
  <c r="D38" s="1"/>
  <c r="C9"/>
  <c r="C38" s="1"/>
  <c r="M38" s="1"/>
  <c r="B9"/>
  <c r="X9" s="1"/>
  <c r="AC9" s="1"/>
  <c r="K8"/>
  <c r="K37" s="1"/>
  <c r="U37" s="1"/>
  <c r="J8"/>
  <c r="J37" s="1"/>
  <c r="I8"/>
  <c r="I37" s="1"/>
  <c r="S37" s="1"/>
  <c r="H8"/>
  <c r="AA8" s="1"/>
  <c r="AF8" s="1"/>
  <c r="G8"/>
  <c r="G37" s="1"/>
  <c r="Q37" s="1"/>
  <c r="F8"/>
  <c r="Z8" s="1"/>
  <c r="AE8" s="1"/>
  <c r="E8"/>
  <c r="Y8" s="1"/>
  <c r="AD8" s="1"/>
  <c r="D8"/>
  <c r="D37" s="1"/>
  <c r="C8"/>
  <c r="C37" s="1"/>
  <c r="M37" s="1"/>
  <c r="B8"/>
  <c r="B37" s="1"/>
  <c r="K7"/>
  <c r="K36" s="1"/>
  <c r="U36" s="1"/>
  <c r="J7"/>
  <c r="J36" s="1"/>
  <c r="I7"/>
  <c r="I36" s="1"/>
  <c r="S36" s="1"/>
  <c r="H7"/>
  <c r="H36" s="1"/>
  <c r="G7"/>
  <c r="G36" s="1"/>
  <c r="Q36" s="1"/>
  <c r="F7"/>
  <c r="Z7" s="1"/>
  <c r="AE7" s="1"/>
  <c r="E7"/>
  <c r="Y7" s="1"/>
  <c r="AD7" s="1"/>
  <c r="D7"/>
  <c r="D36" s="1"/>
  <c r="C7"/>
  <c r="C36" s="1"/>
  <c r="M36" s="1"/>
  <c r="B7"/>
  <c r="B36" s="1"/>
  <c r="K6"/>
  <c r="K35" s="1"/>
  <c r="U35" s="1"/>
  <c r="J6"/>
  <c r="AB6" s="1"/>
  <c r="AG6" s="1"/>
  <c r="I6"/>
  <c r="I35" s="1"/>
  <c r="S35" s="1"/>
  <c r="H6"/>
  <c r="H35" s="1"/>
  <c r="G6"/>
  <c r="G35" s="1"/>
  <c r="Q35" s="1"/>
  <c r="F6"/>
  <c r="F35" s="1"/>
  <c r="E6"/>
  <c r="Y6" s="1"/>
  <c r="AD6" s="1"/>
  <c r="D6"/>
  <c r="D35" s="1"/>
  <c r="C6"/>
  <c r="C35" s="1"/>
  <c r="M35" s="1"/>
  <c r="B6"/>
  <c r="B35" s="1"/>
  <c r="K5"/>
  <c r="K34" s="1"/>
  <c r="U34" s="1"/>
  <c r="J5"/>
  <c r="J34" s="1"/>
  <c r="I5"/>
  <c r="I34" s="1"/>
  <c r="S34" s="1"/>
  <c r="H5"/>
  <c r="H34" s="1"/>
  <c r="G5"/>
  <c r="G34" s="1"/>
  <c r="Q34" s="1"/>
  <c r="F5"/>
  <c r="F34" s="1"/>
  <c r="E5"/>
  <c r="E34" s="1"/>
  <c r="O34" s="1"/>
  <c r="D5"/>
  <c r="D34" s="1"/>
  <c r="C5"/>
  <c r="C34" s="1"/>
  <c r="M34" s="1"/>
  <c r="B5"/>
  <c r="X5" s="1"/>
  <c r="AC5" s="1"/>
  <c r="K4"/>
  <c r="K33" s="1"/>
  <c r="U33" s="1"/>
  <c r="J4"/>
  <c r="J33" s="1"/>
  <c r="I4"/>
  <c r="I33" s="1"/>
  <c r="S33" s="1"/>
  <c r="H4"/>
  <c r="AA4" s="1"/>
  <c r="AF4" s="1"/>
  <c r="G4"/>
  <c r="G33" s="1"/>
  <c r="Q33" s="1"/>
  <c r="F4"/>
  <c r="Z4" s="1"/>
  <c r="AE4" s="1"/>
  <c r="E4"/>
  <c r="Y4" s="1"/>
  <c r="AD4" s="1"/>
  <c r="D4"/>
  <c r="D33" s="1"/>
  <c r="C4"/>
  <c r="C33" s="1"/>
  <c r="M33" s="1"/>
  <c r="B4"/>
  <c r="B33" s="1"/>
  <c r="K3"/>
  <c r="K32" s="1"/>
  <c r="U32" s="1"/>
  <c r="J3"/>
  <c r="J32" s="1"/>
  <c r="I3"/>
  <c r="I32" s="1"/>
  <c r="S32" s="1"/>
  <c r="H3"/>
  <c r="H32" s="1"/>
  <c r="G3"/>
  <c r="G32" s="1"/>
  <c r="Q32" s="1"/>
  <c r="F3"/>
  <c r="Z3" s="1"/>
  <c r="AE3" s="1"/>
  <c r="E3"/>
  <c r="Y3" s="1"/>
  <c r="AD3" s="1"/>
  <c r="D3"/>
  <c r="D32" s="1"/>
  <c r="C3"/>
  <c r="C32" s="1"/>
  <c r="M32" s="1"/>
  <c r="B3"/>
  <c r="B32" s="1"/>
  <c r="K31"/>
  <c r="U31" s="1"/>
  <c r="AB2"/>
  <c r="AG2" s="1"/>
  <c r="I31"/>
  <c r="S31" s="1"/>
  <c r="H31"/>
  <c r="G31"/>
  <c r="Q31" s="1"/>
  <c r="F31"/>
  <c r="Y2"/>
  <c r="AD2" s="1"/>
  <c r="D31"/>
  <c r="C31"/>
  <c r="M31" s="1"/>
  <c r="B31"/>
  <c r="AA27" i="16"/>
  <c r="Z27"/>
  <c r="Y27"/>
  <c r="AA26"/>
  <c r="Z26"/>
  <c r="Y26"/>
  <c r="AC26" s="1"/>
  <c r="AB23"/>
  <c r="AG23" s="1"/>
  <c r="K23"/>
  <c r="K52" s="1"/>
  <c r="J23"/>
  <c r="J52" s="1"/>
  <c r="I23"/>
  <c r="I52" s="1"/>
  <c r="H23"/>
  <c r="H52" s="1"/>
  <c r="G23"/>
  <c r="G52" s="1"/>
  <c r="F23"/>
  <c r="Z23" s="1"/>
  <c r="AE23" s="1"/>
  <c r="E23"/>
  <c r="E52" s="1"/>
  <c r="D23"/>
  <c r="D52" s="1"/>
  <c r="C23"/>
  <c r="C52" s="1"/>
  <c r="B23"/>
  <c r="B52" s="1"/>
  <c r="K51"/>
  <c r="AB22"/>
  <c r="AG22" s="1"/>
  <c r="I51"/>
  <c r="H51"/>
  <c r="G51"/>
  <c r="F51"/>
  <c r="E51"/>
  <c r="Y22"/>
  <c r="AD22" s="1"/>
  <c r="C51"/>
  <c r="B51"/>
  <c r="AB21"/>
  <c r="AG21" s="1"/>
  <c r="K21"/>
  <c r="K50" s="1"/>
  <c r="J21"/>
  <c r="J50" s="1"/>
  <c r="I21"/>
  <c r="I50" s="1"/>
  <c r="H21"/>
  <c r="H50" s="1"/>
  <c r="G21"/>
  <c r="G50" s="1"/>
  <c r="F21"/>
  <c r="F50" s="1"/>
  <c r="E21"/>
  <c r="E50" s="1"/>
  <c r="D21"/>
  <c r="D50" s="1"/>
  <c r="C21"/>
  <c r="C50" s="1"/>
  <c r="B21"/>
  <c r="X21" s="1"/>
  <c r="AC21" s="1"/>
  <c r="K49"/>
  <c r="J49"/>
  <c r="I49"/>
  <c r="AA20"/>
  <c r="AF20" s="1"/>
  <c r="G49"/>
  <c r="Z20"/>
  <c r="AE20" s="1"/>
  <c r="E49"/>
  <c r="Y20"/>
  <c r="AD20" s="1"/>
  <c r="C49"/>
  <c r="B49"/>
  <c r="AB19"/>
  <c r="AG19" s="1"/>
  <c r="K48"/>
  <c r="J48"/>
  <c r="I48"/>
  <c r="H48"/>
  <c r="G48"/>
  <c r="Z19"/>
  <c r="AE19" s="1"/>
  <c r="E48"/>
  <c r="D48"/>
  <c r="C48"/>
  <c r="B48"/>
  <c r="AA18"/>
  <c r="AF18" s="1"/>
  <c r="X18"/>
  <c r="AC18" s="1"/>
  <c r="K47"/>
  <c r="AB18"/>
  <c r="AG18" s="1"/>
  <c r="I47"/>
  <c r="H47"/>
  <c r="G47"/>
  <c r="F47"/>
  <c r="E47"/>
  <c r="Y18"/>
  <c r="AD18" s="1"/>
  <c r="C47"/>
  <c r="B47"/>
  <c r="AB17"/>
  <c r="AG17" s="1"/>
  <c r="K46"/>
  <c r="J46"/>
  <c r="I46"/>
  <c r="H46"/>
  <c r="G46"/>
  <c r="F46"/>
  <c r="E46"/>
  <c r="D46"/>
  <c r="C46"/>
  <c r="X17"/>
  <c r="AC17" s="1"/>
  <c r="AF16"/>
  <c r="AA16"/>
  <c r="X16"/>
  <c r="AC16" s="1"/>
  <c r="K16"/>
  <c r="K45" s="1"/>
  <c r="J16"/>
  <c r="J45" s="1"/>
  <c r="I16"/>
  <c r="I45" s="1"/>
  <c r="H16"/>
  <c r="H45" s="1"/>
  <c r="G16"/>
  <c r="G45" s="1"/>
  <c r="F16"/>
  <c r="Z16" s="1"/>
  <c r="AE16" s="1"/>
  <c r="E16"/>
  <c r="E45" s="1"/>
  <c r="D16"/>
  <c r="Y16" s="1"/>
  <c r="AD16" s="1"/>
  <c r="C45"/>
  <c r="B45"/>
  <c r="AB15"/>
  <c r="AG15" s="1"/>
  <c r="K15"/>
  <c r="K44" s="1"/>
  <c r="J15"/>
  <c r="J44" s="1"/>
  <c r="I15"/>
  <c r="I44" s="1"/>
  <c r="H15"/>
  <c r="H44" s="1"/>
  <c r="G15"/>
  <c r="G44" s="1"/>
  <c r="F15"/>
  <c r="Z15" s="1"/>
  <c r="AE15" s="1"/>
  <c r="E15"/>
  <c r="E44" s="1"/>
  <c r="D15"/>
  <c r="D44" s="1"/>
  <c r="C15"/>
  <c r="C44" s="1"/>
  <c r="B15"/>
  <c r="B44" s="1"/>
  <c r="AF14"/>
  <c r="AA14"/>
  <c r="X14"/>
  <c r="AC14" s="1"/>
  <c r="K14"/>
  <c r="K43" s="1"/>
  <c r="J14"/>
  <c r="AB14" s="1"/>
  <c r="AG14" s="1"/>
  <c r="I14"/>
  <c r="I43" s="1"/>
  <c r="H14"/>
  <c r="H43" s="1"/>
  <c r="G14"/>
  <c r="G43" s="1"/>
  <c r="F14"/>
  <c r="F43" s="1"/>
  <c r="E14"/>
  <c r="E43" s="1"/>
  <c r="D14"/>
  <c r="Y14" s="1"/>
  <c r="AD14" s="1"/>
  <c r="C14"/>
  <c r="C43" s="1"/>
  <c r="B14"/>
  <c r="B43" s="1"/>
  <c r="AB13"/>
  <c r="AG13" s="1"/>
  <c r="K13"/>
  <c r="K42" s="1"/>
  <c r="J13"/>
  <c r="J42" s="1"/>
  <c r="I13"/>
  <c r="I42" s="1"/>
  <c r="H13"/>
  <c r="H42" s="1"/>
  <c r="G13"/>
  <c r="G42" s="1"/>
  <c r="F13"/>
  <c r="F42" s="1"/>
  <c r="E13"/>
  <c r="E42" s="1"/>
  <c r="D13"/>
  <c r="D42" s="1"/>
  <c r="C13"/>
  <c r="C42" s="1"/>
  <c r="B13"/>
  <c r="X13" s="1"/>
  <c r="AC13" s="1"/>
  <c r="AA12"/>
  <c r="AF12" s="1"/>
  <c r="X12"/>
  <c r="AC12" s="1"/>
  <c r="K41"/>
  <c r="J41"/>
  <c r="I41"/>
  <c r="H41"/>
  <c r="G41"/>
  <c r="Z12"/>
  <c r="AE12" s="1"/>
  <c r="E41"/>
  <c r="Y12"/>
  <c r="AD12" s="1"/>
  <c r="C41"/>
  <c r="B41"/>
  <c r="AB11"/>
  <c r="AG11" s="1"/>
  <c r="K40"/>
  <c r="J40"/>
  <c r="I40"/>
  <c r="H40"/>
  <c r="G40"/>
  <c r="Z11"/>
  <c r="AE11" s="1"/>
  <c r="E40"/>
  <c r="D40"/>
  <c r="C40"/>
  <c r="B40"/>
  <c r="AF10"/>
  <c r="AA10"/>
  <c r="X10"/>
  <c r="AC10" s="1"/>
  <c r="K10"/>
  <c r="K39" s="1"/>
  <c r="J10"/>
  <c r="AB10" s="1"/>
  <c r="AG10" s="1"/>
  <c r="I10"/>
  <c r="I39" s="1"/>
  <c r="H10"/>
  <c r="H39" s="1"/>
  <c r="G10"/>
  <c r="G39" s="1"/>
  <c r="F10"/>
  <c r="F39" s="1"/>
  <c r="E39"/>
  <c r="Y10"/>
  <c r="AD10" s="1"/>
  <c r="C10"/>
  <c r="C39" s="1"/>
  <c r="B10"/>
  <c r="B39" s="1"/>
  <c r="AB9"/>
  <c r="AG9" s="1"/>
  <c r="K9"/>
  <c r="K38" s="1"/>
  <c r="J9"/>
  <c r="J38" s="1"/>
  <c r="I9"/>
  <c r="I38" s="1"/>
  <c r="H9"/>
  <c r="H38" s="1"/>
  <c r="G9"/>
  <c r="G38" s="1"/>
  <c r="F9"/>
  <c r="F38" s="1"/>
  <c r="E9"/>
  <c r="E38" s="1"/>
  <c r="D9"/>
  <c r="D38" s="1"/>
  <c r="C9"/>
  <c r="C38" s="1"/>
  <c r="B9"/>
  <c r="X9" s="1"/>
  <c r="AC9" s="1"/>
  <c r="AA8"/>
  <c r="AF8" s="1"/>
  <c r="X8"/>
  <c r="AC8" s="1"/>
  <c r="K37"/>
  <c r="J37"/>
  <c r="I37"/>
  <c r="H37"/>
  <c r="G37"/>
  <c r="Z8"/>
  <c r="AE8" s="1"/>
  <c r="E37"/>
  <c r="Y8"/>
  <c r="AD8" s="1"/>
  <c r="C37"/>
  <c r="B37"/>
  <c r="AB7"/>
  <c r="AG7" s="1"/>
  <c r="K7"/>
  <c r="K36" s="1"/>
  <c r="J7"/>
  <c r="J36" s="1"/>
  <c r="I7"/>
  <c r="I36" s="1"/>
  <c r="H7"/>
  <c r="H36" s="1"/>
  <c r="G7"/>
  <c r="G36" s="1"/>
  <c r="F7"/>
  <c r="Z7" s="1"/>
  <c r="AE7" s="1"/>
  <c r="E7"/>
  <c r="E36" s="1"/>
  <c r="D7"/>
  <c r="D36" s="1"/>
  <c r="C7"/>
  <c r="C36" s="1"/>
  <c r="B7"/>
  <c r="B36" s="1"/>
  <c r="AF6"/>
  <c r="AA6"/>
  <c r="X6"/>
  <c r="AC6" s="1"/>
  <c r="K6"/>
  <c r="K35" s="1"/>
  <c r="J6"/>
  <c r="AB6" s="1"/>
  <c r="AG6" s="1"/>
  <c r="I6"/>
  <c r="I35" s="1"/>
  <c r="H6"/>
  <c r="H35" s="1"/>
  <c r="G6"/>
  <c r="G35" s="1"/>
  <c r="F6"/>
  <c r="F35" s="1"/>
  <c r="E6"/>
  <c r="E35" s="1"/>
  <c r="D6"/>
  <c r="Y6" s="1"/>
  <c r="AD6" s="1"/>
  <c r="C6"/>
  <c r="C35" s="1"/>
  <c r="B6"/>
  <c r="B35" s="1"/>
  <c r="AB5"/>
  <c r="AG5" s="1"/>
  <c r="K5"/>
  <c r="K34" s="1"/>
  <c r="J5"/>
  <c r="J34" s="1"/>
  <c r="I5"/>
  <c r="I34" s="1"/>
  <c r="H5"/>
  <c r="H34" s="1"/>
  <c r="G5"/>
  <c r="G34" s="1"/>
  <c r="F5"/>
  <c r="F34" s="1"/>
  <c r="E5"/>
  <c r="E34" s="1"/>
  <c r="D5"/>
  <c r="D34" s="1"/>
  <c r="C5"/>
  <c r="C34" s="1"/>
  <c r="B5"/>
  <c r="X5" s="1"/>
  <c r="AC5" s="1"/>
  <c r="AF4"/>
  <c r="AA4"/>
  <c r="X4"/>
  <c r="AC4" s="1"/>
  <c r="K4"/>
  <c r="K33" s="1"/>
  <c r="J4"/>
  <c r="J33" s="1"/>
  <c r="I4"/>
  <c r="I33" s="1"/>
  <c r="H4"/>
  <c r="H33" s="1"/>
  <c r="G4"/>
  <c r="G33" s="1"/>
  <c r="F4"/>
  <c r="Z4" s="1"/>
  <c r="AE4" s="1"/>
  <c r="E4"/>
  <c r="E33" s="1"/>
  <c r="D4"/>
  <c r="Y4" s="1"/>
  <c r="AD4" s="1"/>
  <c r="C4"/>
  <c r="C33" s="1"/>
  <c r="B4"/>
  <c r="B33" s="1"/>
  <c r="AB3"/>
  <c r="AG3" s="1"/>
  <c r="K3"/>
  <c r="K32" s="1"/>
  <c r="J3"/>
  <c r="J32" s="1"/>
  <c r="I3"/>
  <c r="I32" s="1"/>
  <c r="H3"/>
  <c r="H32" s="1"/>
  <c r="G3"/>
  <c r="G32" s="1"/>
  <c r="F3"/>
  <c r="Z3" s="1"/>
  <c r="AE3" s="1"/>
  <c r="E3"/>
  <c r="Y3" s="1"/>
  <c r="AD3" s="1"/>
  <c r="D3"/>
  <c r="D32" s="1"/>
  <c r="C3"/>
  <c r="C32" s="1"/>
  <c r="B3"/>
  <c r="B32" s="1"/>
  <c r="AA2"/>
  <c r="AF2" s="1"/>
  <c r="X2"/>
  <c r="AC2" s="1"/>
  <c r="K31"/>
  <c r="AB2"/>
  <c r="AG2" s="1"/>
  <c r="I31"/>
  <c r="H31"/>
  <c r="G31"/>
  <c r="F31"/>
  <c r="E31"/>
  <c r="Y2"/>
  <c r="AD2" s="1"/>
  <c r="C31"/>
  <c r="B31"/>
  <c r="B2" i="15"/>
  <c r="C2"/>
  <c r="D2"/>
  <c r="E2"/>
  <c r="F2"/>
  <c r="G2"/>
  <c r="H2"/>
  <c r="I2"/>
  <c r="J2"/>
  <c r="K2"/>
  <c r="B8"/>
  <c r="C8"/>
  <c r="D8"/>
  <c r="E8"/>
  <c r="F8"/>
  <c r="G8"/>
  <c r="H8"/>
  <c r="I8"/>
  <c r="J8"/>
  <c r="K8"/>
  <c r="B12"/>
  <c r="C12"/>
  <c r="D12"/>
  <c r="E12"/>
  <c r="F12"/>
  <c r="G12"/>
  <c r="H12"/>
  <c r="I12"/>
  <c r="J12"/>
  <c r="K12"/>
  <c r="K41" s="1"/>
  <c r="U41" s="1"/>
  <c r="B16"/>
  <c r="B45" s="1"/>
  <c r="C16"/>
  <c r="B19"/>
  <c r="C19"/>
  <c r="D19"/>
  <c r="E48" s="1"/>
  <c r="E19"/>
  <c r="F19"/>
  <c r="G19"/>
  <c r="H19"/>
  <c r="I19"/>
  <c r="J19"/>
  <c r="K19"/>
  <c r="B22"/>
  <c r="B51" s="1"/>
  <c r="C22"/>
  <c r="D22"/>
  <c r="E22"/>
  <c r="F22"/>
  <c r="G22"/>
  <c r="H22"/>
  <c r="I22"/>
  <c r="I51" s="1"/>
  <c r="J22"/>
  <c r="K51" s="1"/>
  <c r="U51" s="1"/>
  <c r="K22"/>
  <c r="E10"/>
  <c r="E39" s="1"/>
  <c r="F10"/>
  <c r="K32"/>
  <c r="K33"/>
  <c r="K34"/>
  <c r="K35"/>
  <c r="K36"/>
  <c r="K37"/>
  <c r="K38"/>
  <c r="K39"/>
  <c r="K40"/>
  <c r="K42"/>
  <c r="K43"/>
  <c r="K44"/>
  <c r="K45"/>
  <c r="K46"/>
  <c r="K47"/>
  <c r="K48"/>
  <c r="U48" s="1"/>
  <c r="K49"/>
  <c r="K50"/>
  <c r="K52"/>
  <c r="I32"/>
  <c r="I33"/>
  <c r="I34"/>
  <c r="I35"/>
  <c r="T35" s="1"/>
  <c r="AA35" s="1"/>
  <c r="I36"/>
  <c r="I37"/>
  <c r="S37" s="1"/>
  <c r="I38"/>
  <c r="I39"/>
  <c r="I40"/>
  <c r="I41"/>
  <c r="I42"/>
  <c r="I43"/>
  <c r="T43" s="1"/>
  <c r="AA43" s="1"/>
  <c r="I44"/>
  <c r="I45"/>
  <c r="I46"/>
  <c r="I47"/>
  <c r="I48"/>
  <c r="I49"/>
  <c r="I50"/>
  <c r="I52"/>
  <c r="E32"/>
  <c r="E33"/>
  <c r="E34"/>
  <c r="E35"/>
  <c r="E36"/>
  <c r="E37"/>
  <c r="E38"/>
  <c r="E40"/>
  <c r="E41"/>
  <c r="E42"/>
  <c r="E43"/>
  <c r="E44"/>
  <c r="E45"/>
  <c r="E46"/>
  <c r="E47"/>
  <c r="E49"/>
  <c r="E50"/>
  <c r="E51"/>
  <c r="E52"/>
  <c r="Z32"/>
  <c r="Z33"/>
  <c r="Z34"/>
  <c r="Z35"/>
  <c r="Z36"/>
  <c r="Z38"/>
  <c r="Z40"/>
  <c r="Z42"/>
  <c r="Z43"/>
  <c r="Z44"/>
  <c r="Z45"/>
  <c r="Z46"/>
  <c r="Z47"/>
  <c r="Z49"/>
  <c r="Z50"/>
  <c r="Z52"/>
  <c r="X32"/>
  <c r="X33"/>
  <c r="X34"/>
  <c r="X35"/>
  <c r="X36"/>
  <c r="X38"/>
  <c r="X39"/>
  <c r="X40"/>
  <c r="X42"/>
  <c r="X43"/>
  <c r="X44"/>
  <c r="X46"/>
  <c r="X47"/>
  <c r="X49"/>
  <c r="X50"/>
  <c r="X52"/>
  <c r="V38"/>
  <c r="AB38" s="1"/>
  <c r="V39"/>
  <c r="AB39" s="1"/>
  <c r="V46"/>
  <c r="AB46" s="1"/>
  <c r="V47"/>
  <c r="AB47" s="1"/>
  <c r="T34"/>
  <c r="AA34" s="1"/>
  <c r="T39"/>
  <c r="AA39" s="1"/>
  <c r="T42"/>
  <c r="AA42" s="1"/>
  <c r="T47"/>
  <c r="AA47" s="1"/>
  <c r="T50"/>
  <c r="AA50" s="1"/>
  <c r="U32"/>
  <c r="U33"/>
  <c r="U34"/>
  <c r="U35"/>
  <c r="U36"/>
  <c r="U37"/>
  <c r="U38"/>
  <c r="U39"/>
  <c r="U40"/>
  <c r="U42"/>
  <c r="U43"/>
  <c r="U44"/>
  <c r="U45"/>
  <c r="U46"/>
  <c r="U47"/>
  <c r="U49"/>
  <c r="U50"/>
  <c r="U52"/>
  <c r="S32"/>
  <c r="T38" s="1"/>
  <c r="AA38" s="1"/>
  <c r="S33"/>
  <c r="S34"/>
  <c r="S35"/>
  <c r="S36"/>
  <c r="S38"/>
  <c r="S39"/>
  <c r="S40"/>
  <c r="S41"/>
  <c r="S42"/>
  <c r="S43"/>
  <c r="S44"/>
  <c r="S45"/>
  <c r="S46"/>
  <c r="S47"/>
  <c r="S48"/>
  <c r="S49"/>
  <c r="S50"/>
  <c r="S52"/>
  <c r="R32"/>
  <c r="R33"/>
  <c r="R34"/>
  <c r="R35"/>
  <c r="R36"/>
  <c r="R38"/>
  <c r="R40"/>
  <c r="R42"/>
  <c r="R43"/>
  <c r="R44"/>
  <c r="R45"/>
  <c r="R46"/>
  <c r="R47"/>
  <c r="R49"/>
  <c r="R50"/>
  <c r="R52"/>
  <c r="N32"/>
  <c r="N33"/>
  <c r="N34"/>
  <c r="N35"/>
  <c r="N36"/>
  <c r="N38"/>
  <c r="N39"/>
  <c r="N40"/>
  <c r="N42"/>
  <c r="N43"/>
  <c r="N44"/>
  <c r="N46"/>
  <c r="N47"/>
  <c r="N49"/>
  <c r="N50"/>
  <c r="N52"/>
  <c r="Q32"/>
  <c r="Q33"/>
  <c r="Q34"/>
  <c r="Q35"/>
  <c r="Q36"/>
  <c r="Q38"/>
  <c r="Q40"/>
  <c r="Q42"/>
  <c r="Q43"/>
  <c r="Q44"/>
  <c r="Q45"/>
  <c r="Q46"/>
  <c r="Q47"/>
  <c r="Q49"/>
  <c r="Q50"/>
  <c r="Q52"/>
  <c r="AA27"/>
  <c r="Z27"/>
  <c r="Y27"/>
  <c r="AA26"/>
  <c r="Z26"/>
  <c r="Y26"/>
  <c r="K23"/>
  <c r="J23"/>
  <c r="J52" s="1"/>
  <c r="I23"/>
  <c r="H23"/>
  <c r="H52" s="1"/>
  <c r="G23"/>
  <c r="G52" s="1"/>
  <c r="F23"/>
  <c r="F52" s="1"/>
  <c r="E23"/>
  <c r="D23"/>
  <c r="D52" s="1"/>
  <c r="C23"/>
  <c r="C52" s="1"/>
  <c r="B23"/>
  <c r="B52" s="1"/>
  <c r="H51"/>
  <c r="F51"/>
  <c r="D51"/>
  <c r="K21"/>
  <c r="J21"/>
  <c r="I21"/>
  <c r="H21"/>
  <c r="H50" s="1"/>
  <c r="G21"/>
  <c r="F21"/>
  <c r="F50" s="1"/>
  <c r="E21"/>
  <c r="D21"/>
  <c r="C21"/>
  <c r="B21"/>
  <c r="B50" s="1"/>
  <c r="K20"/>
  <c r="J20"/>
  <c r="J49" s="1"/>
  <c r="I20"/>
  <c r="H20"/>
  <c r="H49" s="1"/>
  <c r="G20"/>
  <c r="G49" s="1"/>
  <c r="F20"/>
  <c r="F49" s="1"/>
  <c r="E20"/>
  <c r="D20"/>
  <c r="D49" s="1"/>
  <c r="C20"/>
  <c r="B20"/>
  <c r="B49" s="1"/>
  <c r="AB19"/>
  <c r="AG19" s="1"/>
  <c r="H48"/>
  <c r="F48"/>
  <c r="Y19"/>
  <c r="AD19" s="1"/>
  <c r="B48"/>
  <c r="K18"/>
  <c r="J18"/>
  <c r="J47" s="1"/>
  <c r="I18"/>
  <c r="H18"/>
  <c r="H47" s="1"/>
  <c r="G18"/>
  <c r="F18"/>
  <c r="F47" s="1"/>
  <c r="E18"/>
  <c r="D18"/>
  <c r="D47" s="1"/>
  <c r="C18"/>
  <c r="B18"/>
  <c r="B47" s="1"/>
  <c r="K17"/>
  <c r="J17"/>
  <c r="AB17" s="1"/>
  <c r="AG17" s="1"/>
  <c r="I17"/>
  <c r="H17"/>
  <c r="H46" s="1"/>
  <c r="G17"/>
  <c r="F17"/>
  <c r="F46" s="1"/>
  <c r="E17"/>
  <c r="D17"/>
  <c r="C17"/>
  <c r="B17"/>
  <c r="B46" s="1"/>
  <c r="K16"/>
  <c r="J16"/>
  <c r="J45" s="1"/>
  <c r="I16"/>
  <c r="H16"/>
  <c r="H45" s="1"/>
  <c r="G16"/>
  <c r="F16"/>
  <c r="F45" s="1"/>
  <c r="E16"/>
  <c r="D16"/>
  <c r="D45" s="1"/>
  <c r="K15"/>
  <c r="J15"/>
  <c r="I15"/>
  <c r="H15"/>
  <c r="H44" s="1"/>
  <c r="G15"/>
  <c r="F15"/>
  <c r="F44" s="1"/>
  <c r="E15"/>
  <c r="D15"/>
  <c r="C15"/>
  <c r="B15"/>
  <c r="B44" s="1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I13"/>
  <c r="H13"/>
  <c r="H42" s="1"/>
  <c r="G13"/>
  <c r="F13"/>
  <c r="F42" s="1"/>
  <c r="E13"/>
  <c r="D13"/>
  <c r="D42" s="1"/>
  <c r="C13"/>
  <c r="B13"/>
  <c r="B42" s="1"/>
  <c r="J41"/>
  <c r="H41"/>
  <c r="F41"/>
  <c r="D41"/>
  <c r="B41"/>
  <c r="K11"/>
  <c r="J11"/>
  <c r="I11"/>
  <c r="H11"/>
  <c r="H40" s="1"/>
  <c r="G11"/>
  <c r="F11"/>
  <c r="F40" s="1"/>
  <c r="E11"/>
  <c r="D11"/>
  <c r="D40" s="1"/>
  <c r="C11"/>
  <c r="B11"/>
  <c r="B40" s="1"/>
  <c r="K10"/>
  <c r="J10"/>
  <c r="J39" s="1"/>
  <c r="I10"/>
  <c r="H10"/>
  <c r="H39" s="1"/>
  <c r="G10"/>
  <c r="F39"/>
  <c r="D10"/>
  <c r="D39" s="1"/>
  <c r="C10"/>
  <c r="B10"/>
  <c r="B39" s="1"/>
  <c r="K9"/>
  <c r="J9"/>
  <c r="I9"/>
  <c r="H9"/>
  <c r="H38" s="1"/>
  <c r="G9"/>
  <c r="F9"/>
  <c r="F38" s="1"/>
  <c r="E9"/>
  <c r="D9"/>
  <c r="D38" s="1"/>
  <c r="C9"/>
  <c r="B9"/>
  <c r="B38" s="1"/>
  <c r="J37"/>
  <c r="H37"/>
  <c r="F37"/>
  <c r="D37"/>
  <c r="B37"/>
  <c r="K7"/>
  <c r="J7"/>
  <c r="I7"/>
  <c r="H7"/>
  <c r="H36" s="1"/>
  <c r="G7"/>
  <c r="F7"/>
  <c r="F36" s="1"/>
  <c r="E7"/>
  <c r="D7"/>
  <c r="D36" s="1"/>
  <c r="C7"/>
  <c r="B7"/>
  <c r="B36" s="1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AB5" s="1"/>
  <c r="AG5" s="1"/>
  <c r="I5"/>
  <c r="H5"/>
  <c r="H34" s="1"/>
  <c r="G5"/>
  <c r="F5"/>
  <c r="F34" s="1"/>
  <c r="E5"/>
  <c r="D5"/>
  <c r="D34" s="1"/>
  <c r="C5"/>
  <c r="B5"/>
  <c r="B34" s="1"/>
  <c r="K4"/>
  <c r="J4"/>
  <c r="J33" s="1"/>
  <c r="I4"/>
  <c r="H4"/>
  <c r="H33" s="1"/>
  <c r="G4"/>
  <c r="F4"/>
  <c r="F33" s="1"/>
  <c r="E4"/>
  <c r="D4"/>
  <c r="D33" s="1"/>
  <c r="C4"/>
  <c r="B4"/>
  <c r="B33" s="1"/>
  <c r="K3"/>
  <c r="J3"/>
  <c r="I3"/>
  <c r="H3"/>
  <c r="H32" s="1"/>
  <c r="G3"/>
  <c r="F3"/>
  <c r="F32" s="1"/>
  <c r="E3"/>
  <c r="D3"/>
  <c r="D32" s="1"/>
  <c r="C3"/>
  <c r="B3"/>
  <c r="B32" s="1"/>
  <c r="J31"/>
  <c r="H31"/>
  <c r="F31"/>
  <c r="D31"/>
  <c r="B31"/>
  <c r="P27" i="14"/>
  <c r="O27"/>
  <c r="N27"/>
  <c r="R26"/>
  <c r="P26"/>
  <c r="O26"/>
  <c r="N26"/>
  <c r="K23"/>
  <c r="J23"/>
  <c r="J52" s="1"/>
  <c r="I23"/>
  <c r="H23"/>
  <c r="H52" s="1"/>
  <c r="G23"/>
  <c r="F23"/>
  <c r="F52" s="1"/>
  <c r="E23"/>
  <c r="D23"/>
  <c r="D52" s="1"/>
  <c r="C23"/>
  <c r="B23"/>
  <c r="B52" s="1"/>
  <c r="M22"/>
  <c r="R22" s="1"/>
  <c r="K51"/>
  <c r="J51"/>
  <c r="I51"/>
  <c r="H51"/>
  <c r="F51"/>
  <c r="D51"/>
  <c r="C51"/>
  <c r="B51"/>
  <c r="K21"/>
  <c r="J21"/>
  <c r="J50" s="1"/>
  <c r="I21"/>
  <c r="H21"/>
  <c r="H50" s="1"/>
  <c r="G21"/>
  <c r="F21"/>
  <c r="F50" s="1"/>
  <c r="E21"/>
  <c r="E50" s="1"/>
  <c r="D21"/>
  <c r="D50" s="1"/>
  <c r="C21"/>
  <c r="B21"/>
  <c r="B50" s="1"/>
  <c r="K20"/>
  <c r="K49" s="1"/>
  <c r="J20"/>
  <c r="J49" s="1"/>
  <c r="I20"/>
  <c r="H20"/>
  <c r="H49" s="1"/>
  <c r="G20"/>
  <c r="F20"/>
  <c r="F49" s="1"/>
  <c r="E20"/>
  <c r="E49" s="1"/>
  <c r="D20"/>
  <c r="D49" s="1"/>
  <c r="C20"/>
  <c r="C49" s="1"/>
  <c r="B20"/>
  <c r="B49" s="1"/>
  <c r="Q19"/>
  <c r="V19" s="1"/>
  <c r="J48"/>
  <c r="I48"/>
  <c r="H48"/>
  <c r="G48"/>
  <c r="F48"/>
  <c r="E48"/>
  <c r="D48"/>
  <c r="B48"/>
  <c r="M18"/>
  <c r="R18" s="1"/>
  <c r="K18"/>
  <c r="K47" s="1"/>
  <c r="J18"/>
  <c r="J47" s="1"/>
  <c r="I18"/>
  <c r="I47" s="1"/>
  <c r="H18"/>
  <c r="H47" s="1"/>
  <c r="G18"/>
  <c r="F18"/>
  <c r="F47" s="1"/>
  <c r="E18"/>
  <c r="E47" s="1"/>
  <c r="D18"/>
  <c r="D47" s="1"/>
  <c r="C18"/>
  <c r="C47" s="1"/>
  <c r="B18"/>
  <c r="B47" s="1"/>
  <c r="Q17"/>
  <c r="V17" s="1"/>
  <c r="K17"/>
  <c r="J17"/>
  <c r="J46" s="1"/>
  <c r="I17"/>
  <c r="H17"/>
  <c r="H46" s="1"/>
  <c r="G17"/>
  <c r="G46" s="1"/>
  <c r="F17"/>
  <c r="F46" s="1"/>
  <c r="E17"/>
  <c r="D17"/>
  <c r="D46" s="1"/>
  <c r="C17"/>
  <c r="B17"/>
  <c r="B46" s="1"/>
  <c r="M16"/>
  <c r="R16" s="1"/>
  <c r="K16"/>
  <c r="K45" s="1"/>
  <c r="J16"/>
  <c r="J45" s="1"/>
  <c r="I16"/>
  <c r="I45" s="1"/>
  <c r="H16"/>
  <c r="H45" s="1"/>
  <c r="G16"/>
  <c r="F16"/>
  <c r="F45" s="1"/>
  <c r="E16"/>
  <c r="D16"/>
  <c r="D45" s="1"/>
  <c r="C45"/>
  <c r="B45"/>
  <c r="K15"/>
  <c r="J15"/>
  <c r="J44" s="1"/>
  <c r="I15"/>
  <c r="H15"/>
  <c r="H44" s="1"/>
  <c r="G15"/>
  <c r="F15"/>
  <c r="F44" s="1"/>
  <c r="E15"/>
  <c r="E44" s="1"/>
  <c r="D15"/>
  <c r="D44" s="1"/>
  <c r="C15"/>
  <c r="B15"/>
  <c r="B44" s="1"/>
  <c r="K14"/>
  <c r="J14"/>
  <c r="J43" s="1"/>
  <c r="I14"/>
  <c r="I43" s="1"/>
  <c r="H14"/>
  <c r="H43" s="1"/>
  <c r="G14"/>
  <c r="F14"/>
  <c r="F43" s="1"/>
  <c r="E14"/>
  <c r="E43" s="1"/>
  <c r="D14"/>
  <c r="D43" s="1"/>
  <c r="C14"/>
  <c r="B14"/>
  <c r="B43" s="1"/>
  <c r="Q13"/>
  <c r="V13" s="1"/>
  <c r="K13"/>
  <c r="J13"/>
  <c r="J42" s="1"/>
  <c r="I13"/>
  <c r="H13"/>
  <c r="H42" s="1"/>
  <c r="G13"/>
  <c r="G42" s="1"/>
  <c r="F13"/>
  <c r="F42" s="1"/>
  <c r="E13"/>
  <c r="D13"/>
  <c r="D42" s="1"/>
  <c r="C13"/>
  <c r="B13"/>
  <c r="B42" s="1"/>
  <c r="M12"/>
  <c r="R12" s="1"/>
  <c r="K41"/>
  <c r="J41"/>
  <c r="I41"/>
  <c r="H41"/>
  <c r="F41"/>
  <c r="E41"/>
  <c r="D41"/>
  <c r="N41" s="1"/>
  <c r="C41"/>
  <c r="B41"/>
  <c r="K11"/>
  <c r="J11"/>
  <c r="J40" s="1"/>
  <c r="I11"/>
  <c r="I40" s="1"/>
  <c r="H11"/>
  <c r="H40" s="1"/>
  <c r="G11"/>
  <c r="G40" s="1"/>
  <c r="F11"/>
  <c r="F40" s="1"/>
  <c r="E11"/>
  <c r="E40" s="1"/>
  <c r="D11"/>
  <c r="D40" s="1"/>
  <c r="C11"/>
  <c r="B11"/>
  <c r="B40" s="1"/>
  <c r="M10"/>
  <c r="R10" s="1"/>
  <c r="K10"/>
  <c r="K39" s="1"/>
  <c r="J10"/>
  <c r="J39" s="1"/>
  <c r="I10"/>
  <c r="H10"/>
  <c r="H39" s="1"/>
  <c r="G10"/>
  <c r="F10"/>
  <c r="F39" s="1"/>
  <c r="E10"/>
  <c r="D10"/>
  <c r="D39" s="1"/>
  <c r="C10"/>
  <c r="C39" s="1"/>
  <c r="B10"/>
  <c r="B39" s="1"/>
  <c r="K9"/>
  <c r="Q9" s="1"/>
  <c r="V9" s="1"/>
  <c r="J9"/>
  <c r="J38" s="1"/>
  <c r="I9"/>
  <c r="H9"/>
  <c r="H38" s="1"/>
  <c r="G9"/>
  <c r="G38" s="1"/>
  <c r="F9"/>
  <c r="F38" s="1"/>
  <c r="E9"/>
  <c r="E38" s="1"/>
  <c r="D9"/>
  <c r="D38" s="1"/>
  <c r="C9"/>
  <c r="B9"/>
  <c r="B38" s="1"/>
  <c r="K8"/>
  <c r="J8"/>
  <c r="J37" s="1"/>
  <c r="I8"/>
  <c r="I37" s="1"/>
  <c r="H8"/>
  <c r="H37" s="1"/>
  <c r="G8"/>
  <c r="F8"/>
  <c r="F37" s="1"/>
  <c r="E8"/>
  <c r="N8" s="1"/>
  <c r="S8" s="1"/>
  <c r="D8"/>
  <c r="D37" s="1"/>
  <c r="C8"/>
  <c r="B8"/>
  <c r="B37" s="1"/>
  <c r="Q7"/>
  <c r="V7" s="1"/>
  <c r="K7"/>
  <c r="J7"/>
  <c r="J36" s="1"/>
  <c r="I7"/>
  <c r="I36" s="1"/>
  <c r="H7"/>
  <c r="H36" s="1"/>
  <c r="G7"/>
  <c r="F7"/>
  <c r="F36" s="1"/>
  <c r="E7"/>
  <c r="E36" s="1"/>
  <c r="D7"/>
  <c r="D36" s="1"/>
  <c r="C7"/>
  <c r="B7"/>
  <c r="B36" s="1"/>
  <c r="M6"/>
  <c r="R6" s="1"/>
  <c r="K6"/>
  <c r="K35" s="1"/>
  <c r="J6"/>
  <c r="J35" s="1"/>
  <c r="I6"/>
  <c r="H6"/>
  <c r="H35" s="1"/>
  <c r="G6"/>
  <c r="F6"/>
  <c r="F35" s="1"/>
  <c r="E6"/>
  <c r="D6"/>
  <c r="D35" s="1"/>
  <c r="C6"/>
  <c r="C35" s="1"/>
  <c r="B6"/>
  <c r="B35" s="1"/>
  <c r="K5"/>
  <c r="J5"/>
  <c r="J34" s="1"/>
  <c r="I5"/>
  <c r="I34" s="1"/>
  <c r="H5"/>
  <c r="H34" s="1"/>
  <c r="G5"/>
  <c r="G34" s="1"/>
  <c r="F5"/>
  <c r="F34" s="1"/>
  <c r="E5"/>
  <c r="D5"/>
  <c r="D34" s="1"/>
  <c r="C5"/>
  <c r="B5"/>
  <c r="B34" s="1"/>
  <c r="K4"/>
  <c r="K33" s="1"/>
  <c r="J4"/>
  <c r="J33" s="1"/>
  <c r="I4"/>
  <c r="H4"/>
  <c r="H33" s="1"/>
  <c r="G4"/>
  <c r="F4"/>
  <c r="F33" s="1"/>
  <c r="E4"/>
  <c r="D4"/>
  <c r="D33" s="1"/>
  <c r="C4"/>
  <c r="C33" s="1"/>
  <c r="B4"/>
  <c r="B33" s="1"/>
  <c r="K3"/>
  <c r="J3"/>
  <c r="Q3" s="1"/>
  <c r="V3" s="1"/>
  <c r="I3"/>
  <c r="H3"/>
  <c r="H32" s="1"/>
  <c r="G3"/>
  <c r="F3"/>
  <c r="F32" s="1"/>
  <c r="E3"/>
  <c r="E32" s="1"/>
  <c r="D3"/>
  <c r="D32" s="1"/>
  <c r="C3"/>
  <c r="B3"/>
  <c r="B32" s="1"/>
  <c r="M2"/>
  <c r="R2" s="1"/>
  <c r="K31"/>
  <c r="J31"/>
  <c r="I31"/>
  <c r="H31"/>
  <c r="F31"/>
  <c r="E31"/>
  <c r="D31"/>
  <c r="C31"/>
  <c r="B31"/>
  <c r="O27" i="13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W15"/>
  <c r="V15"/>
  <c r="U15"/>
  <c r="T22" s="1"/>
  <c r="U22" s="1"/>
  <c r="O15"/>
  <c r="N15"/>
  <c r="K15"/>
  <c r="J15"/>
  <c r="I15"/>
  <c r="H15"/>
  <c r="G15"/>
  <c r="F15"/>
  <c r="E15"/>
  <c r="D15"/>
  <c r="C15"/>
  <c r="B15"/>
  <c r="W14"/>
  <c r="V14"/>
  <c r="U14"/>
  <c r="O14"/>
  <c r="N14"/>
  <c r="K14"/>
  <c r="J14"/>
  <c r="I14"/>
  <c r="H14"/>
  <c r="G14"/>
  <c r="N34" s="1"/>
  <c r="F14"/>
  <c r="E14"/>
  <c r="D14"/>
  <c r="C14"/>
  <c r="B14"/>
  <c r="O13"/>
  <c r="N13"/>
  <c r="K13"/>
  <c r="N36" s="1"/>
  <c r="J13"/>
  <c r="I13"/>
  <c r="H13"/>
  <c r="G13"/>
  <c r="F13"/>
  <c r="E13"/>
  <c r="D13"/>
  <c r="C13"/>
  <c r="N32" s="1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E10"/>
  <c r="D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N33" s="1"/>
  <c r="D4"/>
  <c r="C4"/>
  <c r="B4"/>
  <c r="O3"/>
  <c r="N3"/>
  <c r="K3"/>
  <c r="J3"/>
  <c r="I3"/>
  <c r="N35" s="1"/>
  <c r="H3"/>
  <c r="G3"/>
  <c r="F3"/>
  <c r="E3"/>
  <c r="D3"/>
  <c r="C3"/>
  <c r="B3"/>
  <c r="O2"/>
  <c r="N2"/>
  <c r="K23" i="10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R26" i="10"/>
  <c r="U41" i="17" l="1"/>
  <c r="M51"/>
  <c r="U51"/>
  <c r="T49"/>
  <c r="T45"/>
  <c r="T41"/>
  <c r="AA41" s="1"/>
  <c r="AF41" s="1"/>
  <c r="T37"/>
  <c r="T33"/>
  <c r="T52"/>
  <c r="T48"/>
  <c r="T44"/>
  <c r="T40"/>
  <c r="T36"/>
  <c r="T32"/>
  <c r="T51"/>
  <c r="T47"/>
  <c r="T43"/>
  <c r="T39"/>
  <c r="T35"/>
  <c r="T31"/>
  <c r="T50"/>
  <c r="T46"/>
  <c r="T42"/>
  <c r="T38"/>
  <c r="T34"/>
  <c r="R52"/>
  <c r="R48"/>
  <c r="R44"/>
  <c r="R40"/>
  <c r="R36"/>
  <c r="R32"/>
  <c r="R51"/>
  <c r="R47"/>
  <c r="R43"/>
  <c r="R39"/>
  <c r="R35"/>
  <c r="R31"/>
  <c r="R50"/>
  <c r="R46"/>
  <c r="R42"/>
  <c r="R38"/>
  <c r="R34"/>
  <c r="R49"/>
  <c r="R45"/>
  <c r="R41"/>
  <c r="R37"/>
  <c r="R33"/>
  <c r="Z52"/>
  <c r="N50"/>
  <c r="N46"/>
  <c r="N42"/>
  <c r="N38"/>
  <c r="N34"/>
  <c r="N49"/>
  <c r="N45"/>
  <c r="N41"/>
  <c r="N37"/>
  <c r="N33"/>
  <c r="N52"/>
  <c r="N48"/>
  <c r="X48" s="1"/>
  <c r="AC48" s="1"/>
  <c r="N44"/>
  <c r="N40"/>
  <c r="N36"/>
  <c r="N32"/>
  <c r="N51"/>
  <c r="N47"/>
  <c r="N43"/>
  <c r="N39"/>
  <c r="N35"/>
  <c r="N31"/>
  <c r="V50"/>
  <c r="V46"/>
  <c r="V42"/>
  <c r="V38"/>
  <c r="V34"/>
  <c r="V49"/>
  <c r="V45"/>
  <c r="V41"/>
  <c r="V37"/>
  <c r="V33"/>
  <c r="V52"/>
  <c r="V48"/>
  <c r="V44"/>
  <c r="V40"/>
  <c r="V36"/>
  <c r="V32"/>
  <c r="V51"/>
  <c r="V47"/>
  <c r="V43"/>
  <c r="V39"/>
  <c r="V35"/>
  <c r="V31"/>
  <c r="AB31" s="1"/>
  <c r="AG31" s="1"/>
  <c r="X2"/>
  <c r="AC2" s="1"/>
  <c r="AB3"/>
  <c r="AG3" s="1"/>
  <c r="X4"/>
  <c r="AC4" s="1"/>
  <c r="AB5"/>
  <c r="AG5" s="1"/>
  <c r="X6"/>
  <c r="AC6" s="1"/>
  <c r="AB7"/>
  <c r="AG7" s="1"/>
  <c r="X8"/>
  <c r="AC8" s="1"/>
  <c r="AB9"/>
  <c r="AG9" s="1"/>
  <c r="X10"/>
  <c r="AC10" s="1"/>
  <c r="AB11"/>
  <c r="AG11" s="1"/>
  <c r="X12"/>
  <c r="AC12" s="1"/>
  <c r="AB13"/>
  <c r="AG13" s="1"/>
  <c r="X14"/>
  <c r="AC14" s="1"/>
  <c r="AB15"/>
  <c r="AG15" s="1"/>
  <c r="X16"/>
  <c r="AC16" s="1"/>
  <c r="AB17"/>
  <c r="AG17" s="1"/>
  <c r="X18"/>
  <c r="AC18" s="1"/>
  <c r="AB19"/>
  <c r="AG19" s="1"/>
  <c r="X20"/>
  <c r="AC20" s="1"/>
  <c r="AB21"/>
  <c r="AG21" s="1"/>
  <c r="X22"/>
  <c r="AC22" s="1"/>
  <c r="AB23"/>
  <c r="E31"/>
  <c r="O31" s="1"/>
  <c r="AA33"/>
  <c r="E35"/>
  <c r="O35" s="1"/>
  <c r="AA37"/>
  <c r="E39"/>
  <c r="O39" s="1"/>
  <c r="E43"/>
  <c r="O43" s="1"/>
  <c r="AA45"/>
  <c r="E47"/>
  <c r="O47" s="1"/>
  <c r="AA49"/>
  <c r="AA3"/>
  <c r="AF3" s="1"/>
  <c r="AA5"/>
  <c r="AF5" s="1"/>
  <c r="AA7"/>
  <c r="AF7" s="1"/>
  <c r="AA9"/>
  <c r="AF9" s="1"/>
  <c r="AA11"/>
  <c r="AF11" s="1"/>
  <c r="AA13"/>
  <c r="AF13" s="1"/>
  <c r="AA15"/>
  <c r="AF15" s="1"/>
  <c r="AA17"/>
  <c r="AF17" s="1"/>
  <c r="AA19"/>
  <c r="AF19" s="1"/>
  <c r="AA21"/>
  <c r="AF21" s="1"/>
  <c r="AA23"/>
  <c r="F32"/>
  <c r="X32"/>
  <c r="H33"/>
  <c r="Z33"/>
  <c r="B34"/>
  <c r="AB34"/>
  <c r="F36"/>
  <c r="X36"/>
  <c r="H37"/>
  <c r="Z37"/>
  <c r="B38"/>
  <c r="AB38"/>
  <c r="F40"/>
  <c r="X40"/>
  <c r="Z41"/>
  <c r="AE41" s="1"/>
  <c r="B42"/>
  <c r="AB42"/>
  <c r="F44"/>
  <c r="X44"/>
  <c r="H45"/>
  <c r="Z45"/>
  <c r="B46"/>
  <c r="AB46"/>
  <c r="H49"/>
  <c r="Z49"/>
  <c r="B50"/>
  <c r="AB50"/>
  <c r="F52"/>
  <c r="X52"/>
  <c r="Z5"/>
  <c r="AE5" s="1"/>
  <c r="Z9"/>
  <c r="AE9" s="1"/>
  <c r="Z13"/>
  <c r="AE13" s="1"/>
  <c r="Z17"/>
  <c r="AE17" s="1"/>
  <c r="Z21"/>
  <c r="AE21" s="1"/>
  <c r="E32"/>
  <c r="O32" s="1"/>
  <c r="AA34"/>
  <c r="E36"/>
  <c r="O36" s="1"/>
  <c r="AA38"/>
  <c r="E40"/>
  <c r="O40" s="1"/>
  <c r="AA42"/>
  <c r="E44"/>
  <c r="O44" s="1"/>
  <c r="AA46"/>
  <c r="O48"/>
  <c r="AA50"/>
  <c r="AE52"/>
  <c r="Y5"/>
  <c r="AD5" s="1"/>
  <c r="Y9"/>
  <c r="AD9" s="1"/>
  <c r="Y13"/>
  <c r="AD13" s="1"/>
  <c r="Y17"/>
  <c r="AD17" s="1"/>
  <c r="Y21"/>
  <c r="AD21" s="1"/>
  <c r="Y23"/>
  <c r="AD23" s="1"/>
  <c r="AG23"/>
  <c r="J31"/>
  <c r="F33"/>
  <c r="X33"/>
  <c r="AF33"/>
  <c r="Z34"/>
  <c r="J35"/>
  <c r="AB35"/>
  <c r="F37"/>
  <c r="X37"/>
  <c r="AF37"/>
  <c r="Z38"/>
  <c r="J39"/>
  <c r="AB39"/>
  <c r="X41"/>
  <c r="Z42"/>
  <c r="J43"/>
  <c r="AB43"/>
  <c r="F45"/>
  <c r="X45"/>
  <c r="AF45"/>
  <c r="Z46"/>
  <c r="J47"/>
  <c r="AB47"/>
  <c r="F49"/>
  <c r="X49"/>
  <c r="AF49"/>
  <c r="Z50"/>
  <c r="AB51"/>
  <c r="AG51" s="1"/>
  <c r="X3"/>
  <c r="AC3" s="1"/>
  <c r="AB4"/>
  <c r="AG4" s="1"/>
  <c r="X7"/>
  <c r="AC7" s="1"/>
  <c r="AB8"/>
  <c r="AG8" s="1"/>
  <c r="X11"/>
  <c r="AC11" s="1"/>
  <c r="AB12"/>
  <c r="AG12" s="1"/>
  <c r="X15"/>
  <c r="AC15" s="1"/>
  <c r="AB16"/>
  <c r="AG16" s="1"/>
  <c r="X19"/>
  <c r="AC19" s="1"/>
  <c r="AB20"/>
  <c r="AG20" s="1"/>
  <c r="X23"/>
  <c r="AF23"/>
  <c r="AA31"/>
  <c r="AF31" s="1"/>
  <c r="AC32"/>
  <c r="E33"/>
  <c r="O33" s="1"/>
  <c r="AE33"/>
  <c r="AG34"/>
  <c r="AA35"/>
  <c r="AC36"/>
  <c r="E37"/>
  <c r="O37" s="1"/>
  <c r="AE37"/>
  <c r="AG38"/>
  <c r="AA39"/>
  <c r="AC40"/>
  <c r="O41"/>
  <c r="AG42"/>
  <c r="AA43"/>
  <c r="AC44"/>
  <c r="E45"/>
  <c r="O45" s="1"/>
  <c r="AE45"/>
  <c r="AG46"/>
  <c r="AA47"/>
  <c r="AE49"/>
  <c r="AG50"/>
  <c r="AA51"/>
  <c r="AF51" s="1"/>
  <c r="AC52"/>
  <c r="AA2"/>
  <c r="AF2" s="1"/>
  <c r="AA6"/>
  <c r="AF6" s="1"/>
  <c r="AA10"/>
  <c r="AF10" s="1"/>
  <c r="AA14"/>
  <c r="AF14" s="1"/>
  <c r="AA18"/>
  <c r="AF18" s="1"/>
  <c r="AA22"/>
  <c r="AF22" s="1"/>
  <c r="AE23"/>
  <c r="Z31"/>
  <c r="AE31" s="1"/>
  <c r="AB32"/>
  <c r="AG32" s="1"/>
  <c r="X34"/>
  <c r="AC34" s="1"/>
  <c r="AF34"/>
  <c r="Z35"/>
  <c r="AE35" s="1"/>
  <c r="AB36"/>
  <c r="AG36" s="1"/>
  <c r="X38"/>
  <c r="AC38" s="1"/>
  <c r="AF38"/>
  <c r="Z39"/>
  <c r="AE39" s="1"/>
  <c r="AB40"/>
  <c r="AG40" s="1"/>
  <c r="X42"/>
  <c r="AC42" s="1"/>
  <c r="AF42"/>
  <c r="Z43"/>
  <c r="AE43" s="1"/>
  <c r="AB44"/>
  <c r="AG44" s="1"/>
  <c r="X46"/>
  <c r="AC46" s="1"/>
  <c r="AF46"/>
  <c r="Z47"/>
  <c r="AE47" s="1"/>
  <c r="AB48"/>
  <c r="AG48" s="1"/>
  <c r="D49"/>
  <c r="X50"/>
  <c r="AC50" s="1"/>
  <c r="AF50"/>
  <c r="Z51"/>
  <c r="AE51" s="1"/>
  <c r="AB52"/>
  <c r="AG52" s="1"/>
  <c r="Z2"/>
  <c r="AE2" s="1"/>
  <c r="Z6"/>
  <c r="AE6" s="1"/>
  <c r="Z10"/>
  <c r="AE10" s="1"/>
  <c r="Z14"/>
  <c r="AE14" s="1"/>
  <c r="Z18"/>
  <c r="AE18" s="1"/>
  <c r="Z22"/>
  <c r="AE22" s="1"/>
  <c r="AA32"/>
  <c r="AF32" s="1"/>
  <c r="AC33"/>
  <c r="AE34"/>
  <c r="AG35"/>
  <c r="AA36"/>
  <c r="AF36" s="1"/>
  <c r="AC37"/>
  <c r="AE38"/>
  <c r="AG39"/>
  <c r="AA40"/>
  <c r="AF40" s="1"/>
  <c r="AC41"/>
  <c r="AE42"/>
  <c r="AG43"/>
  <c r="AA44"/>
  <c r="AF44" s="1"/>
  <c r="AC45"/>
  <c r="AE46"/>
  <c r="AG47"/>
  <c r="AA48"/>
  <c r="AF48" s="1"/>
  <c r="AC49"/>
  <c r="AE50"/>
  <c r="AA52"/>
  <c r="AF52" s="1"/>
  <c r="AC23"/>
  <c r="X31"/>
  <c r="AC31" s="1"/>
  <c r="Z32"/>
  <c r="AE32" s="1"/>
  <c r="AB33"/>
  <c r="AG33" s="1"/>
  <c r="X35"/>
  <c r="AC35" s="1"/>
  <c r="AF35"/>
  <c r="Z36"/>
  <c r="AE36" s="1"/>
  <c r="AB37"/>
  <c r="AG37" s="1"/>
  <c r="X39"/>
  <c r="AC39" s="1"/>
  <c r="AF39"/>
  <c r="Z40"/>
  <c r="AE40" s="1"/>
  <c r="AB41"/>
  <c r="AG41" s="1"/>
  <c r="X43"/>
  <c r="AC43" s="1"/>
  <c r="AF43"/>
  <c r="Z44"/>
  <c r="AE44" s="1"/>
  <c r="AB45"/>
  <c r="AG45" s="1"/>
  <c r="X47"/>
  <c r="AC47" s="1"/>
  <c r="AF47"/>
  <c r="Z48"/>
  <c r="AE48" s="1"/>
  <c r="AB49"/>
  <c r="AG49" s="1"/>
  <c r="X51"/>
  <c r="AC51" s="1"/>
  <c r="S31" i="16"/>
  <c r="S33"/>
  <c r="S35"/>
  <c r="S37"/>
  <c r="S39"/>
  <c r="S41"/>
  <c r="S43"/>
  <c r="S45"/>
  <c r="S47"/>
  <c r="S49"/>
  <c r="Q50"/>
  <c r="M32"/>
  <c r="N32" s="1"/>
  <c r="X32" s="1"/>
  <c r="AC32" s="1"/>
  <c r="U32"/>
  <c r="V34" s="1"/>
  <c r="AB34" s="1"/>
  <c r="AG34" s="1"/>
  <c r="M34"/>
  <c r="N34"/>
  <c r="U34"/>
  <c r="M36"/>
  <c r="N36"/>
  <c r="U36"/>
  <c r="V36"/>
  <c r="M38"/>
  <c r="N38"/>
  <c r="U38"/>
  <c r="M40"/>
  <c r="N40"/>
  <c r="U40"/>
  <c r="V40"/>
  <c r="M42"/>
  <c r="N42"/>
  <c r="U42"/>
  <c r="M44"/>
  <c r="N44"/>
  <c r="U44"/>
  <c r="V44"/>
  <c r="M46"/>
  <c r="N46"/>
  <c r="U46"/>
  <c r="M48"/>
  <c r="N48"/>
  <c r="U48"/>
  <c r="V48"/>
  <c r="M51"/>
  <c r="N51"/>
  <c r="U51"/>
  <c r="S52"/>
  <c r="Q31"/>
  <c r="Q33"/>
  <c r="Q35"/>
  <c r="Q37"/>
  <c r="Q39"/>
  <c r="Q41"/>
  <c r="Q43"/>
  <c r="Q45"/>
  <c r="Q47"/>
  <c r="Q49"/>
  <c r="O50"/>
  <c r="S32"/>
  <c r="T37" s="1"/>
  <c r="AA37" s="1"/>
  <c r="AF37" s="1"/>
  <c r="T32"/>
  <c r="S34"/>
  <c r="T34"/>
  <c r="S36"/>
  <c r="T36"/>
  <c r="S38"/>
  <c r="T38"/>
  <c r="S40"/>
  <c r="T40"/>
  <c r="AA40" s="1"/>
  <c r="AF40" s="1"/>
  <c r="S42"/>
  <c r="T42"/>
  <c r="S44"/>
  <c r="T44"/>
  <c r="S46"/>
  <c r="T46"/>
  <c r="S48"/>
  <c r="T48"/>
  <c r="S51"/>
  <c r="T51"/>
  <c r="Q52"/>
  <c r="O31"/>
  <c r="O33"/>
  <c r="O35"/>
  <c r="O37"/>
  <c r="O39"/>
  <c r="O41"/>
  <c r="O43"/>
  <c r="O45"/>
  <c r="O47"/>
  <c r="O49"/>
  <c r="M50"/>
  <c r="N50"/>
  <c r="U50"/>
  <c r="V50"/>
  <c r="Q32"/>
  <c r="R37" s="1"/>
  <c r="Z37" s="1"/>
  <c r="AE37" s="1"/>
  <c r="R32"/>
  <c r="Q34"/>
  <c r="R34"/>
  <c r="Q36"/>
  <c r="R36"/>
  <c r="Q38"/>
  <c r="Q40"/>
  <c r="R40"/>
  <c r="Q42"/>
  <c r="R42"/>
  <c r="Q44"/>
  <c r="R44"/>
  <c r="Q46"/>
  <c r="R46"/>
  <c r="Q48"/>
  <c r="R48"/>
  <c r="Q51"/>
  <c r="R51"/>
  <c r="O52"/>
  <c r="M31"/>
  <c r="N31"/>
  <c r="U31"/>
  <c r="V31"/>
  <c r="M33"/>
  <c r="N33"/>
  <c r="U33"/>
  <c r="V33"/>
  <c r="M35"/>
  <c r="N35"/>
  <c r="U35"/>
  <c r="V35"/>
  <c r="M37"/>
  <c r="N37"/>
  <c r="U37"/>
  <c r="V37"/>
  <c r="M39"/>
  <c r="N39"/>
  <c r="U39"/>
  <c r="V39"/>
  <c r="M41"/>
  <c r="N41"/>
  <c r="U41"/>
  <c r="V41"/>
  <c r="M43"/>
  <c r="N43"/>
  <c r="U43"/>
  <c r="V43"/>
  <c r="M45"/>
  <c r="N45"/>
  <c r="U45"/>
  <c r="V45"/>
  <c r="M47"/>
  <c r="N47"/>
  <c r="X47" s="1"/>
  <c r="AC47" s="1"/>
  <c r="U47"/>
  <c r="V47"/>
  <c r="M49"/>
  <c r="N49"/>
  <c r="U49"/>
  <c r="V49"/>
  <c r="S50"/>
  <c r="T50"/>
  <c r="O34"/>
  <c r="O36"/>
  <c r="O38"/>
  <c r="O40"/>
  <c r="O42"/>
  <c r="O44"/>
  <c r="O46"/>
  <c r="O48"/>
  <c r="O51"/>
  <c r="M52"/>
  <c r="N52"/>
  <c r="U52"/>
  <c r="V52"/>
  <c r="X20"/>
  <c r="AC20" s="1"/>
  <c r="X22"/>
  <c r="AC22" s="1"/>
  <c r="AA3"/>
  <c r="AF3" s="1"/>
  <c r="AA5"/>
  <c r="AF5" s="1"/>
  <c r="AA7"/>
  <c r="AF7" s="1"/>
  <c r="AA9"/>
  <c r="AF9" s="1"/>
  <c r="AA11"/>
  <c r="AF11" s="1"/>
  <c r="AA13"/>
  <c r="AF13" s="1"/>
  <c r="AA15"/>
  <c r="AF15" s="1"/>
  <c r="AA17"/>
  <c r="AF17" s="1"/>
  <c r="AA19"/>
  <c r="AF19" s="1"/>
  <c r="AA21"/>
  <c r="AF21" s="1"/>
  <c r="AA23"/>
  <c r="AF23" s="1"/>
  <c r="D31"/>
  <c r="F32"/>
  <c r="B34"/>
  <c r="D35"/>
  <c r="F36"/>
  <c r="X36"/>
  <c r="AC36" s="1"/>
  <c r="B38"/>
  <c r="D39"/>
  <c r="F40"/>
  <c r="X40"/>
  <c r="AC40" s="1"/>
  <c r="B42"/>
  <c r="D43"/>
  <c r="F44"/>
  <c r="X44"/>
  <c r="AC44" s="1"/>
  <c r="B46"/>
  <c r="D47"/>
  <c r="F48"/>
  <c r="X48"/>
  <c r="AC48" s="1"/>
  <c r="H49"/>
  <c r="B50"/>
  <c r="AB50"/>
  <c r="AG50" s="1"/>
  <c r="D51"/>
  <c r="F52"/>
  <c r="X52"/>
  <c r="AC52" s="1"/>
  <c r="Z5"/>
  <c r="AE5" s="1"/>
  <c r="Z9"/>
  <c r="AE9" s="1"/>
  <c r="Z13"/>
  <c r="AE13" s="1"/>
  <c r="Z17"/>
  <c r="AE17" s="1"/>
  <c r="Z21"/>
  <c r="AE21" s="1"/>
  <c r="E32"/>
  <c r="AA34"/>
  <c r="AF34" s="1"/>
  <c r="AA38"/>
  <c r="AF38" s="1"/>
  <c r="AA42"/>
  <c r="AF42" s="1"/>
  <c r="AA46"/>
  <c r="AF46" s="1"/>
  <c r="AA50"/>
  <c r="AF50" s="1"/>
  <c r="Y5"/>
  <c r="AD5" s="1"/>
  <c r="Y7"/>
  <c r="AD7" s="1"/>
  <c r="Y9"/>
  <c r="AD9" s="1"/>
  <c r="Y11"/>
  <c r="AD11" s="1"/>
  <c r="Y13"/>
  <c r="AD13" s="1"/>
  <c r="Y15"/>
  <c r="AD15" s="1"/>
  <c r="Y17"/>
  <c r="AD17" s="1"/>
  <c r="Y19"/>
  <c r="AD19" s="1"/>
  <c r="Y21"/>
  <c r="AD21" s="1"/>
  <c r="Y23"/>
  <c r="AD23" s="1"/>
  <c r="J31"/>
  <c r="AB31"/>
  <c r="AG31" s="1"/>
  <c r="F33"/>
  <c r="X33"/>
  <c r="AC33" s="1"/>
  <c r="Z34"/>
  <c r="AE34" s="1"/>
  <c r="J35"/>
  <c r="AB35"/>
  <c r="AG35" s="1"/>
  <c r="F37"/>
  <c r="X37"/>
  <c r="AC37" s="1"/>
  <c r="J39"/>
  <c r="AB39"/>
  <c r="AG39" s="1"/>
  <c r="F41"/>
  <c r="X41"/>
  <c r="AC41" s="1"/>
  <c r="Z42"/>
  <c r="AE42" s="1"/>
  <c r="J43"/>
  <c r="AB43"/>
  <c r="AG43" s="1"/>
  <c r="F45"/>
  <c r="X45"/>
  <c r="AC45" s="1"/>
  <c r="Z46"/>
  <c r="AE46" s="1"/>
  <c r="J47"/>
  <c r="AB47"/>
  <c r="AG47" s="1"/>
  <c r="F49"/>
  <c r="X49"/>
  <c r="AC49" s="1"/>
  <c r="J51"/>
  <c r="X3"/>
  <c r="AC3" s="1"/>
  <c r="AB4"/>
  <c r="AG4" s="1"/>
  <c r="X7"/>
  <c r="AC7" s="1"/>
  <c r="AB8"/>
  <c r="AG8" s="1"/>
  <c r="X11"/>
  <c r="AC11" s="1"/>
  <c r="AB12"/>
  <c r="AG12" s="1"/>
  <c r="X15"/>
  <c r="AC15" s="1"/>
  <c r="AB16"/>
  <c r="AG16" s="1"/>
  <c r="X19"/>
  <c r="AC19" s="1"/>
  <c r="AB20"/>
  <c r="AG20" s="1"/>
  <c r="X23"/>
  <c r="AC23" s="1"/>
  <c r="AA51"/>
  <c r="AF51" s="1"/>
  <c r="AA22"/>
  <c r="AF22" s="1"/>
  <c r="D33"/>
  <c r="X34"/>
  <c r="AC34" s="1"/>
  <c r="AB36"/>
  <c r="AG36" s="1"/>
  <c r="D37"/>
  <c r="X38"/>
  <c r="AC38" s="1"/>
  <c r="AB40"/>
  <c r="AG40" s="1"/>
  <c r="D41"/>
  <c r="X42"/>
  <c r="AC42" s="1"/>
  <c r="AB44"/>
  <c r="AG44" s="1"/>
  <c r="D45"/>
  <c r="X46"/>
  <c r="AC46" s="1"/>
  <c r="AB48"/>
  <c r="AG48" s="1"/>
  <c r="D49"/>
  <c r="X50"/>
  <c r="AC50" s="1"/>
  <c r="Z51"/>
  <c r="AE51" s="1"/>
  <c r="AB52"/>
  <c r="AG52" s="1"/>
  <c r="Z2"/>
  <c r="AE2" s="1"/>
  <c r="Z6"/>
  <c r="AE6" s="1"/>
  <c r="Z10"/>
  <c r="AE10" s="1"/>
  <c r="Z14"/>
  <c r="AE14" s="1"/>
  <c r="Z18"/>
  <c r="AE18" s="1"/>
  <c r="Z22"/>
  <c r="AE22" s="1"/>
  <c r="AA32"/>
  <c r="AF32" s="1"/>
  <c r="AA36"/>
  <c r="AF36" s="1"/>
  <c r="AA44"/>
  <c r="AF44" s="1"/>
  <c r="AA48"/>
  <c r="AF48" s="1"/>
  <c r="X31"/>
  <c r="AC31" s="1"/>
  <c r="Z32"/>
  <c r="AE32" s="1"/>
  <c r="AB33"/>
  <c r="AG33" s="1"/>
  <c r="X35"/>
  <c r="AC35" s="1"/>
  <c r="Z36"/>
  <c r="AE36" s="1"/>
  <c r="AB37"/>
  <c r="AG37" s="1"/>
  <c r="X39"/>
  <c r="AC39" s="1"/>
  <c r="Z40"/>
  <c r="AE40" s="1"/>
  <c r="AB41"/>
  <c r="AG41" s="1"/>
  <c r="X43"/>
  <c r="AC43" s="1"/>
  <c r="Z44"/>
  <c r="AE44" s="1"/>
  <c r="AB45"/>
  <c r="AG45" s="1"/>
  <c r="Z48"/>
  <c r="AE48" s="1"/>
  <c r="AB49"/>
  <c r="AG49" s="1"/>
  <c r="X51"/>
  <c r="AC51" s="1"/>
  <c r="V37" i="15"/>
  <c r="AB37" s="1"/>
  <c r="T51"/>
  <c r="AA51" s="1"/>
  <c r="AF51" s="1"/>
  <c r="S51"/>
  <c r="J51"/>
  <c r="C51"/>
  <c r="N51" s="1"/>
  <c r="X51" s="1"/>
  <c r="V48"/>
  <c r="AB48" s="1"/>
  <c r="V40"/>
  <c r="AB40" s="1"/>
  <c r="V32"/>
  <c r="AB32" s="1"/>
  <c r="V49"/>
  <c r="AB49" s="1"/>
  <c r="V41"/>
  <c r="AB41" s="1"/>
  <c r="AG41" s="1"/>
  <c r="V33"/>
  <c r="AB33" s="1"/>
  <c r="V50"/>
  <c r="AB50" s="1"/>
  <c r="V42"/>
  <c r="AB42" s="1"/>
  <c r="V34"/>
  <c r="AB34" s="1"/>
  <c r="V51"/>
  <c r="AB51" s="1"/>
  <c r="V43"/>
  <c r="AB43" s="1"/>
  <c r="V35"/>
  <c r="AB35" s="1"/>
  <c r="V52"/>
  <c r="AB52" s="1"/>
  <c r="V44"/>
  <c r="AB44" s="1"/>
  <c r="V36"/>
  <c r="AB36" s="1"/>
  <c r="V45"/>
  <c r="AB45" s="1"/>
  <c r="T48"/>
  <c r="AA48" s="1"/>
  <c r="T40"/>
  <c r="AA40" s="1"/>
  <c r="T32"/>
  <c r="AA32" s="1"/>
  <c r="T49"/>
  <c r="AA49" s="1"/>
  <c r="T41"/>
  <c r="AA41" s="1"/>
  <c r="T33"/>
  <c r="AA33" s="1"/>
  <c r="T52"/>
  <c r="AA52" s="1"/>
  <c r="T44"/>
  <c r="AA44" s="1"/>
  <c r="T36"/>
  <c r="AA36" s="1"/>
  <c r="T45"/>
  <c r="AA45" s="1"/>
  <c r="AF45" s="1"/>
  <c r="T37"/>
  <c r="AA37" s="1"/>
  <c r="T46"/>
  <c r="AA46" s="1"/>
  <c r="O50"/>
  <c r="AB21"/>
  <c r="AG21" s="1"/>
  <c r="AC26"/>
  <c r="M51"/>
  <c r="M52"/>
  <c r="AA22"/>
  <c r="AF22" s="1"/>
  <c r="G45"/>
  <c r="Q11" i="14"/>
  <c r="V11" s="1"/>
  <c r="N43"/>
  <c r="M14"/>
  <c r="R14" s="1"/>
  <c r="I44"/>
  <c r="N49"/>
  <c r="M20"/>
  <c r="R20" s="1"/>
  <c r="I50"/>
  <c r="E52"/>
  <c r="I33"/>
  <c r="P33" s="1"/>
  <c r="U33" s="1"/>
  <c r="E34"/>
  <c r="G36"/>
  <c r="M8"/>
  <c r="R8" s="1"/>
  <c r="I38"/>
  <c r="C43"/>
  <c r="K43"/>
  <c r="E45"/>
  <c r="Q23"/>
  <c r="V23" s="1"/>
  <c r="Q5"/>
  <c r="V5" s="1"/>
  <c r="I35"/>
  <c r="C37"/>
  <c r="K37"/>
  <c r="E39"/>
  <c r="E42"/>
  <c r="G44"/>
  <c r="N45"/>
  <c r="S45" s="1"/>
  <c r="I46"/>
  <c r="G50"/>
  <c r="I32"/>
  <c r="I49"/>
  <c r="G32"/>
  <c r="E33"/>
  <c r="N33" s="1"/>
  <c r="S33" s="1"/>
  <c r="N4"/>
  <c r="S4" s="1"/>
  <c r="Q15"/>
  <c r="V15" s="1"/>
  <c r="Q21"/>
  <c r="V21" s="1"/>
  <c r="M4"/>
  <c r="R4" s="1"/>
  <c r="E35"/>
  <c r="N35" s="1"/>
  <c r="S35" s="1"/>
  <c r="I39"/>
  <c r="I42"/>
  <c r="E46"/>
  <c r="N46" s="1"/>
  <c r="S46" s="1"/>
  <c r="G52"/>
  <c r="O52" s="1"/>
  <c r="T52" s="1"/>
  <c r="G43" i="15"/>
  <c r="C49"/>
  <c r="G38"/>
  <c r="C40"/>
  <c r="AB15"/>
  <c r="AG15" s="1"/>
  <c r="AB3"/>
  <c r="AG3" s="1"/>
  <c r="AB7"/>
  <c r="AG7" s="1"/>
  <c r="Y17"/>
  <c r="AD17" s="1"/>
  <c r="C31"/>
  <c r="K31"/>
  <c r="G33"/>
  <c r="AE33" s="1"/>
  <c r="Y5"/>
  <c r="AD5" s="1"/>
  <c r="C35"/>
  <c r="AC35" s="1"/>
  <c r="AG35"/>
  <c r="G48"/>
  <c r="AA2"/>
  <c r="AF2" s="1"/>
  <c r="G32"/>
  <c r="G36"/>
  <c r="C38"/>
  <c r="AB13"/>
  <c r="AG13" s="1"/>
  <c r="AA16"/>
  <c r="AF16" s="1"/>
  <c r="AG49"/>
  <c r="AA12"/>
  <c r="AF12" s="1"/>
  <c r="AF34"/>
  <c r="G35"/>
  <c r="AE35" s="1"/>
  <c r="Y7"/>
  <c r="AD7" s="1"/>
  <c r="C37"/>
  <c r="N37" s="1"/>
  <c r="X37" s="1"/>
  <c r="AC37" s="1"/>
  <c r="Y15"/>
  <c r="AD15" s="1"/>
  <c r="G46"/>
  <c r="AF49"/>
  <c r="E31"/>
  <c r="C32"/>
  <c r="AA6"/>
  <c r="AF6" s="1"/>
  <c r="G37"/>
  <c r="G40"/>
  <c r="AE40" s="1"/>
  <c r="C45"/>
  <c r="N45" s="1"/>
  <c r="X45" s="1"/>
  <c r="AC45" s="1"/>
  <c r="C48"/>
  <c r="N48" s="1"/>
  <c r="X48" s="1"/>
  <c r="AB9"/>
  <c r="AG9" s="1"/>
  <c r="Y11"/>
  <c r="AD11" s="1"/>
  <c r="C41"/>
  <c r="N41" s="1"/>
  <c r="X41" s="1"/>
  <c r="C44"/>
  <c r="AA18"/>
  <c r="AF18" s="1"/>
  <c r="Y21"/>
  <c r="AD21" s="1"/>
  <c r="C34"/>
  <c r="AC34" s="1"/>
  <c r="AF35"/>
  <c r="AA8"/>
  <c r="AF8" s="1"/>
  <c r="G39"/>
  <c r="G42"/>
  <c r="C47"/>
  <c r="AG47"/>
  <c r="C50"/>
  <c r="AA14"/>
  <c r="AF14" s="1"/>
  <c r="AA4"/>
  <c r="AF4" s="1"/>
  <c r="AB11"/>
  <c r="AG11" s="1"/>
  <c r="Y13"/>
  <c r="AD13" s="1"/>
  <c r="C43"/>
  <c r="AC43" s="1"/>
  <c r="C46"/>
  <c r="AC46" s="1"/>
  <c r="AA20"/>
  <c r="AF20" s="1"/>
  <c r="G51"/>
  <c r="G31"/>
  <c r="Y3"/>
  <c r="AD3" s="1"/>
  <c r="C33"/>
  <c r="AC33" s="1"/>
  <c r="AG33"/>
  <c r="C36"/>
  <c r="AA10"/>
  <c r="AF10" s="1"/>
  <c r="AF40"/>
  <c r="G41"/>
  <c r="G44"/>
  <c r="AE44" s="1"/>
  <c r="G34"/>
  <c r="Y9"/>
  <c r="AD9" s="1"/>
  <c r="C39"/>
  <c r="AG39"/>
  <c r="C42"/>
  <c r="AF43"/>
  <c r="G47"/>
  <c r="G50"/>
  <c r="AB2"/>
  <c r="AG2" s="1"/>
  <c r="X3"/>
  <c r="AC3" s="1"/>
  <c r="AB4"/>
  <c r="AG4" s="1"/>
  <c r="X5"/>
  <c r="AC5" s="1"/>
  <c r="AB6"/>
  <c r="AG6" s="1"/>
  <c r="X7"/>
  <c r="AC7" s="1"/>
  <c r="AB8"/>
  <c r="AG8" s="1"/>
  <c r="X9"/>
  <c r="AC9" s="1"/>
  <c r="AB10"/>
  <c r="AG10" s="1"/>
  <c r="X11"/>
  <c r="AC11" s="1"/>
  <c r="AB12"/>
  <c r="AG12" s="1"/>
  <c r="X13"/>
  <c r="AC13" s="1"/>
  <c r="AB14"/>
  <c r="AG14" s="1"/>
  <c r="X15"/>
  <c r="AC15" s="1"/>
  <c r="AB16"/>
  <c r="AG16" s="1"/>
  <c r="X17"/>
  <c r="AC17" s="1"/>
  <c r="AB18"/>
  <c r="AG18" s="1"/>
  <c r="X19"/>
  <c r="AC19" s="1"/>
  <c r="AB20"/>
  <c r="AG20" s="1"/>
  <c r="X21"/>
  <c r="AC21" s="1"/>
  <c r="AB22"/>
  <c r="X23"/>
  <c r="I31"/>
  <c r="AC32"/>
  <c r="AG43"/>
  <c r="D44"/>
  <c r="AC44"/>
  <c r="AG45"/>
  <c r="D46"/>
  <c r="D48"/>
  <c r="AC48"/>
  <c r="D50"/>
  <c r="Z2"/>
  <c r="AE2" s="1"/>
  <c r="Z4"/>
  <c r="AE4" s="1"/>
  <c r="Z6"/>
  <c r="AE6" s="1"/>
  <c r="Z8"/>
  <c r="AE8" s="1"/>
  <c r="Z10"/>
  <c r="AE10" s="1"/>
  <c r="Z12"/>
  <c r="AE12" s="1"/>
  <c r="Z14"/>
  <c r="AE14" s="1"/>
  <c r="Z16"/>
  <c r="AE16" s="1"/>
  <c r="Z18"/>
  <c r="AE18" s="1"/>
  <c r="Z20"/>
  <c r="AE20" s="1"/>
  <c r="Z22"/>
  <c r="AE22" s="1"/>
  <c r="AF33"/>
  <c r="AF37"/>
  <c r="AF47"/>
  <c r="AE52"/>
  <c r="Y2"/>
  <c r="AD2" s="1"/>
  <c r="Y4"/>
  <c r="AD4" s="1"/>
  <c r="Y6"/>
  <c r="AD6" s="1"/>
  <c r="Y8"/>
  <c r="AD8" s="1"/>
  <c r="Y10"/>
  <c r="AD10" s="1"/>
  <c r="Y12"/>
  <c r="AD12" s="1"/>
  <c r="Y14"/>
  <c r="AD14" s="1"/>
  <c r="Y16"/>
  <c r="AD16" s="1"/>
  <c r="Y18"/>
  <c r="AD18" s="1"/>
  <c r="Y20"/>
  <c r="AD20" s="1"/>
  <c r="Y22"/>
  <c r="AD22" s="1"/>
  <c r="AG22"/>
  <c r="AC23"/>
  <c r="J32"/>
  <c r="J34"/>
  <c r="AG34" s="1"/>
  <c r="J36"/>
  <c r="J38"/>
  <c r="J40"/>
  <c r="AG40" s="1"/>
  <c r="J42"/>
  <c r="J44"/>
  <c r="AE45"/>
  <c r="J46"/>
  <c r="J48"/>
  <c r="AE49"/>
  <c r="J50"/>
  <c r="X2"/>
  <c r="AC2" s="1"/>
  <c r="X4"/>
  <c r="AC4" s="1"/>
  <c r="X6"/>
  <c r="AC6" s="1"/>
  <c r="X8"/>
  <c r="AC8" s="1"/>
  <c r="X10"/>
  <c r="AC10" s="1"/>
  <c r="X12"/>
  <c r="AC12" s="1"/>
  <c r="X14"/>
  <c r="AC14" s="1"/>
  <c r="X16"/>
  <c r="AC16" s="1"/>
  <c r="X18"/>
  <c r="AC18" s="1"/>
  <c r="X20"/>
  <c r="AC20" s="1"/>
  <c r="X22"/>
  <c r="AC22" s="1"/>
  <c r="AB23"/>
  <c r="AG23" s="1"/>
  <c r="AC36"/>
  <c r="AG37"/>
  <c r="AC40"/>
  <c r="AG51"/>
  <c r="AC52"/>
  <c r="AA3"/>
  <c r="AF3" s="1"/>
  <c r="AA5"/>
  <c r="AF5" s="1"/>
  <c r="AA7"/>
  <c r="AF7" s="1"/>
  <c r="AA9"/>
  <c r="AF9" s="1"/>
  <c r="AA11"/>
  <c r="AF11" s="1"/>
  <c r="AA13"/>
  <c r="AF13" s="1"/>
  <c r="AA15"/>
  <c r="AF15" s="1"/>
  <c r="AA17"/>
  <c r="AF17" s="1"/>
  <c r="AA19"/>
  <c r="AF19" s="1"/>
  <c r="AA21"/>
  <c r="AF21" s="1"/>
  <c r="AA23"/>
  <c r="AF23" s="1"/>
  <c r="AG32"/>
  <c r="AG36"/>
  <c r="AG38"/>
  <c r="AC39"/>
  <c r="AF39"/>
  <c r="AF41"/>
  <c r="AG44"/>
  <c r="AC47"/>
  <c r="AC49"/>
  <c r="AG50"/>
  <c r="AC51"/>
  <c r="AG52"/>
  <c r="Z3"/>
  <c r="AE3" s="1"/>
  <c r="Z5"/>
  <c r="AE5" s="1"/>
  <c r="Z7"/>
  <c r="AE7" s="1"/>
  <c r="Z9"/>
  <c r="AE9" s="1"/>
  <c r="Z11"/>
  <c r="AE11" s="1"/>
  <c r="Z13"/>
  <c r="AE13" s="1"/>
  <c r="Z15"/>
  <c r="AE15" s="1"/>
  <c r="Z17"/>
  <c r="AE17" s="1"/>
  <c r="Z19"/>
  <c r="AE19" s="1"/>
  <c r="Z21"/>
  <c r="AE21" s="1"/>
  <c r="Z23"/>
  <c r="AE23" s="1"/>
  <c r="AF32"/>
  <c r="AF36"/>
  <c r="AF38"/>
  <c r="AF42"/>
  <c r="AE43"/>
  <c r="AF44"/>
  <c r="AF46"/>
  <c r="AE47"/>
  <c r="AF48"/>
  <c r="AF50"/>
  <c r="AF52"/>
  <c r="Y23"/>
  <c r="AD23" s="1"/>
  <c r="AE32"/>
  <c r="AE34"/>
  <c r="AE36"/>
  <c r="AE38"/>
  <c r="AE42"/>
  <c r="AE46"/>
  <c r="AE50"/>
  <c r="N31" i="14"/>
  <c r="N39"/>
  <c r="N47"/>
  <c r="E37"/>
  <c r="N37" s="1"/>
  <c r="S37" s="1"/>
  <c r="Q2"/>
  <c r="V2" s="1"/>
  <c r="M3"/>
  <c r="R3" s="1"/>
  <c r="Q4"/>
  <c r="V4" s="1"/>
  <c r="M5"/>
  <c r="R5" s="1"/>
  <c r="Q6"/>
  <c r="V6" s="1"/>
  <c r="M7"/>
  <c r="R7" s="1"/>
  <c r="Q8"/>
  <c r="V8" s="1"/>
  <c r="M9"/>
  <c r="R9" s="1"/>
  <c r="Q10"/>
  <c r="V10" s="1"/>
  <c r="M11"/>
  <c r="R11" s="1"/>
  <c r="Q12"/>
  <c r="V12" s="1"/>
  <c r="M13"/>
  <c r="R13" s="1"/>
  <c r="Q14"/>
  <c r="V14" s="1"/>
  <c r="M15"/>
  <c r="R15" s="1"/>
  <c r="Q16"/>
  <c r="V16" s="1"/>
  <c r="M17"/>
  <c r="R17" s="1"/>
  <c r="Q18"/>
  <c r="V18" s="1"/>
  <c r="M19"/>
  <c r="R19" s="1"/>
  <c r="Q20"/>
  <c r="V20" s="1"/>
  <c r="M21"/>
  <c r="R21" s="1"/>
  <c r="Q22"/>
  <c r="V22" s="1"/>
  <c r="M23"/>
  <c r="R23" s="1"/>
  <c r="N32"/>
  <c r="S32" s="1"/>
  <c r="N34"/>
  <c r="S34" s="1"/>
  <c r="N36"/>
  <c r="S36" s="1"/>
  <c r="N38"/>
  <c r="S38" s="1"/>
  <c r="N40"/>
  <c r="S40" s="1"/>
  <c r="N42"/>
  <c r="S42" s="1"/>
  <c r="N44"/>
  <c r="S44" s="1"/>
  <c r="N48"/>
  <c r="S48" s="1"/>
  <c r="N50"/>
  <c r="S50" s="1"/>
  <c r="N52"/>
  <c r="S52" s="1"/>
  <c r="E51"/>
  <c r="N51" s="1"/>
  <c r="S51" s="1"/>
  <c r="P2"/>
  <c r="U2" s="1"/>
  <c r="P4"/>
  <c r="U4" s="1"/>
  <c r="P6"/>
  <c r="U6" s="1"/>
  <c r="P8"/>
  <c r="U8" s="1"/>
  <c r="P10"/>
  <c r="U10" s="1"/>
  <c r="P12"/>
  <c r="U12" s="1"/>
  <c r="P14"/>
  <c r="U14" s="1"/>
  <c r="P16"/>
  <c r="U16" s="1"/>
  <c r="P18"/>
  <c r="U18" s="1"/>
  <c r="P20"/>
  <c r="U20" s="1"/>
  <c r="P22"/>
  <c r="U22" s="1"/>
  <c r="Q31"/>
  <c r="V31" s="1"/>
  <c r="Q33"/>
  <c r="V33" s="1"/>
  <c r="Q35"/>
  <c r="V35" s="1"/>
  <c r="Q37"/>
  <c r="V37" s="1"/>
  <c r="Q39"/>
  <c r="V39" s="1"/>
  <c r="Q41"/>
  <c r="V41" s="1"/>
  <c r="Q43"/>
  <c r="V43" s="1"/>
  <c r="Q45"/>
  <c r="V45" s="1"/>
  <c r="Q47"/>
  <c r="V47" s="1"/>
  <c r="Q49"/>
  <c r="V49" s="1"/>
  <c r="Q51"/>
  <c r="V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G31"/>
  <c r="O31" s="1"/>
  <c r="T31" s="1"/>
  <c r="P31"/>
  <c r="C32"/>
  <c r="M32" s="1"/>
  <c r="R32" s="1"/>
  <c r="K32"/>
  <c r="G33"/>
  <c r="O33" s="1"/>
  <c r="T33" s="1"/>
  <c r="C34"/>
  <c r="M34" s="1"/>
  <c r="R34" s="1"/>
  <c r="K34"/>
  <c r="Q34" s="1"/>
  <c r="V34" s="1"/>
  <c r="G35"/>
  <c r="O35" s="1"/>
  <c r="T35" s="1"/>
  <c r="P35"/>
  <c r="C36"/>
  <c r="M36" s="1"/>
  <c r="R36" s="1"/>
  <c r="K36"/>
  <c r="G37"/>
  <c r="O37" s="1"/>
  <c r="T37" s="1"/>
  <c r="P37"/>
  <c r="C38"/>
  <c r="M38" s="1"/>
  <c r="R38" s="1"/>
  <c r="K38"/>
  <c r="G39"/>
  <c r="O39" s="1"/>
  <c r="T39" s="1"/>
  <c r="P39"/>
  <c r="C40"/>
  <c r="M40" s="1"/>
  <c r="R40" s="1"/>
  <c r="K40"/>
  <c r="G41"/>
  <c r="O41" s="1"/>
  <c r="T41" s="1"/>
  <c r="P41"/>
  <c r="C42"/>
  <c r="M42" s="1"/>
  <c r="R42" s="1"/>
  <c r="K42"/>
  <c r="Q42" s="1"/>
  <c r="V42" s="1"/>
  <c r="G43"/>
  <c r="P43"/>
  <c r="C44"/>
  <c r="M44" s="1"/>
  <c r="R44" s="1"/>
  <c r="K44"/>
  <c r="G45"/>
  <c r="O45" s="1"/>
  <c r="T45" s="1"/>
  <c r="P45"/>
  <c r="C46"/>
  <c r="M46" s="1"/>
  <c r="R46" s="1"/>
  <c r="K46"/>
  <c r="Q46" s="1"/>
  <c r="V46" s="1"/>
  <c r="G47"/>
  <c r="P47"/>
  <c r="C48"/>
  <c r="M48" s="1"/>
  <c r="R48" s="1"/>
  <c r="K48"/>
  <c r="G49"/>
  <c r="O49" s="1"/>
  <c r="T49" s="1"/>
  <c r="P49"/>
  <c r="C50"/>
  <c r="M50" s="1"/>
  <c r="R50" s="1"/>
  <c r="K50"/>
  <c r="Q50" s="1"/>
  <c r="V50" s="1"/>
  <c r="G51"/>
  <c r="P51"/>
  <c r="U51" s="1"/>
  <c r="C52"/>
  <c r="M52" s="1"/>
  <c r="R52" s="1"/>
  <c r="K52"/>
  <c r="N2"/>
  <c r="S2" s="1"/>
  <c r="N6"/>
  <c r="S6" s="1"/>
  <c r="N10"/>
  <c r="S10" s="1"/>
  <c r="N12"/>
  <c r="S12" s="1"/>
  <c r="N14"/>
  <c r="S14" s="1"/>
  <c r="N16"/>
  <c r="S16" s="1"/>
  <c r="N18"/>
  <c r="S18" s="1"/>
  <c r="N20"/>
  <c r="S20" s="1"/>
  <c r="N22"/>
  <c r="S22" s="1"/>
  <c r="J32"/>
  <c r="Q32" s="1"/>
  <c r="V32" s="1"/>
  <c r="O43"/>
  <c r="O47"/>
  <c r="T47" s="1"/>
  <c r="O51"/>
  <c r="I52"/>
  <c r="P3"/>
  <c r="U3" s="1"/>
  <c r="P5"/>
  <c r="U5" s="1"/>
  <c r="P7"/>
  <c r="U7" s="1"/>
  <c r="P9"/>
  <c r="U9" s="1"/>
  <c r="P11"/>
  <c r="U11" s="1"/>
  <c r="P13"/>
  <c r="U13" s="1"/>
  <c r="P15"/>
  <c r="U15" s="1"/>
  <c r="P17"/>
  <c r="U17" s="1"/>
  <c r="P19"/>
  <c r="U19" s="1"/>
  <c r="P21"/>
  <c r="U21" s="1"/>
  <c r="P23"/>
  <c r="U23" s="1"/>
  <c r="M31"/>
  <c r="R31" s="1"/>
  <c r="U31"/>
  <c r="M33"/>
  <c r="R33" s="1"/>
  <c r="M35"/>
  <c r="R35" s="1"/>
  <c r="U35"/>
  <c r="Q36"/>
  <c r="V36" s="1"/>
  <c r="M37"/>
  <c r="R37" s="1"/>
  <c r="U37"/>
  <c r="Q38"/>
  <c r="V38" s="1"/>
  <c r="M39"/>
  <c r="R39" s="1"/>
  <c r="U39"/>
  <c r="Q40"/>
  <c r="V40" s="1"/>
  <c r="M41"/>
  <c r="R41" s="1"/>
  <c r="U41"/>
  <c r="M43"/>
  <c r="R43" s="1"/>
  <c r="U43"/>
  <c r="Q44"/>
  <c r="V44" s="1"/>
  <c r="M45"/>
  <c r="R45" s="1"/>
  <c r="U45"/>
  <c r="M47"/>
  <c r="R47" s="1"/>
  <c r="U47"/>
  <c r="Q48"/>
  <c r="V48" s="1"/>
  <c r="M49"/>
  <c r="R49" s="1"/>
  <c r="U49"/>
  <c r="M51"/>
  <c r="R51" s="1"/>
  <c r="Q52"/>
  <c r="V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P32"/>
  <c r="U32" s="1"/>
  <c r="P34"/>
  <c r="U34" s="1"/>
  <c r="P36"/>
  <c r="U36" s="1"/>
  <c r="P38"/>
  <c r="U38" s="1"/>
  <c r="P40"/>
  <c r="U40" s="1"/>
  <c r="P42"/>
  <c r="U42" s="1"/>
  <c r="T43"/>
  <c r="P44"/>
  <c r="U44" s="1"/>
  <c r="P46"/>
  <c r="U46" s="1"/>
  <c r="P48"/>
  <c r="U48" s="1"/>
  <c r="P50"/>
  <c r="U50" s="1"/>
  <c r="T51"/>
  <c r="P52"/>
  <c r="U52" s="1"/>
  <c r="N3"/>
  <c r="S3" s="1"/>
  <c r="N5"/>
  <c r="S5" s="1"/>
  <c r="N7"/>
  <c r="S7" s="1"/>
  <c r="N9"/>
  <c r="S9" s="1"/>
  <c r="N11"/>
  <c r="S11" s="1"/>
  <c r="N13"/>
  <c r="S13" s="1"/>
  <c r="N15"/>
  <c r="S15" s="1"/>
  <c r="N17"/>
  <c r="S17" s="1"/>
  <c r="N19"/>
  <c r="S19" s="1"/>
  <c r="N21"/>
  <c r="S21" s="1"/>
  <c r="N23"/>
  <c r="S23" s="1"/>
  <c r="S31"/>
  <c r="O32"/>
  <c r="T32" s="1"/>
  <c r="O34"/>
  <c r="T34" s="1"/>
  <c r="O36"/>
  <c r="T36" s="1"/>
  <c r="O38"/>
  <c r="T38" s="1"/>
  <c r="S39"/>
  <c r="O40"/>
  <c r="T40" s="1"/>
  <c r="S41"/>
  <c r="O42"/>
  <c r="T42" s="1"/>
  <c r="S43"/>
  <c r="O44"/>
  <c r="T44" s="1"/>
  <c r="O46"/>
  <c r="T46" s="1"/>
  <c r="S47"/>
  <c r="O48"/>
  <c r="T48" s="1"/>
  <c r="S49"/>
  <c r="O50"/>
  <c r="T50" s="1"/>
  <c r="D14" i="12"/>
  <c r="E14"/>
  <c r="O27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C16"/>
  <c r="B16"/>
  <c r="O15"/>
  <c r="N15"/>
  <c r="K15"/>
  <c r="J15"/>
  <c r="I15"/>
  <c r="H15"/>
  <c r="G15"/>
  <c r="F15"/>
  <c r="E15"/>
  <c r="D15"/>
  <c r="C15"/>
  <c r="B15"/>
  <c r="O14"/>
  <c r="N14"/>
  <c r="K14"/>
  <c r="J14"/>
  <c r="I14"/>
  <c r="H14"/>
  <c r="G14"/>
  <c r="F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D4"/>
  <c r="C4"/>
  <c r="B4"/>
  <c r="O3"/>
  <c r="N3"/>
  <c r="K3"/>
  <c r="J3"/>
  <c r="I3"/>
  <c r="H3"/>
  <c r="G3"/>
  <c r="F3"/>
  <c r="E3"/>
  <c r="D3"/>
  <c r="C3"/>
  <c r="B3"/>
  <c r="O2"/>
  <c r="N2"/>
  <c r="N10" i="11"/>
  <c r="B2" i="2"/>
  <c r="I51" i="11"/>
  <c r="I45"/>
  <c r="I41"/>
  <c r="I31"/>
  <c r="P27"/>
  <c r="O27"/>
  <c r="N27"/>
  <c r="P26"/>
  <c r="O26"/>
  <c r="N26"/>
  <c r="K23"/>
  <c r="J23"/>
  <c r="J52" s="1"/>
  <c r="I23"/>
  <c r="H23"/>
  <c r="H52" s="1"/>
  <c r="G23"/>
  <c r="G52" s="1"/>
  <c r="F23"/>
  <c r="F52" s="1"/>
  <c r="E23"/>
  <c r="D23"/>
  <c r="C23"/>
  <c r="B23"/>
  <c r="M23" s="1"/>
  <c r="R23" s="1"/>
  <c r="P22"/>
  <c r="U22" s="1"/>
  <c r="K51"/>
  <c r="J51"/>
  <c r="H51"/>
  <c r="P51" s="1"/>
  <c r="U51" s="1"/>
  <c r="G51"/>
  <c r="F51"/>
  <c r="O51" s="1"/>
  <c r="T51" s="1"/>
  <c r="E51"/>
  <c r="D51"/>
  <c r="C51"/>
  <c r="B51"/>
  <c r="K21"/>
  <c r="J21"/>
  <c r="J50" s="1"/>
  <c r="I21"/>
  <c r="H21"/>
  <c r="H50" s="1"/>
  <c r="G21"/>
  <c r="F21"/>
  <c r="F50" s="1"/>
  <c r="E21"/>
  <c r="D21"/>
  <c r="C21"/>
  <c r="B21"/>
  <c r="K20"/>
  <c r="J20"/>
  <c r="J49" s="1"/>
  <c r="I20"/>
  <c r="H20"/>
  <c r="H49" s="1"/>
  <c r="G20"/>
  <c r="F20"/>
  <c r="F49" s="1"/>
  <c r="E20"/>
  <c r="D20"/>
  <c r="D49" s="1"/>
  <c r="C20"/>
  <c r="B20"/>
  <c r="B49" s="1"/>
  <c r="P19"/>
  <c r="U19" s="1"/>
  <c r="Q48"/>
  <c r="V48" s="1"/>
  <c r="P48"/>
  <c r="U48" s="1"/>
  <c r="N19"/>
  <c r="S19" s="1"/>
  <c r="M19"/>
  <c r="R19" s="1"/>
  <c r="K18"/>
  <c r="J18"/>
  <c r="J47" s="1"/>
  <c r="I18"/>
  <c r="H18"/>
  <c r="H47" s="1"/>
  <c r="G18"/>
  <c r="G47" s="1"/>
  <c r="F18"/>
  <c r="F47" s="1"/>
  <c r="E18"/>
  <c r="D18"/>
  <c r="D47" s="1"/>
  <c r="C18"/>
  <c r="B18"/>
  <c r="B47" s="1"/>
  <c r="K17"/>
  <c r="K46" s="1"/>
  <c r="J17"/>
  <c r="J46" s="1"/>
  <c r="I17"/>
  <c r="H17"/>
  <c r="H46" s="1"/>
  <c r="G17"/>
  <c r="F17"/>
  <c r="F46" s="1"/>
  <c r="E17"/>
  <c r="D17"/>
  <c r="C17"/>
  <c r="C46" s="1"/>
  <c r="B17"/>
  <c r="P16"/>
  <c r="U16" s="1"/>
  <c r="K45"/>
  <c r="J45"/>
  <c r="H45"/>
  <c r="G45"/>
  <c r="F45"/>
  <c r="E45"/>
  <c r="D45"/>
  <c r="C45"/>
  <c r="B45"/>
  <c r="K15"/>
  <c r="J15"/>
  <c r="J44" s="1"/>
  <c r="I15"/>
  <c r="H15"/>
  <c r="H44" s="1"/>
  <c r="G15"/>
  <c r="G44" s="1"/>
  <c r="F15"/>
  <c r="F44" s="1"/>
  <c r="E15"/>
  <c r="E44" s="1"/>
  <c r="D15"/>
  <c r="C15"/>
  <c r="B15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J42" s="1"/>
  <c r="I13"/>
  <c r="H13"/>
  <c r="H42" s="1"/>
  <c r="G13"/>
  <c r="F13"/>
  <c r="F42" s="1"/>
  <c r="E13"/>
  <c r="D13"/>
  <c r="C13"/>
  <c r="B13"/>
  <c r="P12"/>
  <c r="U12" s="1"/>
  <c r="K41"/>
  <c r="J41"/>
  <c r="H41"/>
  <c r="G41"/>
  <c r="F41"/>
  <c r="E41"/>
  <c r="D41"/>
  <c r="C41"/>
  <c r="B41"/>
  <c r="K11"/>
  <c r="J11"/>
  <c r="J40" s="1"/>
  <c r="I11"/>
  <c r="P11" s="1"/>
  <c r="U11" s="1"/>
  <c r="H11"/>
  <c r="H40" s="1"/>
  <c r="G11"/>
  <c r="F11"/>
  <c r="F40" s="1"/>
  <c r="E11"/>
  <c r="D11"/>
  <c r="N11" s="1"/>
  <c r="S11" s="1"/>
  <c r="C11"/>
  <c r="B11"/>
  <c r="K10"/>
  <c r="J10"/>
  <c r="J39" s="1"/>
  <c r="I10"/>
  <c r="H10"/>
  <c r="H39" s="1"/>
  <c r="G10"/>
  <c r="F10"/>
  <c r="F39" s="1"/>
  <c r="E39"/>
  <c r="D39"/>
  <c r="C10"/>
  <c r="B10"/>
  <c r="B39" s="1"/>
  <c r="K9"/>
  <c r="J9"/>
  <c r="J38" s="1"/>
  <c r="I9"/>
  <c r="H9"/>
  <c r="H38" s="1"/>
  <c r="G9"/>
  <c r="G38" s="1"/>
  <c r="F9"/>
  <c r="F38" s="1"/>
  <c r="E9"/>
  <c r="D9"/>
  <c r="C9"/>
  <c r="B9"/>
  <c r="K8"/>
  <c r="J8"/>
  <c r="J37" s="1"/>
  <c r="I8"/>
  <c r="P8" s="1"/>
  <c r="U8" s="1"/>
  <c r="H8"/>
  <c r="H37" s="1"/>
  <c r="G8"/>
  <c r="F8"/>
  <c r="F37" s="1"/>
  <c r="E8"/>
  <c r="D8"/>
  <c r="D37" s="1"/>
  <c r="C8"/>
  <c r="B8"/>
  <c r="B37" s="1"/>
  <c r="K7"/>
  <c r="J7"/>
  <c r="J36" s="1"/>
  <c r="I7"/>
  <c r="H7"/>
  <c r="H36" s="1"/>
  <c r="G7"/>
  <c r="F7"/>
  <c r="F36" s="1"/>
  <c r="E7"/>
  <c r="D7"/>
  <c r="C7"/>
  <c r="B7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J34" s="1"/>
  <c r="I5"/>
  <c r="H5"/>
  <c r="H34" s="1"/>
  <c r="G5"/>
  <c r="F5"/>
  <c r="F34" s="1"/>
  <c r="E5"/>
  <c r="D5"/>
  <c r="C5"/>
  <c r="B5"/>
  <c r="K4"/>
  <c r="J4"/>
  <c r="J33" s="1"/>
  <c r="I4"/>
  <c r="I33" s="1"/>
  <c r="H4"/>
  <c r="H33" s="1"/>
  <c r="G4"/>
  <c r="F4"/>
  <c r="F33" s="1"/>
  <c r="E4"/>
  <c r="D4"/>
  <c r="D33" s="1"/>
  <c r="C4"/>
  <c r="B4"/>
  <c r="B33" s="1"/>
  <c r="K3"/>
  <c r="J3"/>
  <c r="J32" s="1"/>
  <c r="I3"/>
  <c r="H3"/>
  <c r="H32" s="1"/>
  <c r="G3"/>
  <c r="F3"/>
  <c r="F32" s="1"/>
  <c r="E3"/>
  <c r="D3"/>
  <c r="C3"/>
  <c r="B3"/>
  <c r="P2"/>
  <c r="U2" s="1"/>
  <c r="K31"/>
  <c r="J31"/>
  <c r="H31"/>
  <c r="P31" s="1"/>
  <c r="U31" s="1"/>
  <c r="G31"/>
  <c r="F31"/>
  <c r="E31"/>
  <c r="D31"/>
  <c r="C31"/>
  <c r="B31"/>
  <c r="B48" i="10"/>
  <c r="C48"/>
  <c r="D48"/>
  <c r="J48"/>
  <c r="D45"/>
  <c r="F45"/>
  <c r="H45"/>
  <c r="J45"/>
  <c r="D31"/>
  <c r="F31"/>
  <c r="H31"/>
  <c r="J31"/>
  <c r="C45"/>
  <c r="B31"/>
  <c r="B45"/>
  <c r="P51" i="17" l="1"/>
  <c r="Y51" s="1"/>
  <c r="AD51" s="1"/>
  <c r="P47"/>
  <c r="Y47" s="1"/>
  <c r="AD47" s="1"/>
  <c r="P43"/>
  <c r="Y43" s="1"/>
  <c r="AD43" s="1"/>
  <c r="P39"/>
  <c r="Y39" s="1"/>
  <c r="AD39" s="1"/>
  <c r="P35"/>
  <c r="Y35" s="1"/>
  <c r="AD35" s="1"/>
  <c r="P31"/>
  <c r="Y31" s="1"/>
  <c r="AD31" s="1"/>
  <c r="P50"/>
  <c r="Y50" s="1"/>
  <c r="AD50" s="1"/>
  <c r="P46"/>
  <c r="Y46" s="1"/>
  <c r="AD46" s="1"/>
  <c r="P42"/>
  <c r="Y42" s="1"/>
  <c r="AD42" s="1"/>
  <c r="P38"/>
  <c r="Y38" s="1"/>
  <c r="AD38" s="1"/>
  <c r="P34"/>
  <c r="Y34" s="1"/>
  <c r="AD34" s="1"/>
  <c r="P49"/>
  <c r="Y49" s="1"/>
  <c r="AD49" s="1"/>
  <c r="P45"/>
  <c r="Y45" s="1"/>
  <c r="AD45" s="1"/>
  <c r="P41"/>
  <c r="Y41" s="1"/>
  <c r="AD41" s="1"/>
  <c r="P37"/>
  <c r="Y37" s="1"/>
  <c r="AD37" s="1"/>
  <c r="P33"/>
  <c r="Y33" s="1"/>
  <c r="AD33" s="1"/>
  <c r="P52"/>
  <c r="Y52" s="1"/>
  <c r="AD52" s="1"/>
  <c r="P48"/>
  <c r="Y48" s="1"/>
  <c r="AD48" s="1"/>
  <c r="P44"/>
  <c r="Y44" s="1"/>
  <c r="AD44" s="1"/>
  <c r="P40"/>
  <c r="Y40" s="1"/>
  <c r="AD40" s="1"/>
  <c r="P36"/>
  <c r="Y36" s="1"/>
  <c r="AD36" s="1"/>
  <c r="P32"/>
  <c r="Y32" s="1"/>
  <c r="AD32" s="1"/>
  <c r="O32" i="16"/>
  <c r="R47"/>
  <c r="Z47" s="1"/>
  <c r="AE47" s="1"/>
  <c r="R39"/>
  <c r="Z39" s="1"/>
  <c r="AE39" s="1"/>
  <c r="R31"/>
  <c r="Z31" s="1"/>
  <c r="AE31" s="1"/>
  <c r="V32"/>
  <c r="AB32" s="1"/>
  <c r="AG32" s="1"/>
  <c r="T47"/>
  <c r="AA47" s="1"/>
  <c r="AF47" s="1"/>
  <c r="T39"/>
  <c r="AA39" s="1"/>
  <c r="AF39" s="1"/>
  <c r="T31"/>
  <c r="AA31" s="1"/>
  <c r="AF31" s="1"/>
  <c r="R49"/>
  <c r="Z49" s="1"/>
  <c r="AE49" s="1"/>
  <c r="R41"/>
  <c r="Z41" s="1"/>
  <c r="AE41" s="1"/>
  <c r="R33"/>
  <c r="Z33" s="1"/>
  <c r="AE33" s="1"/>
  <c r="T49"/>
  <c r="AA49" s="1"/>
  <c r="AF49" s="1"/>
  <c r="T41"/>
  <c r="AA41" s="1"/>
  <c r="AF41" s="1"/>
  <c r="T33"/>
  <c r="AA33" s="1"/>
  <c r="AF33" s="1"/>
  <c r="R38"/>
  <c r="Z38" s="1"/>
  <c r="AE38" s="1"/>
  <c r="R52"/>
  <c r="Z52" s="1"/>
  <c r="AE52" s="1"/>
  <c r="R43"/>
  <c r="Z43" s="1"/>
  <c r="AE43" s="1"/>
  <c r="R35"/>
  <c r="Z35" s="1"/>
  <c r="AE35" s="1"/>
  <c r="V51"/>
  <c r="AB51" s="1"/>
  <c r="AG51" s="1"/>
  <c r="V46"/>
  <c r="AB46" s="1"/>
  <c r="AG46" s="1"/>
  <c r="V42"/>
  <c r="AB42" s="1"/>
  <c r="AG42" s="1"/>
  <c r="V38"/>
  <c r="AB38" s="1"/>
  <c r="AG38" s="1"/>
  <c r="R50"/>
  <c r="Z50" s="1"/>
  <c r="AE50" s="1"/>
  <c r="T43"/>
  <c r="AA43" s="1"/>
  <c r="AF43" s="1"/>
  <c r="T35"/>
  <c r="AA35" s="1"/>
  <c r="AF35" s="1"/>
  <c r="R45"/>
  <c r="Z45" s="1"/>
  <c r="AE45" s="1"/>
  <c r="T52"/>
  <c r="AA52" s="1"/>
  <c r="AF52" s="1"/>
  <c r="T45"/>
  <c r="AA45" s="1"/>
  <c r="AF45" s="1"/>
  <c r="AE37" i="15"/>
  <c r="Q37"/>
  <c r="R37"/>
  <c r="Z37" s="1"/>
  <c r="Q39"/>
  <c r="R39"/>
  <c r="Z39" s="1"/>
  <c r="AE39" s="1"/>
  <c r="R51"/>
  <c r="Z51" s="1"/>
  <c r="AE51" s="1"/>
  <c r="Q51"/>
  <c r="R48"/>
  <c r="Z48" s="1"/>
  <c r="AE48" s="1"/>
  <c r="Q48"/>
  <c r="Q41"/>
  <c r="R41"/>
  <c r="Z41" s="1"/>
  <c r="AE41" s="1"/>
  <c r="M31"/>
  <c r="N31"/>
  <c r="X31" s="1"/>
  <c r="AC31" s="1"/>
  <c r="U31"/>
  <c r="V31"/>
  <c r="AB31" s="1"/>
  <c r="AG31" s="1"/>
  <c r="S31"/>
  <c r="T31"/>
  <c r="AA31" s="1"/>
  <c r="AF31" s="1"/>
  <c r="Q31"/>
  <c r="R31"/>
  <c r="Z31" s="1"/>
  <c r="AE31" s="1"/>
  <c r="AG42"/>
  <c r="AG48"/>
  <c r="O32"/>
  <c r="O46"/>
  <c r="O33"/>
  <c r="O48"/>
  <c r="O47"/>
  <c r="O34"/>
  <c r="O37"/>
  <c r="O36"/>
  <c r="O45"/>
  <c r="O39"/>
  <c r="O38"/>
  <c r="O41"/>
  <c r="O31"/>
  <c r="O40"/>
  <c r="O35"/>
  <c r="O44"/>
  <c r="O49"/>
  <c r="O52"/>
  <c r="O42"/>
  <c r="O51"/>
  <c r="O43"/>
  <c r="M36"/>
  <c r="M40"/>
  <c r="M44"/>
  <c r="M32"/>
  <c r="M37"/>
  <c r="M45"/>
  <c r="M39"/>
  <c r="M43"/>
  <c r="M34"/>
  <c r="M48"/>
  <c r="AC42"/>
  <c r="M42"/>
  <c r="M47"/>
  <c r="M49"/>
  <c r="M33"/>
  <c r="M46"/>
  <c r="M35"/>
  <c r="AC50"/>
  <c r="M50"/>
  <c r="AC41"/>
  <c r="M41"/>
  <c r="AC38"/>
  <c r="M38"/>
  <c r="AG46"/>
  <c r="N33" i="12"/>
  <c r="N32"/>
  <c r="N36"/>
  <c r="I44" i="11"/>
  <c r="E46"/>
  <c r="G48" i="10"/>
  <c r="I32" i="11"/>
  <c r="E33"/>
  <c r="C34"/>
  <c r="C33"/>
  <c r="K33"/>
  <c r="P5"/>
  <c r="U5" s="1"/>
  <c r="E45" i="10"/>
  <c r="M7" i="11"/>
  <c r="R7" s="1"/>
  <c r="I48" i="10"/>
  <c r="E36" i="11"/>
  <c r="G42"/>
  <c r="O42" s="1"/>
  <c r="T42" s="1"/>
  <c r="I31" i="10"/>
  <c r="P31" s="1"/>
  <c r="U31" s="1"/>
  <c r="K31"/>
  <c r="K45"/>
  <c r="K48"/>
  <c r="C31"/>
  <c r="N3" i="11"/>
  <c r="S3" s="1"/>
  <c r="E42"/>
  <c r="E52"/>
  <c r="I45" i="10"/>
  <c r="P45" s="1"/>
  <c r="U45" s="1"/>
  <c r="E38" i="11"/>
  <c r="C39"/>
  <c r="K39"/>
  <c r="E48" i="10"/>
  <c r="C42" i="11"/>
  <c r="K42"/>
  <c r="I43"/>
  <c r="P43" s="1"/>
  <c r="U43" s="1"/>
  <c r="H48" i="10"/>
  <c r="P48" s="1"/>
  <c r="U48" s="1"/>
  <c r="I35" i="11"/>
  <c r="M9"/>
  <c r="R9" s="1"/>
  <c r="G49"/>
  <c r="K34"/>
  <c r="Q34" s="1"/>
  <c r="V34" s="1"/>
  <c r="I38"/>
  <c r="G39"/>
  <c r="P14"/>
  <c r="U14" s="1"/>
  <c r="I49"/>
  <c r="E32"/>
  <c r="E35"/>
  <c r="P10"/>
  <c r="U10" s="1"/>
  <c r="I40"/>
  <c r="P40" s="1"/>
  <c r="U40" s="1"/>
  <c r="P13"/>
  <c r="U13" s="1"/>
  <c r="I52"/>
  <c r="P3"/>
  <c r="U3" s="1"/>
  <c r="I46"/>
  <c r="E50"/>
  <c r="M48" i="10"/>
  <c r="R48" s="1"/>
  <c r="N45"/>
  <c r="S45" s="1"/>
  <c r="C32" i="11"/>
  <c r="K32"/>
  <c r="C35"/>
  <c r="K35"/>
  <c r="Q35" s="1"/>
  <c r="V35" s="1"/>
  <c r="G37"/>
  <c r="N9"/>
  <c r="S9" s="1"/>
  <c r="E47"/>
  <c r="P21"/>
  <c r="U21" s="1"/>
  <c r="G45" i="10"/>
  <c r="O45" s="1"/>
  <c r="T45" s="1"/>
  <c r="E31"/>
  <c r="N31" s="1"/>
  <c r="S31" s="1"/>
  <c r="G33" i="11"/>
  <c r="E34"/>
  <c r="I39"/>
  <c r="I42"/>
  <c r="C44"/>
  <c r="K44"/>
  <c r="E49"/>
  <c r="N49" s="1"/>
  <c r="S49" s="1"/>
  <c r="C50"/>
  <c r="K50"/>
  <c r="G36"/>
  <c r="O36" s="1"/>
  <c r="T36" s="1"/>
  <c r="E37"/>
  <c r="E40"/>
  <c r="N34" i="12"/>
  <c r="G31" i="10"/>
  <c r="O31" s="1"/>
  <c r="T31" s="1"/>
  <c r="I37" i="11"/>
  <c r="P37" s="1"/>
  <c r="U37" s="1"/>
  <c r="G35"/>
  <c r="C37"/>
  <c r="K37"/>
  <c r="Q37" s="1"/>
  <c r="V37" s="1"/>
  <c r="C40"/>
  <c r="K40"/>
  <c r="P41"/>
  <c r="U41" s="1"/>
  <c r="C43"/>
  <c r="K43"/>
  <c r="N17"/>
  <c r="S17" s="1"/>
  <c r="P17"/>
  <c r="U17" s="1"/>
  <c r="I47"/>
  <c r="P47" s="1"/>
  <c r="U47" s="1"/>
  <c r="P38"/>
  <c r="U38" s="1"/>
  <c r="M17"/>
  <c r="R17" s="1"/>
  <c r="N21"/>
  <c r="S21" s="1"/>
  <c r="P32"/>
  <c r="U32" s="1"/>
  <c r="M5"/>
  <c r="R5" s="1"/>
  <c r="N7"/>
  <c r="S7" s="1"/>
  <c r="P7"/>
  <c r="U7" s="1"/>
  <c r="O38"/>
  <c r="T38" s="1"/>
  <c r="P46"/>
  <c r="U46" s="1"/>
  <c r="M21"/>
  <c r="R21" s="1"/>
  <c r="Q50"/>
  <c r="V50" s="1"/>
  <c r="N48" i="10"/>
  <c r="S48" s="1"/>
  <c r="P52" i="11"/>
  <c r="U52" s="1"/>
  <c r="M3"/>
  <c r="R3" s="1"/>
  <c r="N5"/>
  <c r="S5" s="1"/>
  <c r="M11"/>
  <c r="R11" s="1"/>
  <c r="Q46"/>
  <c r="V46" s="1"/>
  <c r="Q31" i="10"/>
  <c r="V31" s="1"/>
  <c r="O44" i="11"/>
  <c r="T44" s="1"/>
  <c r="Q45" i="10"/>
  <c r="V45" s="1"/>
  <c r="Q31" i="11"/>
  <c r="V31" s="1"/>
  <c r="G32"/>
  <c r="N33"/>
  <c r="S33" s="1"/>
  <c r="P4"/>
  <c r="U4" s="1"/>
  <c r="I34"/>
  <c r="O35"/>
  <c r="T35" s="1"/>
  <c r="C36"/>
  <c r="K36"/>
  <c r="M39"/>
  <c r="R39" s="1"/>
  <c r="Q39"/>
  <c r="V39" s="1"/>
  <c r="G40"/>
  <c r="N41"/>
  <c r="S41" s="1"/>
  <c r="M13"/>
  <c r="R13" s="1"/>
  <c r="Q42"/>
  <c r="V42" s="1"/>
  <c r="G43"/>
  <c r="N15"/>
  <c r="S15" s="1"/>
  <c r="P15"/>
  <c r="U15" s="1"/>
  <c r="G46"/>
  <c r="O46" s="1"/>
  <c r="T46" s="1"/>
  <c r="P18"/>
  <c r="U18" s="1"/>
  <c r="P20"/>
  <c r="U20" s="1"/>
  <c r="I50"/>
  <c r="N23"/>
  <c r="S23" s="1"/>
  <c r="P23"/>
  <c r="U23" s="1"/>
  <c r="P33"/>
  <c r="U33" s="1"/>
  <c r="P44"/>
  <c r="U44" s="1"/>
  <c r="P49"/>
  <c r="U49" s="1"/>
  <c r="Q48" i="10"/>
  <c r="V48" s="1"/>
  <c r="Q32" i="11"/>
  <c r="V32" s="1"/>
  <c r="Q40"/>
  <c r="V40" s="1"/>
  <c r="N13"/>
  <c r="S13" s="1"/>
  <c r="O52"/>
  <c r="T52" s="1"/>
  <c r="F48" i="10"/>
  <c r="O48" s="1"/>
  <c r="T48" s="1"/>
  <c r="P9" i="11"/>
  <c r="U9" s="1"/>
  <c r="O43"/>
  <c r="T43" s="1"/>
  <c r="P45"/>
  <c r="U45" s="1"/>
  <c r="C47"/>
  <c r="K47"/>
  <c r="C49"/>
  <c r="K49"/>
  <c r="C52"/>
  <c r="K52"/>
  <c r="Q52" s="1"/>
  <c r="V52" s="1"/>
  <c r="M31" i="10"/>
  <c r="R31" s="1"/>
  <c r="P35" i="11"/>
  <c r="U35" s="1"/>
  <c r="G34"/>
  <c r="O34" s="1"/>
  <c r="T34" s="1"/>
  <c r="P6"/>
  <c r="U6" s="1"/>
  <c r="I36"/>
  <c r="P36" s="1"/>
  <c r="U36" s="1"/>
  <c r="C38"/>
  <c r="K38"/>
  <c r="Q38" s="1"/>
  <c r="V38" s="1"/>
  <c r="P39"/>
  <c r="U39" s="1"/>
  <c r="E43"/>
  <c r="M15"/>
  <c r="R15" s="1"/>
  <c r="M47"/>
  <c r="R47" s="1"/>
  <c r="Q47"/>
  <c r="V47" s="1"/>
  <c r="G50"/>
  <c r="O50" s="1"/>
  <c r="T50" s="1"/>
  <c r="N35" i="12"/>
  <c r="M31" i="11"/>
  <c r="R31" s="1"/>
  <c r="O31"/>
  <c r="T31" s="1"/>
  <c r="M35"/>
  <c r="R35" s="1"/>
  <c r="N37"/>
  <c r="S37" s="1"/>
  <c r="O39"/>
  <c r="T39" s="1"/>
  <c r="M43"/>
  <c r="R43" s="1"/>
  <c r="Q43"/>
  <c r="V43" s="1"/>
  <c r="N45"/>
  <c r="S45" s="1"/>
  <c r="O47"/>
  <c r="T47" s="1"/>
  <c r="M51"/>
  <c r="R51" s="1"/>
  <c r="Q51"/>
  <c r="V51" s="1"/>
  <c r="N31"/>
  <c r="S31" s="1"/>
  <c r="O33"/>
  <c r="T33" s="1"/>
  <c r="M37"/>
  <c r="R37" s="1"/>
  <c r="N39"/>
  <c r="S39" s="1"/>
  <c r="O41"/>
  <c r="T41" s="1"/>
  <c r="M45"/>
  <c r="R45" s="1"/>
  <c r="Q45"/>
  <c r="V45" s="1"/>
  <c r="N47"/>
  <c r="S47" s="1"/>
  <c r="O49"/>
  <c r="T49" s="1"/>
  <c r="O32"/>
  <c r="T32" s="1"/>
  <c r="P34"/>
  <c r="U34" s="1"/>
  <c r="Q36"/>
  <c r="V36" s="1"/>
  <c r="O40"/>
  <c r="T40" s="1"/>
  <c r="P42"/>
  <c r="U42" s="1"/>
  <c r="Q44"/>
  <c r="V44" s="1"/>
  <c r="O48"/>
  <c r="T48" s="1"/>
  <c r="P50"/>
  <c r="U50" s="1"/>
  <c r="M33"/>
  <c r="R33" s="1"/>
  <c r="Q33"/>
  <c r="V33" s="1"/>
  <c r="N35"/>
  <c r="S35" s="1"/>
  <c r="O37"/>
  <c r="T37" s="1"/>
  <c r="M41"/>
  <c r="R41" s="1"/>
  <c r="Q41"/>
  <c r="V41" s="1"/>
  <c r="N43"/>
  <c r="S43" s="1"/>
  <c r="O45"/>
  <c r="T45" s="1"/>
  <c r="M49"/>
  <c r="R49" s="1"/>
  <c r="Q49"/>
  <c r="V49" s="1"/>
  <c r="N51"/>
  <c r="S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D32"/>
  <c r="N32" s="1"/>
  <c r="S32" s="1"/>
  <c r="D34"/>
  <c r="D36"/>
  <c r="N36" s="1"/>
  <c r="S36" s="1"/>
  <c r="D38"/>
  <c r="N38" s="1"/>
  <c r="S38" s="1"/>
  <c r="D40"/>
  <c r="N40" s="1"/>
  <c r="S40" s="1"/>
  <c r="D42"/>
  <c r="N42" s="1"/>
  <c r="S42" s="1"/>
  <c r="D44"/>
  <c r="N44" s="1"/>
  <c r="S44" s="1"/>
  <c r="D46"/>
  <c r="N46" s="1"/>
  <c r="S46" s="1"/>
  <c r="N48"/>
  <c r="S48" s="1"/>
  <c r="D50"/>
  <c r="N50" s="1"/>
  <c r="S50" s="1"/>
  <c r="D52"/>
  <c r="N2"/>
  <c r="S2" s="1"/>
  <c r="N4"/>
  <c r="S4" s="1"/>
  <c r="N6"/>
  <c r="S6" s="1"/>
  <c r="N8"/>
  <c r="S8" s="1"/>
  <c r="S10"/>
  <c r="N12"/>
  <c r="S12" s="1"/>
  <c r="N14"/>
  <c r="S14" s="1"/>
  <c r="N16"/>
  <c r="S16" s="1"/>
  <c r="N18"/>
  <c r="S18" s="1"/>
  <c r="N20"/>
  <c r="S20" s="1"/>
  <c r="N22"/>
  <c r="S22" s="1"/>
  <c r="M2"/>
  <c r="R2" s="1"/>
  <c r="Q3"/>
  <c r="V3" s="1"/>
  <c r="M4"/>
  <c r="R4" s="1"/>
  <c r="Q5"/>
  <c r="V5" s="1"/>
  <c r="M6"/>
  <c r="R6" s="1"/>
  <c r="Q7"/>
  <c r="V7" s="1"/>
  <c r="M8"/>
  <c r="R8" s="1"/>
  <c r="Q9"/>
  <c r="V9" s="1"/>
  <c r="M10"/>
  <c r="R10" s="1"/>
  <c r="Q11"/>
  <c r="V11" s="1"/>
  <c r="M12"/>
  <c r="R12" s="1"/>
  <c r="Q13"/>
  <c r="V13" s="1"/>
  <c r="M14"/>
  <c r="R14" s="1"/>
  <c r="Q15"/>
  <c r="V15" s="1"/>
  <c r="M16"/>
  <c r="R16" s="1"/>
  <c r="Q17"/>
  <c r="V17" s="1"/>
  <c r="M18"/>
  <c r="R18" s="1"/>
  <c r="Q19"/>
  <c r="V19" s="1"/>
  <c r="M20"/>
  <c r="R20" s="1"/>
  <c r="Q21"/>
  <c r="V21" s="1"/>
  <c r="M22"/>
  <c r="R22" s="1"/>
  <c r="Q23"/>
  <c r="V23" s="1"/>
  <c r="B32"/>
  <c r="M32" s="1"/>
  <c r="R32" s="1"/>
  <c r="B34"/>
  <c r="B36"/>
  <c r="M36" s="1"/>
  <c r="R36" s="1"/>
  <c r="B38"/>
  <c r="M38" s="1"/>
  <c r="R38" s="1"/>
  <c r="B40"/>
  <c r="M40" s="1"/>
  <c r="R40" s="1"/>
  <c r="B42"/>
  <c r="M42" s="1"/>
  <c r="R42" s="1"/>
  <c r="B44"/>
  <c r="M44" s="1"/>
  <c r="R44" s="1"/>
  <c r="B46"/>
  <c r="M46" s="1"/>
  <c r="R46" s="1"/>
  <c r="M48"/>
  <c r="R48" s="1"/>
  <c r="B50"/>
  <c r="M50" s="1"/>
  <c r="R50" s="1"/>
  <c r="B52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Q2"/>
  <c r="V2" s="1"/>
  <c r="Q4"/>
  <c r="V4" s="1"/>
  <c r="Q6"/>
  <c r="V6" s="1"/>
  <c r="Q8"/>
  <c r="V8" s="1"/>
  <c r="Q10"/>
  <c r="V10" s="1"/>
  <c r="Q12"/>
  <c r="V12" s="1"/>
  <c r="Q14"/>
  <c r="V14" s="1"/>
  <c r="Q16"/>
  <c r="V16" s="1"/>
  <c r="Q18"/>
  <c r="V18" s="1"/>
  <c r="Q20"/>
  <c r="V20" s="1"/>
  <c r="Q22"/>
  <c r="V22" s="1"/>
  <c r="M45" i="10"/>
  <c r="R45" s="1"/>
  <c r="P31" i="16" l="1"/>
  <c r="Y31" s="1"/>
  <c r="AD31" s="1"/>
  <c r="P39"/>
  <c r="Y39" s="1"/>
  <c r="AD39" s="1"/>
  <c r="P47"/>
  <c r="Y47" s="1"/>
  <c r="AD47" s="1"/>
  <c r="P34"/>
  <c r="Y34" s="1"/>
  <c r="AD34" s="1"/>
  <c r="P42"/>
  <c r="Y42" s="1"/>
  <c r="AD42" s="1"/>
  <c r="P51"/>
  <c r="Y51" s="1"/>
  <c r="AD51" s="1"/>
  <c r="P50"/>
  <c r="Y50" s="1"/>
  <c r="AD50" s="1"/>
  <c r="P37"/>
  <c r="Y37" s="1"/>
  <c r="AD37" s="1"/>
  <c r="P45"/>
  <c r="Y45" s="1"/>
  <c r="AD45" s="1"/>
  <c r="P40"/>
  <c r="Y40" s="1"/>
  <c r="AD40" s="1"/>
  <c r="P48"/>
  <c r="Y48" s="1"/>
  <c r="AD48" s="1"/>
  <c r="P35"/>
  <c r="Y35" s="1"/>
  <c r="AD35" s="1"/>
  <c r="P43"/>
  <c r="Y43" s="1"/>
  <c r="AD43" s="1"/>
  <c r="P52"/>
  <c r="Y52" s="1"/>
  <c r="AD52" s="1"/>
  <c r="P38"/>
  <c r="Y38" s="1"/>
  <c r="AD38" s="1"/>
  <c r="P46"/>
  <c r="Y46" s="1"/>
  <c r="AD46" s="1"/>
  <c r="P33"/>
  <c r="Y33" s="1"/>
  <c r="AD33" s="1"/>
  <c r="P41"/>
  <c r="Y41" s="1"/>
  <c r="AD41" s="1"/>
  <c r="P49"/>
  <c r="Y49" s="1"/>
  <c r="AD49" s="1"/>
  <c r="P36"/>
  <c r="Y36" s="1"/>
  <c r="AD36" s="1"/>
  <c r="P44"/>
  <c r="Y44" s="1"/>
  <c r="AD44" s="1"/>
  <c r="P32"/>
  <c r="Y32" s="1"/>
  <c r="AD32" s="1"/>
  <c r="P37" i="15"/>
  <c r="Y37" s="1"/>
  <c r="AD37" s="1"/>
  <c r="P45"/>
  <c r="Y45" s="1"/>
  <c r="AD45" s="1"/>
  <c r="P36"/>
  <c r="Y36" s="1"/>
  <c r="AD36" s="1"/>
  <c r="P44"/>
  <c r="Y44" s="1"/>
  <c r="AD44" s="1"/>
  <c r="P52"/>
  <c r="Y52" s="1"/>
  <c r="AD52" s="1"/>
  <c r="P33"/>
  <c r="Y33" s="1"/>
  <c r="AD33" s="1"/>
  <c r="P41"/>
  <c r="Y41" s="1"/>
  <c r="AD41" s="1"/>
  <c r="P49"/>
  <c r="Y49" s="1"/>
  <c r="AD49" s="1"/>
  <c r="P32"/>
  <c r="Y32" s="1"/>
  <c r="AD32" s="1"/>
  <c r="P40"/>
  <c r="Y40" s="1"/>
  <c r="AD40" s="1"/>
  <c r="P48"/>
  <c r="Y48" s="1"/>
  <c r="AD48" s="1"/>
  <c r="P31"/>
  <c r="Y31" s="1"/>
  <c r="AD31" s="1"/>
  <c r="P39"/>
  <c r="Y39" s="1"/>
  <c r="AD39" s="1"/>
  <c r="P47"/>
  <c r="Y47" s="1"/>
  <c r="AD47" s="1"/>
  <c r="P38"/>
  <c r="Y38" s="1"/>
  <c r="AD38" s="1"/>
  <c r="P46"/>
  <c r="Y46" s="1"/>
  <c r="AD46" s="1"/>
  <c r="P35"/>
  <c r="Y35" s="1"/>
  <c r="AD35" s="1"/>
  <c r="P43"/>
  <c r="Y43" s="1"/>
  <c r="AD43" s="1"/>
  <c r="P51"/>
  <c r="Y51" s="1"/>
  <c r="AD51" s="1"/>
  <c r="P34"/>
  <c r="Y34" s="1"/>
  <c r="AD34" s="1"/>
  <c r="P42"/>
  <c r="Y42" s="1"/>
  <c r="AD42" s="1"/>
  <c r="P50"/>
  <c r="Y50" s="1"/>
  <c r="AD50" s="1"/>
  <c r="M34" i="11"/>
  <c r="R34" s="1"/>
  <c r="M52"/>
  <c r="R52" s="1"/>
  <c r="N34"/>
  <c r="S34" s="1"/>
  <c r="N52"/>
  <c r="S52" s="1"/>
  <c r="P27" i="10"/>
  <c r="O27"/>
  <c r="N27"/>
  <c r="P26"/>
  <c r="O26"/>
  <c r="N26"/>
  <c r="K52"/>
  <c r="J52"/>
  <c r="I52"/>
  <c r="H52"/>
  <c r="G52"/>
  <c r="F52"/>
  <c r="D52"/>
  <c r="C52"/>
  <c r="B52"/>
  <c r="K51"/>
  <c r="J51"/>
  <c r="I51"/>
  <c r="H51"/>
  <c r="F51"/>
  <c r="D51"/>
  <c r="B51"/>
  <c r="J50"/>
  <c r="H50"/>
  <c r="F50"/>
  <c r="D50"/>
  <c r="B50"/>
  <c r="J49"/>
  <c r="H49"/>
  <c r="F49"/>
  <c r="D49"/>
  <c r="B49"/>
  <c r="J47"/>
  <c r="H47"/>
  <c r="F47"/>
  <c r="D47"/>
  <c r="B47"/>
  <c r="J46"/>
  <c r="H46"/>
  <c r="F46"/>
  <c r="D46"/>
  <c r="B46"/>
  <c r="J44"/>
  <c r="H44"/>
  <c r="F44"/>
  <c r="D44"/>
  <c r="B44"/>
  <c r="J43"/>
  <c r="H43"/>
  <c r="F43"/>
  <c r="D43"/>
  <c r="B43"/>
  <c r="J42"/>
  <c r="H42"/>
  <c r="F42"/>
  <c r="D42"/>
  <c r="B42"/>
  <c r="J41"/>
  <c r="H41"/>
  <c r="F41"/>
  <c r="D41"/>
  <c r="B41"/>
  <c r="J40"/>
  <c r="H40"/>
  <c r="F40"/>
  <c r="D40"/>
  <c r="B40"/>
  <c r="J39"/>
  <c r="H39"/>
  <c r="F39"/>
  <c r="D39"/>
  <c r="B39"/>
  <c r="J38"/>
  <c r="H38"/>
  <c r="F38"/>
  <c r="D38"/>
  <c r="B38"/>
  <c r="J37"/>
  <c r="H37"/>
  <c r="F37"/>
  <c r="D37"/>
  <c r="B37"/>
  <c r="J36"/>
  <c r="H36"/>
  <c r="F36"/>
  <c r="D36"/>
  <c r="B36"/>
  <c r="J35"/>
  <c r="H35"/>
  <c r="F35"/>
  <c r="D35"/>
  <c r="B35"/>
  <c r="J34"/>
  <c r="H34"/>
  <c r="F34"/>
  <c r="D34"/>
  <c r="B34"/>
  <c r="J33"/>
  <c r="H33"/>
  <c r="F33"/>
  <c r="D33"/>
  <c r="B33"/>
  <c r="J32"/>
  <c r="H32"/>
  <c r="F32"/>
  <c r="D32"/>
  <c r="B32"/>
  <c r="N27" i="2"/>
  <c r="O27"/>
  <c r="N22"/>
  <c r="O22"/>
  <c r="N23"/>
  <c r="O23"/>
  <c r="N24"/>
  <c r="O24"/>
  <c r="N25"/>
  <c r="O25"/>
  <c r="N26"/>
  <c r="O26"/>
  <c r="N21"/>
  <c r="O21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W15"/>
  <c r="W14"/>
  <c r="V15"/>
  <c r="V14"/>
  <c r="U15"/>
  <c r="U14"/>
  <c r="AD3" i="1"/>
  <c r="AD4"/>
  <c r="AD5"/>
  <c r="AD6"/>
  <c r="AD7"/>
  <c r="AD8"/>
  <c r="AD9"/>
  <c r="AD10"/>
  <c r="AD11"/>
  <c r="AD12"/>
  <c r="AD13"/>
  <c r="AD14"/>
  <c r="AD15"/>
  <c r="AD16"/>
  <c r="AD17"/>
  <c r="AD18"/>
  <c r="AD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"/>
  <c r="AC3" i="1"/>
  <c r="AC4"/>
  <c r="AC5"/>
  <c r="AC6"/>
  <c r="AC7"/>
  <c r="AC8"/>
  <c r="AC9"/>
  <c r="AC10"/>
  <c r="AC11"/>
  <c r="AC12"/>
  <c r="AC13"/>
  <c r="AC14"/>
  <c r="AC15"/>
  <c r="AC16"/>
  <c r="AC17"/>
  <c r="AC18"/>
  <c r="AC2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51" i="10" l="1"/>
  <c r="O51" s="1"/>
  <c r="T51" s="1"/>
  <c r="E52"/>
  <c r="Q51"/>
  <c r="V51" s="1"/>
  <c r="P51"/>
  <c r="U51" s="1"/>
  <c r="M52"/>
  <c r="R52" s="1"/>
  <c r="N32" i="2"/>
  <c r="N34"/>
  <c r="N36"/>
  <c r="E32" i="10"/>
  <c r="N32" s="1"/>
  <c r="S32" s="1"/>
  <c r="C33"/>
  <c r="K33"/>
  <c r="Q33" s="1"/>
  <c r="V33" s="1"/>
  <c r="I34"/>
  <c r="P34" s="1"/>
  <c r="U34" s="1"/>
  <c r="G35"/>
  <c r="O35" s="1"/>
  <c r="T35" s="1"/>
  <c r="E36"/>
  <c r="N36" s="1"/>
  <c r="S36" s="1"/>
  <c r="C37"/>
  <c r="M37" s="1"/>
  <c r="R37" s="1"/>
  <c r="K37"/>
  <c r="Q37" s="1"/>
  <c r="V37" s="1"/>
  <c r="I38"/>
  <c r="P38" s="1"/>
  <c r="U38" s="1"/>
  <c r="G39"/>
  <c r="E40"/>
  <c r="N40" s="1"/>
  <c r="S40" s="1"/>
  <c r="C41"/>
  <c r="M41" s="1"/>
  <c r="R41" s="1"/>
  <c r="K41"/>
  <c r="Q41" s="1"/>
  <c r="V41" s="1"/>
  <c r="I42"/>
  <c r="P42" s="1"/>
  <c r="U42" s="1"/>
  <c r="G43"/>
  <c r="O43" s="1"/>
  <c r="T43" s="1"/>
  <c r="E44"/>
  <c r="N44" s="1"/>
  <c r="S44" s="1"/>
  <c r="C46"/>
  <c r="M46" s="1"/>
  <c r="R46" s="1"/>
  <c r="K46"/>
  <c r="I47"/>
  <c r="P47" s="1"/>
  <c r="U47" s="1"/>
  <c r="G49"/>
  <c r="O49" s="1"/>
  <c r="T49" s="1"/>
  <c r="E50"/>
  <c r="N50" s="1"/>
  <c r="S50" s="1"/>
  <c r="C51"/>
  <c r="M51" s="1"/>
  <c r="R51" s="1"/>
  <c r="M33"/>
  <c r="R33" s="1"/>
  <c r="O39"/>
  <c r="T39" s="1"/>
  <c r="Q46"/>
  <c r="V46" s="1"/>
  <c r="P52"/>
  <c r="U52" s="1"/>
  <c r="C32"/>
  <c r="M32" s="1"/>
  <c r="R32" s="1"/>
  <c r="K32"/>
  <c r="Q32" s="1"/>
  <c r="V32" s="1"/>
  <c r="I33"/>
  <c r="P33" s="1"/>
  <c r="U33" s="1"/>
  <c r="G34"/>
  <c r="O34" s="1"/>
  <c r="T34" s="1"/>
  <c r="E35"/>
  <c r="N35" s="1"/>
  <c r="S35" s="1"/>
  <c r="C36"/>
  <c r="M36" s="1"/>
  <c r="R36" s="1"/>
  <c r="K36"/>
  <c r="Q36" s="1"/>
  <c r="V36" s="1"/>
  <c r="I37"/>
  <c r="P37" s="1"/>
  <c r="U37" s="1"/>
  <c r="G38"/>
  <c r="O38" s="1"/>
  <c r="T38" s="1"/>
  <c r="E39"/>
  <c r="N39" s="1"/>
  <c r="S39" s="1"/>
  <c r="C40"/>
  <c r="M40" s="1"/>
  <c r="R40" s="1"/>
  <c r="K40"/>
  <c r="Q40" s="1"/>
  <c r="V40" s="1"/>
  <c r="I41"/>
  <c r="P41" s="1"/>
  <c r="U41" s="1"/>
  <c r="G42"/>
  <c r="O42" s="1"/>
  <c r="T42" s="1"/>
  <c r="E43"/>
  <c r="N43" s="1"/>
  <c r="S43" s="1"/>
  <c r="C44"/>
  <c r="M44" s="1"/>
  <c r="R44" s="1"/>
  <c r="K44"/>
  <c r="Q44" s="1"/>
  <c r="V44" s="1"/>
  <c r="I46"/>
  <c r="P46" s="1"/>
  <c r="U46" s="1"/>
  <c r="G47"/>
  <c r="O47" s="1"/>
  <c r="T47" s="1"/>
  <c r="E49"/>
  <c r="N49" s="1"/>
  <c r="S49" s="1"/>
  <c r="C50"/>
  <c r="M50" s="1"/>
  <c r="R50" s="1"/>
  <c r="K50"/>
  <c r="Q50"/>
  <c r="V50" s="1"/>
  <c r="O52"/>
  <c r="T52" s="1"/>
  <c r="N33" i="2"/>
  <c r="N35"/>
  <c r="I32" i="10"/>
  <c r="P32" s="1"/>
  <c r="U32" s="1"/>
  <c r="G33"/>
  <c r="O33" s="1"/>
  <c r="T33" s="1"/>
  <c r="E34"/>
  <c r="N34" s="1"/>
  <c r="S34" s="1"/>
  <c r="C35"/>
  <c r="M35" s="1"/>
  <c r="R35" s="1"/>
  <c r="K35"/>
  <c r="Q35" s="1"/>
  <c r="V35" s="1"/>
  <c r="I36"/>
  <c r="P36" s="1"/>
  <c r="U36" s="1"/>
  <c r="G37"/>
  <c r="O37" s="1"/>
  <c r="T37" s="1"/>
  <c r="E38"/>
  <c r="N38" s="1"/>
  <c r="S38" s="1"/>
  <c r="C39"/>
  <c r="M39" s="1"/>
  <c r="R39" s="1"/>
  <c r="K39"/>
  <c r="Q39" s="1"/>
  <c r="V39" s="1"/>
  <c r="I40"/>
  <c r="P40" s="1"/>
  <c r="U40" s="1"/>
  <c r="G41"/>
  <c r="O41" s="1"/>
  <c r="T41" s="1"/>
  <c r="E42"/>
  <c r="N42" s="1"/>
  <c r="S42" s="1"/>
  <c r="C43"/>
  <c r="M43" s="1"/>
  <c r="R43" s="1"/>
  <c r="K43"/>
  <c r="Q43" s="1"/>
  <c r="V43" s="1"/>
  <c r="I44"/>
  <c r="P44" s="1"/>
  <c r="U44" s="1"/>
  <c r="G46"/>
  <c r="O46" s="1"/>
  <c r="T46" s="1"/>
  <c r="E47"/>
  <c r="N47" s="1"/>
  <c r="S47" s="1"/>
  <c r="C49"/>
  <c r="M49" s="1"/>
  <c r="R49" s="1"/>
  <c r="K49"/>
  <c r="Q49" s="1"/>
  <c r="V49" s="1"/>
  <c r="I50"/>
  <c r="P50" s="1"/>
  <c r="U50" s="1"/>
  <c r="N52"/>
  <c r="S52" s="1"/>
  <c r="G32"/>
  <c r="O32" s="1"/>
  <c r="T32" s="1"/>
  <c r="E33"/>
  <c r="N33" s="1"/>
  <c r="S33" s="1"/>
  <c r="C34"/>
  <c r="M34" s="1"/>
  <c r="R34" s="1"/>
  <c r="K34"/>
  <c r="Q34" s="1"/>
  <c r="V34" s="1"/>
  <c r="I35"/>
  <c r="P35" s="1"/>
  <c r="U35" s="1"/>
  <c r="G36"/>
  <c r="O36" s="1"/>
  <c r="T36" s="1"/>
  <c r="E37"/>
  <c r="N37" s="1"/>
  <c r="S37" s="1"/>
  <c r="C38"/>
  <c r="M38" s="1"/>
  <c r="R38" s="1"/>
  <c r="K38"/>
  <c r="Q38" s="1"/>
  <c r="V38" s="1"/>
  <c r="I39"/>
  <c r="P39" s="1"/>
  <c r="U39" s="1"/>
  <c r="G40"/>
  <c r="O40" s="1"/>
  <c r="T40" s="1"/>
  <c r="E41"/>
  <c r="N41" s="1"/>
  <c r="S41" s="1"/>
  <c r="C42"/>
  <c r="M42" s="1"/>
  <c r="R42" s="1"/>
  <c r="K42"/>
  <c r="Q42" s="1"/>
  <c r="V42" s="1"/>
  <c r="I43"/>
  <c r="P43" s="1"/>
  <c r="U43" s="1"/>
  <c r="G44"/>
  <c r="O44" s="1"/>
  <c r="T44" s="1"/>
  <c r="E46"/>
  <c r="N46" s="1"/>
  <c r="S46" s="1"/>
  <c r="C47"/>
  <c r="M47" s="1"/>
  <c r="R47" s="1"/>
  <c r="K47"/>
  <c r="Q47" s="1"/>
  <c r="V47" s="1"/>
  <c r="I49"/>
  <c r="P49" s="1"/>
  <c r="U49" s="1"/>
  <c r="G50"/>
  <c r="O50" s="1"/>
  <c r="T50" s="1"/>
  <c r="E51"/>
  <c r="N51" s="1"/>
  <c r="S51" s="1"/>
  <c r="Q52"/>
  <c r="V52" s="1"/>
  <c r="Q2"/>
  <c r="V2" s="1"/>
  <c r="Q3"/>
  <c r="V3" s="1"/>
  <c r="M20"/>
  <c r="R20" s="1"/>
  <c r="M12"/>
  <c r="R12" s="1"/>
  <c r="M4"/>
  <c r="R4" s="1"/>
  <c r="N18"/>
  <c r="S18" s="1"/>
  <c r="N10"/>
  <c r="S10" s="1"/>
  <c r="N2"/>
  <c r="S2" s="1"/>
  <c r="O16"/>
  <c r="T16" s="1"/>
  <c r="O8"/>
  <c r="T8" s="1"/>
  <c r="P22"/>
  <c r="U22" s="1"/>
  <c r="P14"/>
  <c r="U14" s="1"/>
  <c r="P6"/>
  <c r="U6" s="1"/>
  <c r="Q20"/>
  <c r="V20" s="1"/>
  <c r="Q12"/>
  <c r="V12" s="1"/>
  <c r="Q4"/>
  <c r="V4" s="1"/>
  <c r="M21"/>
  <c r="R21" s="1"/>
  <c r="M13"/>
  <c r="R13" s="1"/>
  <c r="M5"/>
  <c r="R5" s="1"/>
  <c r="N19"/>
  <c r="S19" s="1"/>
  <c r="O17"/>
  <c r="T17" s="1"/>
  <c r="O9"/>
  <c r="T9" s="1"/>
  <c r="P23"/>
  <c r="U23" s="1"/>
  <c r="P15"/>
  <c r="U15" s="1"/>
  <c r="P7"/>
  <c r="U7" s="1"/>
  <c r="Q21"/>
  <c r="V21" s="1"/>
  <c r="Q13"/>
  <c r="V13" s="1"/>
  <c r="Q5"/>
  <c r="V5" s="1"/>
  <c r="M22"/>
  <c r="R22" s="1"/>
  <c r="M14"/>
  <c r="R14" s="1"/>
  <c r="M6"/>
  <c r="R6" s="1"/>
  <c r="N4"/>
  <c r="S4" s="1"/>
  <c r="O18"/>
  <c r="T18" s="1"/>
  <c r="O10"/>
  <c r="T10" s="1"/>
  <c r="O2"/>
  <c r="T2" s="1"/>
  <c r="P16"/>
  <c r="U16" s="1"/>
  <c r="P8"/>
  <c r="U8" s="1"/>
  <c r="Q22"/>
  <c r="V22" s="1"/>
  <c r="Q14"/>
  <c r="V14" s="1"/>
  <c r="Q6"/>
  <c r="V6" s="1"/>
  <c r="N11"/>
  <c r="S11" s="1"/>
  <c r="N12"/>
  <c r="S12" s="1"/>
  <c r="M23"/>
  <c r="R23" s="1"/>
  <c r="M15"/>
  <c r="R15" s="1"/>
  <c r="M7"/>
  <c r="R7" s="1"/>
  <c r="N21"/>
  <c r="S21" s="1"/>
  <c r="N13"/>
  <c r="S13" s="1"/>
  <c r="N5"/>
  <c r="S5" s="1"/>
  <c r="O19"/>
  <c r="T19" s="1"/>
  <c r="O11"/>
  <c r="T11" s="1"/>
  <c r="O3"/>
  <c r="T3" s="1"/>
  <c r="P17"/>
  <c r="U17" s="1"/>
  <c r="P9"/>
  <c r="U9" s="1"/>
  <c r="Q23"/>
  <c r="V23" s="1"/>
  <c r="Q15"/>
  <c r="V15" s="1"/>
  <c r="Q7"/>
  <c r="V7" s="1"/>
  <c r="N3"/>
  <c r="S3" s="1"/>
  <c r="N20"/>
  <c r="S20" s="1"/>
  <c r="M16"/>
  <c r="R16" s="1"/>
  <c r="M8"/>
  <c r="R8" s="1"/>
  <c r="N22"/>
  <c r="S22" s="1"/>
  <c r="N14"/>
  <c r="S14" s="1"/>
  <c r="N6"/>
  <c r="S6" s="1"/>
  <c r="O20"/>
  <c r="T20" s="1"/>
  <c r="O12"/>
  <c r="T12" s="1"/>
  <c r="O4"/>
  <c r="T4" s="1"/>
  <c r="P18"/>
  <c r="U18" s="1"/>
  <c r="P10"/>
  <c r="U10" s="1"/>
  <c r="P2"/>
  <c r="U2" s="1"/>
  <c r="Q16"/>
  <c r="V16" s="1"/>
  <c r="Q8"/>
  <c r="V8" s="1"/>
  <c r="N23"/>
  <c r="S23" s="1"/>
  <c r="N7"/>
  <c r="S7" s="1"/>
  <c r="O21"/>
  <c r="T21" s="1"/>
  <c r="O5"/>
  <c r="T5" s="1"/>
  <c r="P19"/>
  <c r="U19" s="1"/>
  <c r="P11"/>
  <c r="U11" s="1"/>
  <c r="P3"/>
  <c r="U3" s="1"/>
  <c r="Q17"/>
  <c r="V17" s="1"/>
  <c r="M17"/>
  <c r="R17" s="1"/>
  <c r="M9"/>
  <c r="R9" s="1"/>
  <c r="N15"/>
  <c r="S15" s="1"/>
  <c r="O13"/>
  <c r="T13" s="1"/>
  <c r="Q9"/>
  <c r="V9" s="1"/>
  <c r="M18"/>
  <c r="R18" s="1"/>
  <c r="M10"/>
  <c r="R10" s="1"/>
  <c r="M2"/>
  <c r="R2" s="1"/>
  <c r="N16"/>
  <c r="S16" s="1"/>
  <c r="N8"/>
  <c r="S8" s="1"/>
  <c r="O22"/>
  <c r="T22" s="1"/>
  <c r="O14"/>
  <c r="T14" s="1"/>
  <c r="O6"/>
  <c r="T6" s="1"/>
  <c r="P20"/>
  <c r="U20" s="1"/>
  <c r="P12"/>
  <c r="U12" s="1"/>
  <c r="P4"/>
  <c r="U4" s="1"/>
  <c r="Q18"/>
  <c r="V18" s="1"/>
  <c r="Q10"/>
  <c r="V10" s="1"/>
  <c r="M19"/>
  <c r="R19" s="1"/>
  <c r="M11"/>
  <c r="R11" s="1"/>
  <c r="M3"/>
  <c r="R3" s="1"/>
  <c r="N17"/>
  <c r="S17" s="1"/>
  <c r="N9"/>
  <c r="S9" s="1"/>
  <c r="O23"/>
  <c r="T23" s="1"/>
  <c r="O15"/>
  <c r="T15" s="1"/>
  <c r="O7"/>
  <c r="T7" s="1"/>
  <c r="P21"/>
  <c r="U21" s="1"/>
  <c r="P13"/>
  <c r="U13" s="1"/>
  <c r="P5"/>
  <c r="U5" s="1"/>
  <c r="Q19"/>
  <c r="V19" s="1"/>
  <c r="Q11"/>
  <c r="V11" s="1"/>
  <c r="T22" i="2"/>
  <c r="U22" s="1"/>
</calcChain>
</file>

<file path=xl/sharedStrings.xml><?xml version="1.0" encoding="utf-8"?>
<sst xmlns="http://schemas.openxmlformats.org/spreadsheetml/2006/main" count="944" uniqueCount="86">
  <si>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</si>
  <si>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</si>
  <si>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</si>
  <si>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</si>
  <si>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</si>
  <si>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</si>
  <si>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</si>
  <si>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</si>
  <si>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</si>
  <si>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</si>
  <si>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</si>
  <si>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</si>
  <si>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</si>
  <si>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</si>
  <si>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</si>
  <si>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</si>
  <si>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</si>
  <si>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</si>
  <si>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</si>
  <si>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</si>
  <si>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</si>
  <si>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</si>
  <si>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</si>
  <si>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Rescale A_2</t>
  </si>
  <si>
    <t>Rescale B_2</t>
  </si>
  <si>
    <t>Rescale A_10</t>
  </si>
  <si>
    <t>Rescale B_10</t>
  </si>
  <si>
    <t>Angle 2 :</t>
  </si>
  <si>
    <t>Angle 10 :</t>
  </si>
  <si>
    <t>TR</t>
  </si>
  <si>
    <t>A=</t>
  </si>
  <si>
    <t>B=</t>
  </si>
  <si>
    <t>Angle</t>
  </si>
  <si>
    <t>sin</t>
  </si>
  <si>
    <t>cos</t>
  </si>
  <si>
    <t>t = tan /2</t>
  </si>
  <si>
    <t>10 - pre</t>
  </si>
  <si>
    <t>2 - Pre</t>
  </si>
  <si>
    <t>Column1</t>
  </si>
  <si>
    <t>Column2</t>
  </si>
  <si>
    <t>2 - Post 5min</t>
  </si>
  <si>
    <t>10 - Post 5min</t>
  </si>
  <si>
    <t>2 - Post 10min</t>
  </si>
  <si>
    <t>10 - Post 10min</t>
  </si>
  <si>
    <t>2 - Post 15min</t>
  </si>
  <si>
    <t>10 - Post 15min</t>
  </si>
  <si>
    <t>2 - Post 20min</t>
  </si>
  <si>
    <t>10 - Post 20min</t>
  </si>
  <si>
    <t>Column3</t>
  </si>
  <si>
    <t>G Pre</t>
  </si>
  <si>
    <t>G 5min</t>
  </si>
  <si>
    <t>G 10min</t>
  </si>
  <si>
    <t>G 15min</t>
  </si>
  <si>
    <t>G 20min</t>
  </si>
  <si>
    <t>T1 pre</t>
  </si>
  <si>
    <t>T1 5min</t>
  </si>
  <si>
    <t>T1 10min</t>
  </si>
  <si>
    <t>T1 15min</t>
  </si>
  <si>
    <t>T1 20min</t>
  </si>
  <si>
    <t>Time</t>
  </si>
  <si>
    <t>Slope</t>
  </si>
  <si>
    <t>Pre</t>
  </si>
  <si>
    <t>5 min</t>
  </si>
  <si>
    <t>10 min</t>
  </si>
  <si>
    <t>20 min</t>
  </si>
  <si>
    <t>15 min</t>
  </si>
  <si>
    <t>Rescale 2 - 5</t>
  </si>
  <si>
    <t>Rescale 10 - 5</t>
  </si>
  <si>
    <t>Rescale 2 - 10</t>
  </si>
  <si>
    <t>Rescale 10 - 10</t>
  </si>
  <si>
    <t>Rescale 2 - 15</t>
  </si>
  <si>
    <t>Rescale 10 - 15</t>
  </si>
  <si>
    <t>Rescale 2 - 20</t>
  </si>
  <si>
    <t>Rescale 10 - 20</t>
  </si>
  <si>
    <t>Ratio Pre</t>
  </si>
  <si>
    <t>Ratio Pos</t>
  </si>
  <si>
    <t>Factor Pre</t>
  </si>
  <si>
    <t>Factor Pos 5</t>
  </si>
  <si>
    <t>S10 5 min</t>
  </si>
  <si>
    <t>S10 pre</t>
  </si>
  <si>
    <t>Factor 10</t>
  </si>
  <si>
    <t>S 10</t>
  </si>
  <si>
    <t xml:space="preserve">Factor 15 </t>
  </si>
  <si>
    <t>S 15</t>
  </si>
  <si>
    <t>Factor 20</t>
  </si>
  <si>
    <t>S 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</si>
</sst>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48.591999999999999</c:v>
                </c:pt>
                <c:pt idx="1">
                  <c:v>109.97</c:v>
                </c:pt>
                <c:pt idx="2">
                  <c:v>97.42</c:v>
                </c:pt>
                <c:pt idx="3">
                  <c:v>94.11</c:v>
                </c:pt>
                <c:pt idx="4">
                  <c:v>76.599999999999994</c:v>
                </c:pt>
                <c:pt idx="5">
                  <c:v>114.82</c:v>
                </c:pt>
                <c:pt idx="6">
                  <c:v>101.2</c:v>
                </c:pt>
                <c:pt idx="7">
                  <c:v>101.28</c:v>
                </c:pt>
                <c:pt idx="8">
                  <c:v>149.77000000000001</c:v>
                </c:pt>
                <c:pt idx="9">
                  <c:v>120.02</c:v>
                </c:pt>
                <c:pt idx="10">
                  <c:v>119.63</c:v>
                </c:pt>
                <c:pt idx="11">
                  <c:v>107.24</c:v>
                </c:pt>
                <c:pt idx="12">
                  <c:v>107.78</c:v>
                </c:pt>
                <c:pt idx="13">
                  <c:v>97.77</c:v>
                </c:pt>
                <c:pt idx="15">
                  <c:v>84.4</c:v>
                </c:pt>
                <c:pt idx="16">
                  <c:v>74.959999999999994</c:v>
                </c:pt>
                <c:pt idx="17">
                  <c:v>153.54</c:v>
                </c:pt>
                <c:pt idx="18">
                  <c:v>118.34</c:v>
                </c:pt>
                <c:pt idx="19">
                  <c:v>80.760000000000005</c:v>
                </c:pt>
                <c:pt idx="20">
                  <c:v>108.86</c:v>
                </c:pt>
                <c:pt idx="21">
                  <c:v>84.24</c:v>
                </c:pt>
              </c:numCache>
            </c:numRef>
          </c:xVal>
          <c:yVal>
            <c:numRef>
              <c:f>Original!$G$2:$G$23</c:f>
              <c:numCache>
                <c:formatCode>General</c:formatCode>
                <c:ptCount val="22"/>
                <c:pt idx="0">
                  <c:v>192.202</c:v>
                </c:pt>
                <c:pt idx="1">
                  <c:v>248.54</c:v>
                </c:pt>
                <c:pt idx="2">
                  <c:v>220.05</c:v>
                </c:pt>
                <c:pt idx="3">
                  <c:v>230.78</c:v>
                </c:pt>
                <c:pt idx="4">
                  <c:v>156.74</c:v>
                </c:pt>
                <c:pt idx="5">
                  <c:v>302.2</c:v>
                </c:pt>
                <c:pt idx="6">
                  <c:v>196</c:v>
                </c:pt>
                <c:pt idx="7">
                  <c:v>238.71</c:v>
                </c:pt>
                <c:pt idx="8">
                  <c:v>310.39999999999998</c:v>
                </c:pt>
                <c:pt idx="9">
                  <c:v>258.02999999999997</c:v>
                </c:pt>
                <c:pt idx="10">
                  <c:v>223.06</c:v>
                </c:pt>
                <c:pt idx="11">
                  <c:v>204.53</c:v>
                </c:pt>
                <c:pt idx="12">
                  <c:v>242.68</c:v>
                </c:pt>
                <c:pt idx="13">
                  <c:v>259.01</c:v>
                </c:pt>
                <c:pt idx="15">
                  <c:v>170.57</c:v>
                </c:pt>
                <c:pt idx="16">
                  <c:v>143.88</c:v>
                </c:pt>
                <c:pt idx="17">
                  <c:v>515.65</c:v>
                </c:pt>
                <c:pt idx="18">
                  <c:v>259.62</c:v>
                </c:pt>
                <c:pt idx="19">
                  <c:v>193.13</c:v>
                </c:pt>
                <c:pt idx="20">
                  <c:v>281.18</c:v>
                </c:pt>
                <c:pt idx="21">
                  <c:v>179.39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Original!$AC$2:$AC$23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Original!$AB$2:$AB$18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Original!$AD$2:$AD$18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112521984"/>
        <c:axId val="112523520"/>
      </c:scatterChart>
      <c:valAx>
        <c:axId val="112521984"/>
        <c:scaling>
          <c:orientation val="minMax"/>
        </c:scaling>
        <c:axPos val="b"/>
        <c:numFmt formatCode="General" sourceLinked="1"/>
        <c:tickLblPos val="nextTo"/>
        <c:crossAx val="112523520"/>
        <c:crosses val="autoZero"/>
        <c:crossBetween val="midCat"/>
      </c:valAx>
      <c:valAx>
        <c:axId val="112523520"/>
        <c:scaling>
          <c:orientation val="minMax"/>
        </c:scaling>
        <c:axPos val="l"/>
        <c:majorGridlines/>
        <c:numFmt formatCode="General" sourceLinked="1"/>
        <c:tickLblPos val="nextTo"/>
        <c:crossAx val="112521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16239360"/>
        <c:axId val="116245632"/>
      </c:scatterChart>
      <c:valAx>
        <c:axId val="116239360"/>
        <c:scaling>
          <c:orientation val="minMax"/>
        </c:scaling>
        <c:axPos val="b"/>
        <c:numFmt formatCode="0.00" sourceLinked="1"/>
        <c:tickLblPos val="nextTo"/>
        <c:crossAx val="116245632"/>
        <c:crosses val="autoZero"/>
        <c:crossBetween val="midCat"/>
      </c:valAx>
      <c:valAx>
        <c:axId val="116245632"/>
        <c:scaling>
          <c:orientation val="minMax"/>
        </c:scaling>
        <c:axPos val="l"/>
        <c:majorGridlines/>
        <c:numFmt formatCode="0.00" sourceLinked="1"/>
        <c:tickLblPos val="nextTo"/>
        <c:crossAx val="11623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axId val="116286592"/>
        <c:axId val="116288128"/>
      </c:scatterChart>
      <c:valAx>
        <c:axId val="116286592"/>
        <c:scaling>
          <c:orientation val="minMax"/>
        </c:scaling>
        <c:axPos val="b"/>
        <c:numFmt formatCode="0.00" sourceLinked="1"/>
        <c:tickLblPos val="nextTo"/>
        <c:crossAx val="116288128"/>
        <c:crosses val="autoZero"/>
        <c:crossBetween val="midCat"/>
      </c:valAx>
      <c:valAx>
        <c:axId val="116288128"/>
        <c:scaling>
          <c:orientation val="minMax"/>
        </c:scaling>
        <c:axPos val="l"/>
        <c:majorGridlines/>
        <c:numFmt formatCode="0.00" sourceLinked="1"/>
        <c:tickLblPos val="nextTo"/>
        <c:crossAx val="11628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axId val="116331648"/>
        <c:axId val="116333184"/>
      </c:scatterChart>
      <c:valAx>
        <c:axId val="116331648"/>
        <c:scaling>
          <c:orientation val="minMax"/>
        </c:scaling>
        <c:axPos val="b"/>
        <c:numFmt formatCode="0.00" sourceLinked="1"/>
        <c:tickLblPos val="nextTo"/>
        <c:crossAx val="116333184"/>
        <c:crosses val="autoZero"/>
        <c:crossBetween val="midCat"/>
      </c:valAx>
      <c:valAx>
        <c:axId val="116333184"/>
        <c:scaling>
          <c:orientation val="minMax"/>
        </c:scaling>
        <c:axPos val="l"/>
        <c:majorGridlines/>
        <c:numFmt formatCode="0.00" sourceLinked="1"/>
        <c:tickLblPos val="nextTo"/>
        <c:crossAx val="11633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axId val="116396800"/>
        <c:axId val="116398720"/>
      </c:scatterChart>
      <c:valAx>
        <c:axId val="116396800"/>
        <c:scaling>
          <c:orientation val="minMax"/>
        </c:scaling>
        <c:axPos val="b"/>
        <c:numFmt formatCode="0.00" sourceLinked="1"/>
        <c:tickLblPos val="nextTo"/>
        <c:crossAx val="116398720"/>
        <c:crosses val="autoZero"/>
        <c:crossBetween val="midCat"/>
      </c:valAx>
      <c:valAx>
        <c:axId val="116398720"/>
        <c:scaling>
          <c:orientation val="minMax"/>
        </c:scaling>
        <c:axPos val="l"/>
        <c:majorGridlines/>
        <c:numFmt formatCode="0.00" sourceLinked="1"/>
        <c:tickLblPos val="nextTo"/>
        <c:crossAx val="11639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16438144"/>
        <c:axId val="116440064"/>
      </c:scatterChart>
      <c:valAx>
        <c:axId val="116438144"/>
        <c:scaling>
          <c:orientation val="minMax"/>
        </c:scaling>
        <c:axPos val="b"/>
        <c:numFmt formatCode="0.00" sourceLinked="1"/>
        <c:tickLblPos val="nextTo"/>
        <c:crossAx val="116440064"/>
        <c:crosses val="autoZero"/>
        <c:crossBetween val="midCat"/>
      </c:valAx>
      <c:valAx>
        <c:axId val="116440064"/>
        <c:scaling>
          <c:orientation val="minMax"/>
        </c:scaling>
        <c:axPos val="l"/>
        <c:majorGridlines/>
        <c:numFmt formatCode="0.00" sourceLinked="1"/>
        <c:tickLblPos val="nextTo"/>
        <c:crossAx val="11643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48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(3)'!$Y$1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(3)'!$Z$1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(3)'!$AA$1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(3)'!$AB$1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(3)'!$AC$1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(3)'!$AD$1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(3)'!$AE$1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(3)'!$AF$1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(3)'!$AG$1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(3)'!$AH$1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(3)'!$AI$1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(3)'!$AJ$1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(3)'!$AK$1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(3)'!$AL$1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(3)'!$AM$1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(3)'!$AN$1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(3)'!$AO$1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(3)'!$AP$1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(3)'!$AQ$1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(3)'!$AR$1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(3)'!$AS$1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(3)'!$AT$1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17123328"/>
        <c:axId val="117145600"/>
      </c:scatterChart>
      <c:valAx>
        <c:axId val="117123328"/>
        <c:scaling>
          <c:orientation val="minMax"/>
        </c:scaling>
        <c:axPos val="b"/>
        <c:tickLblPos val="nextTo"/>
        <c:crossAx val="117145600"/>
        <c:crosses val="autoZero"/>
        <c:crossBetween val="midCat"/>
      </c:valAx>
      <c:valAx>
        <c:axId val="117145600"/>
        <c:scaling>
          <c:orientation val="minMax"/>
        </c:scaling>
        <c:axPos val="l"/>
        <c:majorGridlines/>
        <c:numFmt formatCode="General" sourceLinked="1"/>
        <c:tickLblPos val="nextTo"/>
        <c:crossAx val="11712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(2)'!$M$27:$M$47</c:f>
              <c:strCache>
                <c:ptCount val="14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  <c:pt idx="12">
                  <c:v>A=</c:v>
                </c:pt>
                <c:pt idx="13">
                  <c:v>B=</c:v>
                </c:pt>
              </c:strCache>
            </c:strRef>
          </c:xVal>
          <c:yVal>
            <c:numRef>
              <c:f>'Rescaled (2)'!$N$27:$N$47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3.8627151977666543</c:v>
                </c:pt>
                <c:pt idx="6">
                  <c:v>4.5081674377178027</c:v>
                </c:pt>
                <c:pt idx="7">
                  <c:v>5.4488789460936848</c:v>
                </c:pt>
                <c:pt idx="8">
                  <c:v>5.8516040448680986</c:v>
                </c:pt>
                <c:pt idx="9">
                  <c:v>5.3506355194119886</c:v>
                </c:pt>
                <c:pt idx="12">
                  <c:v>4.74</c:v>
                </c:pt>
                <c:pt idx="13">
                  <c:v>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(2)'!$W$27:$W$47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(2)'!$S$28:$S$47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(2)'!$X$28:$X$47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(2)'!$Y$28:$Y$47</c:f>
              <c:numCache>
                <c:formatCode>General</c:formatCode>
                <c:ptCount val="20"/>
              </c:numCache>
            </c:numRef>
          </c:yVal>
        </c:ser>
        <c:axId val="117356800"/>
        <c:axId val="117362688"/>
      </c:scatterChart>
      <c:valAx>
        <c:axId val="117356800"/>
        <c:scaling>
          <c:orientation val="minMax"/>
        </c:scaling>
        <c:axPos val="b"/>
        <c:numFmt formatCode="General" sourceLinked="1"/>
        <c:tickLblPos val="nextTo"/>
        <c:crossAx val="117362688"/>
        <c:crosses val="autoZero"/>
        <c:crossBetween val="midCat"/>
      </c:valAx>
      <c:valAx>
        <c:axId val="117362688"/>
        <c:scaling>
          <c:orientation val="minMax"/>
        </c:scaling>
        <c:axPos val="l"/>
        <c:majorGridlines/>
        <c:numFmt formatCode="General" sourceLinked="1"/>
        <c:tickLblPos val="nextTo"/>
        <c:crossAx val="11735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5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6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7611136"/>
        <c:axId val="117617408"/>
      </c:scatterChart>
      <c:valAx>
        <c:axId val="117611136"/>
        <c:scaling>
          <c:orientation val="minMax"/>
        </c:scaling>
        <c:axPos val="b"/>
        <c:numFmt formatCode="0.00" sourceLinked="1"/>
        <c:tickLblPos val="nextTo"/>
        <c:crossAx val="117617408"/>
        <c:crosses val="autoZero"/>
        <c:crossBetween val="midCat"/>
      </c:valAx>
      <c:valAx>
        <c:axId val="117617408"/>
        <c:scaling>
          <c:orientation val="minMax"/>
        </c:scaling>
        <c:axPos val="l"/>
        <c:majorGridlines/>
        <c:numFmt formatCode="0.00" sourceLinked="1"/>
        <c:tickLblPos val="nextTo"/>
        <c:crossAx val="11761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axId val="115752960"/>
        <c:axId val="115754496"/>
      </c:scatterChart>
      <c:valAx>
        <c:axId val="115752960"/>
        <c:scaling>
          <c:orientation val="minMax"/>
        </c:scaling>
        <c:axPos val="b"/>
        <c:numFmt formatCode="0.00" sourceLinked="1"/>
        <c:tickLblPos val="nextTo"/>
        <c:crossAx val="115754496"/>
        <c:crosses val="autoZero"/>
        <c:crossBetween val="midCat"/>
      </c:valAx>
      <c:valAx>
        <c:axId val="115754496"/>
        <c:scaling>
          <c:orientation val="minMax"/>
        </c:scaling>
        <c:axPos val="l"/>
        <c:majorGridlines/>
        <c:numFmt formatCode="0.00" sourceLinked="1"/>
        <c:tickLblPos val="nextTo"/>
        <c:crossAx val="11575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3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axId val="115788800"/>
        <c:axId val="117641984"/>
      </c:scatterChart>
      <c:valAx>
        <c:axId val="115788800"/>
        <c:scaling>
          <c:orientation val="minMax"/>
        </c:scaling>
        <c:axPos val="b"/>
        <c:numFmt formatCode="0.00" sourceLinked="1"/>
        <c:tickLblPos val="nextTo"/>
        <c:crossAx val="117641984"/>
        <c:crosses val="autoZero"/>
        <c:crossBetween val="midCat"/>
      </c:valAx>
      <c:valAx>
        <c:axId val="117641984"/>
        <c:scaling>
          <c:orientation val="minMax"/>
        </c:scaling>
        <c:axPos val="l"/>
        <c:majorGridlines/>
        <c:numFmt formatCode="0.00" sourceLinked="1"/>
        <c:tickLblPos val="nextTo"/>
        <c:crossAx val="11578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Rescaled!$M$27:$M$47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Rescaled!$N$27:$N$47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7.4236375471311087</c:v>
                </c:pt>
                <c:pt idx="6">
                  <c:v>5.408838173608312</c:v>
                </c:pt>
                <c:pt idx="7">
                  <c:v>7.8498401523425319</c:v>
                </c:pt>
                <c:pt idx="8">
                  <c:v>8.3054900198661699</c:v>
                </c:pt>
                <c:pt idx="9">
                  <c:v>11.130267112418675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</c:numCache>
            </c:numRef>
          </c:yVal>
        </c:ser>
        <c:axId val="114747264"/>
        <c:axId val="114748800"/>
      </c:scatterChart>
      <c:valAx>
        <c:axId val="114747264"/>
        <c:scaling>
          <c:orientation val="minMax"/>
        </c:scaling>
        <c:axPos val="b"/>
        <c:numFmt formatCode="General" sourceLinked="1"/>
        <c:tickLblPos val="nextTo"/>
        <c:crossAx val="114748800"/>
        <c:crosses val="autoZero"/>
        <c:crossBetween val="midCat"/>
      </c:valAx>
      <c:valAx>
        <c:axId val="114748800"/>
        <c:scaling>
          <c:orientation val="minMax"/>
        </c:scaling>
        <c:axPos val="l"/>
        <c:majorGridlines/>
        <c:numFmt formatCode="General" sourceLinked="1"/>
        <c:tickLblPos val="nextTo"/>
        <c:crossAx val="114747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3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axId val="117692288"/>
        <c:axId val="117694464"/>
      </c:scatterChart>
      <c:valAx>
        <c:axId val="117692288"/>
        <c:scaling>
          <c:orientation val="minMax"/>
        </c:scaling>
        <c:axPos val="b"/>
        <c:numFmt formatCode="0.00" sourceLinked="1"/>
        <c:tickLblPos val="nextTo"/>
        <c:crossAx val="117694464"/>
        <c:crosses val="autoZero"/>
        <c:crossBetween val="midCat"/>
      </c:valAx>
      <c:valAx>
        <c:axId val="117694464"/>
        <c:scaling>
          <c:orientation val="minMax"/>
        </c:scaling>
        <c:axPos val="l"/>
        <c:majorGridlines/>
        <c:numFmt formatCode="0.00" sourceLinked="1"/>
        <c:tickLblPos val="nextTo"/>
        <c:crossAx val="11769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3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7716096"/>
        <c:axId val="117718016"/>
      </c:scatterChart>
      <c:valAx>
        <c:axId val="117716096"/>
        <c:scaling>
          <c:orientation val="minMax"/>
        </c:scaling>
        <c:axPos val="b"/>
        <c:numFmt formatCode="0.00" sourceLinked="1"/>
        <c:tickLblPos val="nextTo"/>
        <c:crossAx val="117718016"/>
        <c:crosses val="autoZero"/>
        <c:crossBetween val="midCat"/>
      </c:valAx>
      <c:valAx>
        <c:axId val="117718016"/>
        <c:scaling>
          <c:orientation val="minMax"/>
        </c:scaling>
        <c:axPos val="l"/>
        <c:majorGridlines/>
        <c:numFmt formatCode="0.00" sourceLinked="1"/>
        <c:tickLblPos val="nextTo"/>
        <c:crossAx val="11771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48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(2)'!$Y$1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(2)'!$Y$2:$Y$6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'T1 (2)'!$Z$1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 (2)'!$AA$1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 (2)'!$AB$1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 (2)'!$AC$1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 (2)'!$AD$1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7"/>
          <c:order val="6"/>
          <c:tx>
            <c:strRef>
              <c:f>'T1 (2)'!$AF$1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7"/>
          <c:tx>
            <c:strRef>
              <c:f>'T1 (2)'!$AG$1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(2)'!$AG$2:$AG$6</c:f>
              <c:numCache>
                <c:formatCode>General</c:formatCode>
                <c:ptCount val="5"/>
                <c:pt idx="0">
                  <c:v>2.6036530622777003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8"/>
          <c:tx>
            <c:strRef>
              <c:f>'T1 (2)'!$AH$1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9"/>
          <c:tx>
            <c:strRef>
              <c:f>'T1 (2)'!$AI$1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0"/>
          <c:tx>
            <c:strRef>
              <c:f>'T1 (2)'!$AJ$1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1"/>
          <c:tx>
            <c:strRef>
              <c:f>'T1 (2)'!$AK$1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2"/>
          <c:tx>
            <c:strRef>
              <c:f>'T1 (2)'!$AL$1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3"/>
          <c:tx>
            <c:strRef>
              <c:f>'T1 (2)'!$AM$1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(2)'!$AM$2:$AM$6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5"/>
          <c:order val="14"/>
          <c:tx>
            <c:strRef>
              <c:f>'T1 (2)'!$AN$1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5"/>
          <c:tx>
            <c:strRef>
              <c:f>'T1 (2)'!$AO$1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'T1 (2)'!$AP$1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(2)'!$AP$2:$AP$6</c:f>
              <c:numCache>
                <c:formatCode>General</c:formatCode>
                <c:ptCount val="5"/>
              </c:numCache>
            </c:numRef>
          </c:yVal>
        </c:ser>
        <c:ser>
          <c:idx val="18"/>
          <c:order val="17"/>
          <c:tx>
            <c:strRef>
              <c:f>'T1 (2)'!$AQ$1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8"/>
          <c:tx>
            <c:strRef>
              <c:f>'T1 (2)'!$AR$1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19"/>
          <c:tx>
            <c:strRef>
              <c:f>'T1 (2)'!$AS$1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0"/>
          <c:tx>
            <c:strRef>
              <c:f>'T1 (2)'!$AT$1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18343168"/>
        <c:axId val="118344704"/>
      </c:scatterChart>
      <c:valAx>
        <c:axId val="118343168"/>
        <c:scaling>
          <c:orientation val="minMax"/>
        </c:scaling>
        <c:axPos val="b"/>
        <c:tickLblPos val="nextTo"/>
        <c:crossAx val="118344704"/>
        <c:crosses val="autoZero"/>
        <c:crossBetween val="midCat"/>
      </c:valAx>
      <c:valAx>
        <c:axId val="118344704"/>
        <c:scaling>
          <c:orientation val="minMax"/>
        </c:scaling>
        <c:axPos val="l"/>
        <c:majorGridlines/>
        <c:numFmt formatCode="General" sourceLinked="1"/>
        <c:tickLblPos val="nextTo"/>
        <c:crossAx val="11834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48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(4)'!$AJ$1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(4)'!$AJ$2:$AJ$6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(4)'!$AK$1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(4)'!$AK$2:$AK$6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(4)'!$AL$1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(4)'!$AL$2:$AL$6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(4)'!$AM$1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(4)'!$AM$2:$AM$6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(4)'!$AN$1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(4)'!$AN$2:$AN$6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(4)'!$AO$1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(4)'!$AO$2:$AO$6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(4)'!$AP$1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(4)'!$AP$2:$AP$6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(4)'!$AQ$1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(4)'!$AQ$2:$AQ$6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(4)'!$AR$1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(4)'!$AR$2:$AR$6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(4)'!$AS$1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(4)'!$AS$2:$AS$6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(4)'!$AT$1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(4)'!$AT$2:$AT$6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(4)'!$AU$1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(4)'!$AU$2:$AU$6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(4)'!$AV$1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(4)'!$AV$2:$AV$6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(4)'!$AW$1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(4)'!$AW$2:$AW$6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(4)'!$AX$1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(4)'!$AX$2:$AX$6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(4)'!$AY$1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(4)'!$AY$2:$AY$6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(4)'!$AZ$1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(4)'!$AZ$2:$AZ$6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(4)'!$BA$1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(4)'!$BA$2:$BA$6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(4)'!$BB$1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(4)'!$BB$2:$BB$6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(4)'!$BC$1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(4)'!$BC$2:$BC$6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(4)'!$BD$1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(4)'!$BD$2:$BD$6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(4)'!$BE$1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(4)'!$BE$2:$BE$6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41934592"/>
        <c:axId val="141936128"/>
      </c:scatterChart>
      <c:valAx>
        <c:axId val="141934592"/>
        <c:scaling>
          <c:orientation val="minMax"/>
        </c:scaling>
        <c:axPos val="b"/>
        <c:tickLblPos val="nextTo"/>
        <c:crossAx val="141936128"/>
        <c:crosses val="autoZero"/>
        <c:crossBetween val="midCat"/>
      </c:valAx>
      <c:valAx>
        <c:axId val="141936128"/>
        <c:scaling>
          <c:orientation val="minMax"/>
        </c:scaling>
        <c:axPos val="l"/>
        <c:majorGridlines/>
        <c:numFmt formatCode="General" sourceLinked="1"/>
        <c:tickLblPos val="nextTo"/>
        <c:crossAx val="14193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89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(5)'!$AJ$1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(5)'!$AJ$2:$AJ$6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(5)'!$AK$1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(5)'!$AK$2:$AK$6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(5)'!$AL$1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(5)'!$AL$2:$AL$6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(5)'!$AM$1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(5)'!$AM$2:$AM$6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(5)'!$AN$1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(5)'!$AN$2:$AN$6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(5)'!$AO$1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(5)'!$AO$2:$AO$6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(5)'!$AP$1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(5)'!$AP$2:$AP$6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(5)'!$AQ$1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(5)'!$AQ$2:$AQ$6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(5)'!$AR$1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(5)'!$AR$2:$AR$6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(5)'!$AS$1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(5)'!$AS$2:$AS$6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(5)'!$AT$1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(5)'!$AT$2:$AT$6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(5)'!$AU$1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(5)'!$AU$2:$AU$6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(5)'!$AV$1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(5)'!$AV$2:$AV$6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(5)'!$AW$1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(5)'!$AW$2:$AW$6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(5)'!$AX$1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(5)'!$AX$2:$AX$6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(5)'!$AY$1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(5)'!$AY$2:$AY$6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(5)'!$AZ$1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(5)'!$AZ$2:$AZ$6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(5)'!$BA$1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(5)'!$BA$2:$BA$6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(5)'!$BB$1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(5)'!$BB$2:$BB$6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(5)'!$BC$1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(5)'!$BC$2:$BC$6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(5)'!$BD$1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(5)'!$BD$2:$BD$6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(5)'!$BE$1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(5)'!$BE$2:$BE$6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42645120"/>
        <c:axId val="142646656"/>
      </c:scatterChart>
      <c:valAx>
        <c:axId val="142645120"/>
        <c:scaling>
          <c:orientation val="minMax"/>
        </c:scaling>
        <c:axPos val="b"/>
        <c:tickLblPos val="nextTo"/>
        <c:crossAx val="142646656"/>
        <c:crosses val="autoZero"/>
        <c:crossBetween val="midCat"/>
      </c:valAx>
      <c:valAx>
        <c:axId val="142646656"/>
        <c:scaling>
          <c:orientation val="minMax"/>
        </c:scaling>
        <c:axPos val="l"/>
        <c:majorGridlines/>
        <c:numFmt formatCode="General" sourceLinked="1"/>
        <c:tickLblPos val="nextTo"/>
        <c:crossAx val="14264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89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(6)'!$AJ$1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(6)'!$AJ$2:$AJ$6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(6)'!$AK$1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(6)'!$AK$2:$AK$6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(6)'!$AL$1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(6)'!$AL$2:$AL$6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(6)'!$AM$1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(6)'!$AM$2:$AM$6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(6)'!$AN$1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(6)'!$AN$2:$AN$6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(6)'!$AO$1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(6)'!$AO$2:$AO$6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(6)'!$AP$1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(6)'!$AP$2:$AP$6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(6)'!$AQ$1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(6)'!$AQ$2:$AQ$6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(6)'!$AR$1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(6)'!$AR$2:$AR$6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(6)'!$AS$1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(6)'!$AS$2:$AS$6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(6)'!$AT$1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(6)'!$AT$2:$AT$6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(6)'!$AU$1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(6)'!$AU$2:$AU$6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(6)'!$AV$1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(6)'!$AV$2:$AV$6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(6)'!$AW$1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(6)'!$AW$2:$AW$6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(6)'!$AX$1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(6)'!$AX$2:$AX$6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(6)'!$AY$1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(6)'!$AY$2:$AY$6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(6)'!$AZ$1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(6)'!$AZ$2:$AZ$6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(6)'!$BA$1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(6)'!$BA$2:$BA$6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(6)'!$BB$1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(6)'!$BB$2:$BB$6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(6)'!$BC$1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(6)'!$BC$2:$BC$6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(6)'!$BD$1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(6)'!$BD$2:$BD$6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(6)'!$BE$1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(6)'!$AI$2:$AI$6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(6)'!$BE$2:$BE$6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07687936"/>
        <c:axId val="107689472"/>
      </c:scatterChart>
      <c:valAx>
        <c:axId val="107687936"/>
        <c:scaling>
          <c:orientation val="minMax"/>
        </c:scaling>
        <c:axPos val="b"/>
        <c:tickLblPos val="nextTo"/>
        <c:crossAx val="107689472"/>
        <c:crosses val="autoZero"/>
        <c:crossBetween val="midCat"/>
      </c:valAx>
      <c:valAx>
        <c:axId val="107689472"/>
        <c:scaling>
          <c:orientation val="minMax"/>
        </c:scaling>
        <c:axPos val="l"/>
        <c:majorGridlines/>
        <c:numFmt formatCode="General" sourceLinked="1"/>
        <c:tickLblPos val="nextTo"/>
        <c:crossAx val="10768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4818048"/>
        <c:axId val="114828416"/>
      </c:scatterChart>
      <c:valAx>
        <c:axId val="114818048"/>
        <c:scaling>
          <c:orientation val="minMax"/>
        </c:scaling>
        <c:axPos val="b"/>
        <c:numFmt formatCode="0.00" sourceLinked="1"/>
        <c:tickLblPos val="nextTo"/>
        <c:crossAx val="114828416"/>
        <c:crosses val="autoZero"/>
        <c:crossBetween val="midCat"/>
      </c:valAx>
      <c:valAx>
        <c:axId val="114828416"/>
        <c:scaling>
          <c:orientation val="minMax"/>
        </c:scaling>
        <c:axPos val="l"/>
        <c:majorGridlines/>
        <c:numFmt formatCode="0.00" sourceLinked="1"/>
        <c:tickLblPos val="nextTo"/>
        <c:crossAx val="114818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axId val="114869376"/>
        <c:axId val="114870912"/>
      </c:scatterChart>
      <c:valAx>
        <c:axId val="114869376"/>
        <c:scaling>
          <c:orientation val="minMax"/>
        </c:scaling>
        <c:axPos val="b"/>
        <c:numFmt formatCode="0.00" sourceLinked="1"/>
        <c:tickLblPos val="nextTo"/>
        <c:crossAx val="114870912"/>
        <c:crosses val="autoZero"/>
        <c:crossBetween val="midCat"/>
      </c:valAx>
      <c:valAx>
        <c:axId val="114870912"/>
        <c:scaling>
          <c:orientation val="minMax"/>
        </c:scaling>
        <c:axPos val="l"/>
        <c:majorGridlines/>
        <c:numFmt formatCode="0.00" sourceLinked="1"/>
        <c:tickLblPos val="nextTo"/>
        <c:crossAx val="11486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axId val="114984064"/>
        <c:axId val="114985600"/>
      </c:scatterChart>
      <c:valAx>
        <c:axId val="114984064"/>
        <c:scaling>
          <c:orientation val="minMax"/>
        </c:scaling>
        <c:axPos val="b"/>
        <c:numFmt formatCode="0.00" sourceLinked="1"/>
        <c:tickLblPos val="nextTo"/>
        <c:crossAx val="114985600"/>
        <c:crosses val="autoZero"/>
        <c:crossBetween val="midCat"/>
      </c:valAx>
      <c:valAx>
        <c:axId val="114985600"/>
        <c:scaling>
          <c:orientation val="minMax"/>
        </c:scaling>
        <c:axPos val="l"/>
        <c:majorGridlines/>
        <c:numFmt formatCode="0.00" sourceLinked="1"/>
        <c:tickLblPos val="nextTo"/>
        <c:crossAx val="11498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axId val="115098368"/>
        <c:axId val="115100288"/>
      </c:scatterChart>
      <c:valAx>
        <c:axId val="115098368"/>
        <c:scaling>
          <c:orientation val="minMax"/>
        </c:scaling>
        <c:axPos val="b"/>
        <c:numFmt formatCode="0.00" sourceLinked="1"/>
        <c:tickLblPos val="nextTo"/>
        <c:crossAx val="115100288"/>
        <c:crosses val="autoZero"/>
        <c:crossBetween val="midCat"/>
      </c:valAx>
      <c:valAx>
        <c:axId val="115100288"/>
        <c:scaling>
          <c:orientation val="minMax"/>
        </c:scaling>
        <c:axPos val="l"/>
        <c:majorGridlines/>
        <c:numFmt formatCode="0.00" sourceLinked="1"/>
        <c:tickLblPos val="nextTo"/>
        <c:crossAx val="11509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5131520"/>
        <c:axId val="115133440"/>
      </c:scatterChart>
      <c:valAx>
        <c:axId val="115131520"/>
        <c:scaling>
          <c:orientation val="minMax"/>
        </c:scaling>
        <c:axPos val="b"/>
        <c:numFmt formatCode="0.00" sourceLinked="1"/>
        <c:tickLblPos val="nextTo"/>
        <c:crossAx val="115133440"/>
        <c:crosses val="autoZero"/>
        <c:crossBetween val="midCat"/>
      </c:valAx>
      <c:valAx>
        <c:axId val="115133440"/>
        <c:scaling>
          <c:orientation val="minMax"/>
        </c:scaling>
        <c:axPos val="l"/>
        <c:majorGridlines/>
        <c:numFmt formatCode="0.00" sourceLinked="1"/>
        <c:tickLblPos val="nextTo"/>
        <c:crossAx val="11513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92E-2"/>
          <c:y val="4.2141294838145306E-2"/>
          <c:w val="0.7026797900262467"/>
          <c:h val="0.89719889180519141"/>
        </c:manualLayout>
      </c:layout>
      <c:scatterChart>
        <c:scatterStyle val="lineMarker"/>
        <c:ser>
          <c:idx val="0"/>
          <c:order val="0"/>
          <c:tx>
            <c:strRef>
              <c:f>'T1'!$Y$1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15931008"/>
        <c:axId val="115932544"/>
      </c:scatterChart>
      <c:valAx>
        <c:axId val="115931008"/>
        <c:scaling>
          <c:orientation val="minMax"/>
        </c:scaling>
        <c:axPos val="b"/>
        <c:tickLblPos val="nextTo"/>
        <c:crossAx val="115932544"/>
        <c:crosses val="autoZero"/>
        <c:crossBetween val="midCat"/>
      </c:valAx>
      <c:valAx>
        <c:axId val="115932544"/>
        <c:scaling>
          <c:orientation val="minMax"/>
        </c:scaling>
        <c:axPos val="l"/>
        <c:majorGridlines/>
        <c:numFmt formatCode="General" sourceLinked="1"/>
        <c:tickLblPos val="nextTo"/>
        <c:crossAx val="1159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(3)'!$M$27:$M$47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'Rescaled (3)'!$N$27:$N$47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3.7661736576299178</c:v>
                </c:pt>
                <c:pt idx="6">
                  <c:v>4.5308904733547495</c:v>
                </c:pt>
                <c:pt idx="7">
                  <c:v>7.7305555097199097</c:v>
                </c:pt>
                <c:pt idx="8">
                  <c:v>10.559978063589892</c:v>
                </c:pt>
                <c:pt idx="9">
                  <c:v>12.007833287358419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(3)'!$W$27:$W$47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(3)'!$S$28:$S$47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(3)'!$X$28:$X$47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(3)'!$Y$28:$Y$47</c:f>
              <c:numCache>
                <c:formatCode>General</c:formatCode>
                <c:ptCount val="20"/>
              </c:numCache>
            </c:numRef>
          </c:yVal>
        </c:ser>
        <c:axId val="116115328"/>
        <c:axId val="116116864"/>
      </c:scatterChart>
      <c:valAx>
        <c:axId val="116115328"/>
        <c:scaling>
          <c:orientation val="minMax"/>
        </c:scaling>
        <c:axPos val="b"/>
        <c:numFmt formatCode="General" sourceLinked="1"/>
        <c:tickLblPos val="nextTo"/>
        <c:crossAx val="116116864"/>
        <c:crosses val="autoZero"/>
        <c:crossBetween val="midCat"/>
      </c:valAx>
      <c:valAx>
        <c:axId val="116116864"/>
        <c:scaling>
          <c:orientation val="minMax"/>
        </c:scaling>
        <c:axPos val="l"/>
        <c:majorGridlines/>
        <c:numFmt formatCode="General" sourceLinked="1"/>
        <c:tickLblPos val="nextTo"/>
        <c:crossAx val="116115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19</xdr:row>
      <xdr:rowOff>142875</xdr:rowOff>
    </xdr:from>
    <xdr:to>
      <xdr:col>33</xdr:col>
      <xdr:colOff>285750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638174</xdr:colOff>
      <xdr:row>10</xdr:row>
      <xdr:rowOff>85725</xdr:rowOff>
    </xdr:from>
    <xdr:to>
      <xdr:col>44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638174</xdr:colOff>
      <xdr:row>10</xdr:row>
      <xdr:rowOff>85725</xdr:rowOff>
    </xdr:from>
    <xdr:to>
      <xdr:col>44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638174</xdr:colOff>
      <xdr:row>10</xdr:row>
      <xdr:rowOff>85725</xdr:rowOff>
    </xdr:from>
    <xdr:to>
      <xdr:col>44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23" totalsRowShown="0" headerRowDxfId="435" dataDxfId="434">
  <tableColumns count="23">
    <tableColumn id="2" name="Código" dataDxfId="433"/>
    <tableColumn id="16" name="Rescale A_2" dataDxfId="432"/>
    <tableColumn id="17" name="Rescale B_2" dataDxfId="431"/>
    <tableColumn id="18" name="Rescale A_10" dataDxfId="430"/>
    <tableColumn id="19" name="Rescale B_10" dataDxfId="429"/>
    <tableColumn id="1" name="2 - Pre" dataDxfId="428"/>
    <tableColumn id="3" name="10 - pre" dataDxfId="427"/>
    <tableColumn id="12" name="Rescale 2 - 5" dataDxfId="426"/>
    <tableColumn id="13" name="Rescale 10 - 5" dataDxfId="425"/>
    <tableColumn id="4" name="2 - Post 5min" dataDxfId="424"/>
    <tableColumn id="5" name="10 - Post 5min" dataDxfId="423"/>
    <tableColumn id="14" name="Rescale 2 - 10" dataDxfId="422"/>
    <tableColumn id="15" name="Rescale 10 - 10" dataDxfId="421"/>
    <tableColumn id="6" name="2 - Post 10min" dataDxfId="420"/>
    <tableColumn id="7" name="10 - Post 10min" dataDxfId="419"/>
    <tableColumn id="20" name="Rescale 2 - 15" dataDxfId="418"/>
    <tableColumn id="21" name="Rescale 10 - 15" dataDxfId="417"/>
    <tableColumn id="8" name="2 - Post 15min" dataDxfId="416"/>
    <tableColumn id="9" name="10 - Post 15min" dataDxfId="415"/>
    <tableColumn id="22" name="Rescale 2 - 20" dataDxfId="414"/>
    <tableColumn id="23" name="Rescale 10 - 20" dataDxfId="413"/>
    <tableColumn id="10" name="2 - Post 20min" dataDxfId="412"/>
    <tableColumn id="11" name="10 - Post 20min" dataDxfId="41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3" name="Table84" displayName="Table84" ref="M1:O27" totalsRowShown="0" headerRowDxfId="328" dataDxfId="327">
  <autoFilter ref="M1:O27"/>
  <tableColumns count="3">
    <tableColumn id="1" name="Column1" dataDxfId="326"/>
    <tableColumn id="2" name="Column2" dataDxfId="325">
      <calculatedColumnFormula>$T$2*M2</calculatedColumnFormula>
    </tableColumn>
    <tableColumn id="3" name="Column3" dataDxfId="324">
      <calculatedColumnFormula>M2*$T$3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5" name="Table4136" displayName="Table4136" ref="A1:K23" totalsRowShown="0" headerRowDxfId="322" dataDxfId="321">
  <tableColumns count="11">
    <tableColumn id="1" name="Código" dataDxfId="320"/>
    <tableColumn id="2" name="2 - Pre" dataDxfId="319">
      <calculatedColumnFormula>Table1[[#This Row],[2 - Pre]]/Table1[[#This Row],[Rescale A_2]]</calculatedColumnFormula>
    </tableColumn>
    <tableColumn id="3" name="10 - pre" dataDxfId="318">
      <calculatedColumnFormula>Table1[[#This Row],[10 - pre]]/Table1[[#This Row],[Rescale A_10]]</calculatedColumnFormula>
    </tableColumn>
    <tableColumn id="7" name="2 - Post 5min" dataDxfId="317">
      <calculatedColumnFormula>Table1[[#This Row],[2 - Post 5min]]/Table1[[#This Row],[Rescale 2 - 5]]</calculatedColumnFormula>
    </tableColumn>
    <tableColumn id="8" name="10 - Post 5min" dataDxfId="316">
      <calculatedColumnFormula>Table1[[#This Row],[10 - Post 5min]]/Table1[[#This Row],[Rescale 10 - 5]]</calculatedColumnFormula>
    </tableColumn>
    <tableColumn id="9" name="2 - Post 10min" dataDxfId="315">
      <calculatedColumnFormula>Table1[[#This Row],[2 - Post 10min]]/Table1[[#This Row],[Rescale 2 - 10]]</calculatedColumnFormula>
    </tableColumn>
    <tableColumn id="10" name="10 - Post 10min" dataDxfId="314">
      <calculatedColumnFormula>Table1[[#This Row],[10 - Post 10min]]/Table1[[#This Row],[Rescale 10 - 10]]</calculatedColumnFormula>
    </tableColumn>
    <tableColumn id="11" name="2 - Post 15min" dataDxfId="313">
      <calculatedColumnFormula>Table1[[#This Row],[2 - Post 15min]]/Table1[[#This Row],[Rescale 2 - 15]]</calculatedColumnFormula>
    </tableColumn>
    <tableColumn id="12" name="10 - Post 15min" dataDxfId="312">
      <calculatedColumnFormula>Table1[[#This Row],[10 - Post 15min]]/Table1[[#This Row],[Rescale 10 - 15]]</calculatedColumnFormula>
    </tableColumn>
    <tableColumn id="13" name="2 - Post 20min" dataDxfId="311">
      <calculatedColumnFormula>Table1[[#This Row],[2 - Post 20min]]/Table1[[#This Row],[Rescale 2 - 20]]</calculatedColumnFormula>
    </tableColumn>
    <tableColumn id="14" name="10 - Post 20min" dataDxfId="310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Table137" displayName="Table137" ref="M1:V23" totalsRowShown="0" headerRowDxfId="309" dataDxfId="308">
  <tableColumns count="10">
    <tableColumn id="1" name="G Pre" dataDxfId="307">
      <calculatedColumnFormula>Table4136[[#This Row],[2 - Pre]]*$N$27/(Table4136[[#This Row],[10 - pre]]*$N$26)</calculatedColumnFormula>
    </tableColumn>
    <tableColumn id="2" name="G 5min" dataDxfId="306">
      <calculatedColumnFormula>Table4136[[#This Row],[2 - Post 5min]]*$N$27/(Table4136[[#This Row],[10 - Post 5min]]*$N$26)</calculatedColumnFormula>
    </tableColumn>
    <tableColumn id="3" name="G 10min" dataDxfId="305">
      <calculatedColumnFormula>Table4136[[#This Row],[2 - Post 10min]]*$N$27/(Table4136[[#This Row],[10 - Post 10min]]*$N$26)</calculatedColumnFormula>
    </tableColumn>
    <tableColumn id="4" name="G 15min" dataDxfId="304">
      <calculatedColumnFormula>Table4136[[#This Row],[2 - Post 15min]]*$N$27/(Table4136[[#This Row],[10 - Post 15min]]*$N$26)</calculatedColumnFormula>
    </tableColumn>
    <tableColumn id="5" name="G 20min" dataDxfId="303">
      <calculatedColumnFormula>Table4136[[#This Row],[2 - Post 20min]]*$N$27/(Table4136[[#This Row],[10 - Post 20min]]*$N$26)</calculatedColumnFormula>
    </tableColumn>
    <tableColumn id="6" name="T1 pre" dataDxfId="302">
      <calculatedColumnFormula>-$N$29/LN((Table137[[#This Row],[G Pre]]-1)/(Table137[[#This Row],[G Pre]]*$O$26-$O$27))</calculatedColumnFormula>
    </tableColumn>
    <tableColumn id="7" name="T1 5min" dataDxfId="301">
      <calculatedColumnFormula>-$N$29/LN((Table137[[#This Row],[G 5min]]-1)/(Table137[[#This Row],[G 5min]]*$O$26-$O$27))</calculatedColumnFormula>
    </tableColumn>
    <tableColumn id="8" name="T1 10min" dataDxfId="300">
      <calculatedColumnFormula>-$N$29/LN((Table137[[#This Row],[G 10min]]-1)/(Table137[[#This Row],[G 10min]]*$O$26-$O$27))</calculatedColumnFormula>
    </tableColumn>
    <tableColumn id="9" name="T1 15min" dataDxfId="299">
      <calculatedColumnFormula>-$N$29/LN((Table137[[#This Row],[G 15min]]-1)/(Table137[[#This Row],[G 15min]]*$O$26-$O$27))</calculatedColumnFormula>
    </tableColumn>
    <tableColumn id="10" name="T1 20min" dataDxfId="298">
      <calculatedColumnFormula>-$N$29/LN((Table137[[#This Row],[G 20min]]-1)/(Table137[[#This Row],[G 20min]]*$O$26-$O$27))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id="7" name="Table413168" displayName="Table413168" ref="A30:K52" totalsRowShown="0" headerRowDxfId="297" dataDxfId="296">
  <tableColumns count="11">
    <tableColumn id="1" name="Código" dataDxfId="295"/>
    <tableColumn id="2" name="2 - Pre" dataDxfId="294">
      <calculatedColumnFormula>B2/B2</calculatedColumnFormula>
    </tableColumn>
    <tableColumn id="3" name="10 - pre" dataDxfId="293">
      <calculatedColumnFormula>C2/B2</calculatedColumnFormula>
    </tableColumn>
    <tableColumn id="7" name="2 - Post 5min" dataDxfId="292">
      <calculatedColumnFormula>D2/D2</calculatedColumnFormula>
    </tableColumn>
    <tableColumn id="8" name="10 - Post 5min" dataDxfId="291">
      <calculatedColumnFormula>E2/D2</calculatedColumnFormula>
    </tableColumn>
    <tableColumn id="9" name="2 - Post 10min" dataDxfId="290">
      <calculatedColumnFormula>F2/F2</calculatedColumnFormula>
    </tableColumn>
    <tableColumn id="10" name="10 - Post 10min" dataDxfId="289">
      <calculatedColumnFormula>G2/F2</calculatedColumnFormula>
    </tableColumn>
    <tableColumn id="11" name="2 - Post 15min" dataDxfId="288">
      <calculatedColumnFormula>H2/H2</calculatedColumnFormula>
    </tableColumn>
    <tableColumn id="12" name="10 - Post 15min" dataDxfId="287">
      <calculatedColumnFormula>I2/H2</calculatedColumnFormula>
    </tableColumn>
    <tableColumn id="13" name="2 - Post 20min" dataDxfId="286">
      <calculatedColumnFormula>J2/J2</calculatedColumnFormula>
    </tableColumn>
    <tableColumn id="14" name="10 - Post 20min" dataDxfId="285">
      <calculatedColumnFormula>K2/J2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9" name="Table131710" displayName="Table131710" ref="M30:V52" totalsRowShown="0" headerRowDxfId="284" dataDxfId="283">
  <tableColumns count="10">
    <tableColumn id="1" name="G Pre" dataDxfId="282">
      <calculatedColumnFormula>Table413168[[#This Row],[2 - Pre]]*$N$27/(Table413168[[#This Row],[10 - pre]]*$N$26)</calculatedColumnFormula>
    </tableColumn>
    <tableColumn id="2" name="G 5min" dataDxfId="281">
      <calculatedColumnFormula>Table413168[[#This Row],[2 - Post 5min]]*$N$27/(Table413168[[#This Row],[10 - Post 5min]]*$N$26)</calculatedColumnFormula>
    </tableColumn>
    <tableColumn id="3" name="G 10min" dataDxfId="280">
      <calculatedColumnFormula>Table413168[[#This Row],[2 - Post 10min]]*$N$27/(Table413168[[#This Row],[10 - Post 10min]]*$N$26)</calculatedColumnFormula>
    </tableColumn>
    <tableColumn id="4" name="G 15min" dataDxfId="279">
      <calculatedColumnFormula>Table413168[[#This Row],[2 - Post 15min]]*$N$27/(Table413168[[#This Row],[10 - Post 15min]]*$N$26)</calculatedColumnFormula>
    </tableColumn>
    <tableColumn id="5" name="G 20min" dataDxfId="278">
      <calculatedColumnFormula>Table413168[[#This Row],[2 - Post 20min]]*$N$27/(Table413168[[#This Row],[10 - Post 20min]]*$N$26)</calculatedColumnFormula>
    </tableColumn>
    <tableColumn id="6" name="T1 pre" dataDxfId="277">
      <calculatedColumnFormula>-$N$29/LN((Table131710[[#This Row],[G Pre]]-1)/(Table131710[[#This Row],[G Pre]]*$O$26-$O$27))</calculatedColumnFormula>
    </tableColumn>
    <tableColumn id="7" name="T1 5min" dataDxfId="276">
      <calculatedColumnFormula>-$N$29/LN((Table131710[[#This Row],[G 5min]]-1)/(Table131710[[#This Row],[G 5min]]*$O$26-$O$27))</calculatedColumnFormula>
    </tableColumn>
    <tableColumn id="8" name="T1 10min" dataDxfId="275">
      <calculatedColumnFormula>-$N$29/LN((Table131710[[#This Row],[G 10min]]-1)/(Table131710[[#This Row],[G 10min]]*$O$26-$O$27))</calculatedColumnFormula>
    </tableColumn>
    <tableColumn id="9" name="T1 15min" dataDxfId="274">
      <calculatedColumnFormula>-$N$29/LN((Table131710[[#This Row],[G 15min]]-1)/(Table131710[[#This Row],[G 15min]]*$O$26-$O$27))</calculatedColumnFormula>
    </tableColumn>
    <tableColumn id="10" name="T1 20min" dataDxfId="273">
      <calculatedColumnFormula>-$N$29/LN((Table131710[[#This Row],[G 20min]]-1)/(Table131710[[#This Row],[G 20min]]*$O$26-$O$27))</calculatedColumnFormula>
    </tableColumn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10" name="Table1711" displayName="Table1711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23" name="Table424" displayName="Table424" ref="A1:K23" totalsRowShown="0" headerRowDxfId="272" dataDxfId="271">
  <tableColumns count="11">
    <tableColumn id="1" name="Código" dataDxfId="270"/>
    <tableColumn id="2" name="2 - Pre" dataDxfId="269">
      <calculatedColumnFormula>Table1[[#This Row],[2 - Pre]]/Table1[[#This Row],[Rescale A_2]]</calculatedColumnFormula>
    </tableColumn>
    <tableColumn id="3" name="10 - pre" dataDxfId="268">
      <calculatedColumnFormula>Table1[[#This Row],[10 - pre]]/Table1[[#This Row],[Rescale A_10]]</calculatedColumnFormula>
    </tableColumn>
    <tableColumn id="7" name="2 - Post 5min" dataDxfId="267">
      <calculatedColumnFormula>Table1[[#This Row],[2 - Post 5min]]/Table1[[#This Row],[Rescale A_2]]</calculatedColumnFormula>
    </tableColumn>
    <tableColumn id="8" name="10 - Post 5min" dataDxfId="266">
      <calculatedColumnFormula>Table1[[#This Row],[10 - Post 5min]]/Table1[[#This Row],[Rescale A_10]]</calculatedColumnFormula>
    </tableColumn>
    <tableColumn id="9" name="2 - Post 10min" dataDxfId="265">
      <calculatedColumnFormula>Table1[[#This Row],[2 - Post 10min]]/Table1[[#This Row],[Rescale A_2]]</calculatedColumnFormula>
    </tableColumn>
    <tableColumn id="10" name="10 - Post 10min" dataDxfId="264">
      <calculatedColumnFormula>Table1[[#This Row],[10 - Post 10min]]/Table1[[#This Row],[Rescale A_10]]</calculatedColumnFormula>
    </tableColumn>
    <tableColumn id="11" name="2 - Post 15min" dataDxfId="263">
      <calculatedColumnFormula>Table1[[#This Row],[2 - Post 15min]]/Table1[[#This Row],[Rescale A_2]]</calculatedColumnFormula>
    </tableColumn>
    <tableColumn id="12" name="10 - Post 15min" dataDxfId="262">
      <calculatedColumnFormula>Table1[[#This Row],[10 - Post 15min]]/Table1[[#This Row],[Rescale A_10]]</calculatedColumnFormula>
    </tableColumn>
    <tableColumn id="13" name="2 - Post 20min" dataDxfId="261">
      <calculatedColumnFormula>Table1[[#This Row],[2 - Post 20min]]/Table1[[#This Row],[Rescale A_2]]</calculatedColumnFormula>
    </tableColumn>
    <tableColumn id="14" name="10 - Post 20min" dataDxfId="260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24" name="Table825" displayName="Table825" ref="M1:O27" totalsRowShown="0" headerRowDxfId="259" dataDxfId="258">
  <autoFilter ref="M1:O27"/>
  <tableColumns count="3">
    <tableColumn id="1" name="Column1" dataDxfId="257"/>
    <tableColumn id="2" name="Column2" dataDxfId="256">
      <calculatedColumnFormula>$N$39*M2</calculatedColumnFormula>
    </tableColumn>
    <tableColumn id="3" name="Column3" dataDxfId="255">
      <calculatedColumnFormula>M2*$N$40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Table41319" displayName="Table41319" ref="A1:K23" totalsRowShown="0" headerRowDxfId="253" dataDxfId="252">
  <tableColumns count="11">
    <tableColumn id="1" name="Código" dataDxfId="251"/>
    <tableColumn id="2" name="2 - Pre" dataDxfId="250">
      <calculatedColumnFormula>Table1[[#This Row],[2 - Pre]]/Table1[[#This Row],[Rescale A_2]]</calculatedColumnFormula>
    </tableColumn>
    <tableColumn id="3" name="10 - pre" dataDxfId="249">
      <calculatedColumnFormula>Table1[[#This Row],[10 - pre]]/Table1[[#This Row],[Rescale A_10]]</calculatedColumnFormula>
    </tableColumn>
    <tableColumn id="7" name="2 - Post 5min" dataDxfId="248">
      <calculatedColumnFormula>Table1[[#This Row],[2 - Post 5min]]/Table1[[#This Row],[Rescale A_2]]</calculatedColumnFormula>
    </tableColumn>
    <tableColumn id="8" name="10 - Post 5min" dataDxfId="247">
      <calculatedColumnFormula>Table1[[#This Row],[10 - Post 5min]]/Table1[[#This Row],[Rescale A_10]]</calculatedColumnFormula>
    </tableColumn>
    <tableColumn id="9" name="2 - Post 10min" dataDxfId="246">
      <calculatedColumnFormula>Table1[[#This Row],[2 - Post 10min]]/Table1[[#This Row],[Rescale A_2]]</calculatedColumnFormula>
    </tableColumn>
    <tableColumn id="10" name="10 - Post 10min" dataDxfId="245">
      <calculatedColumnFormula>Table1[[#This Row],[10 - Post 10min]]/Table1[[#This Row],[Rescale A_10]]</calculatedColumnFormula>
    </tableColumn>
    <tableColumn id="11" name="2 - Post 15min" dataDxfId="244">
      <calculatedColumnFormula>Table1[[#This Row],[2 - Post 15min]]/Table1[[#This Row],[Rescale A_2]]</calculatedColumnFormula>
    </tableColumn>
    <tableColumn id="12" name="10 - Post 15min" dataDxfId="243">
      <calculatedColumnFormula>Table1[[#This Row],[10 - Post 15min]]/Table1[[#This Row],[Rescale A_10]]</calculatedColumnFormula>
    </tableColumn>
    <tableColumn id="13" name="2 - Post 20min" dataDxfId="242">
      <calculatedColumnFormula>Table1[[#This Row],[2 - Post 20min]]/Table1[[#This Row],[Rescale A_2]]</calculatedColumnFormula>
    </tableColumn>
    <tableColumn id="14" name="10 - Post 20min" dataDxfId="241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9" name="Table1320" displayName="Table1320" ref="M1:V23" totalsRowShown="0" headerRowDxfId="240" dataDxfId="239">
  <tableColumns count="10">
    <tableColumn id="1" name="G Pre" dataDxfId="238">
      <calculatedColumnFormula>Table41319[[#This Row],[2 - Pre]]*$N$27/(Table41319[[#This Row],[10 - pre]]*$N$26)</calculatedColumnFormula>
    </tableColumn>
    <tableColumn id="2" name="G 5min" dataDxfId="237">
      <calculatedColumnFormula>Table41319[[#This Row],[2 - Post 5min]]*$N$27/(Table41319[[#This Row],[10 - Post 5min]]*$N$26)</calculatedColumnFormula>
    </tableColumn>
    <tableColumn id="3" name="G 10min" dataDxfId="236">
      <calculatedColumnFormula>Table41319[[#This Row],[2 - Post 10min]]*$N$27/(Table41319[[#This Row],[10 - Post 10min]]*$N$26)</calculatedColumnFormula>
    </tableColumn>
    <tableColumn id="4" name="G 15min" dataDxfId="235">
      <calculatedColumnFormula>Table41319[[#This Row],[2 - Post 15min]]*$N$27/(Table41319[[#This Row],[10 - Post 15min]]*$N$26)</calculatedColumnFormula>
    </tableColumn>
    <tableColumn id="5" name="G 20min" dataDxfId="234">
      <calculatedColumnFormula>Table41319[[#This Row],[2 - Post 20min]]*$N$27/(Table41319[[#This Row],[10 - Post 20min]]*$N$26)</calculatedColumnFormula>
    </tableColumn>
    <tableColumn id="6" name="T1 pre" dataDxfId="233">
      <calculatedColumnFormula>-$N$29/LN((Table1320[[#This Row],[G Pre]]-1)/(Table1320[[#This Row],[G Pre]]*$O$26-$O$27))</calculatedColumnFormula>
    </tableColumn>
    <tableColumn id="7" name="T1 5min" dataDxfId="232">
      <calculatedColumnFormula>-$N$29/LN((Table1320[[#This Row],[G 5min]]-1)/(Table1320[[#This Row],[G 5min]]*$O$26-$O$27))</calculatedColumnFormula>
    </tableColumn>
    <tableColumn id="8" name="T1 10min" dataDxfId="231">
      <calculatedColumnFormula>-$N$29/LN((Table1320[[#This Row],[G 10min]]-1)/(Table1320[[#This Row],[G 10min]]*$O$26-$O$27))</calculatedColumnFormula>
    </tableColumn>
    <tableColumn id="9" name="T1 15min" dataDxfId="230">
      <calculatedColumnFormula>-$N$29/LN((Table1320[[#This Row],[G 15min]]-1)/(Table1320[[#This Row],[G 15min]]*$O$26-$O$27))</calculatedColumnFormula>
    </tableColumn>
    <tableColumn id="10" name="T1 20min" dataDxfId="229">
      <calculatedColumnFormula>-$N$29/LN((Table1320[[#This Row],[G 20min]]-1)/(Table1320[[#This Row],[G 20min]]*$O$26-$O$27))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23" totalsRowShown="0" headerRowDxfId="410" dataDxfId="409">
  <tableColumns count="11">
    <tableColumn id="1" name="Código" dataDxfId="408"/>
    <tableColumn id="2" name="2 - Pre" dataDxfId="407">
      <calculatedColumnFormula>Table1[[#This Row],[2 - Pre]]/Table1[[#This Row],[Rescale A_2]]</calculatedColumnFormula>
    </tableColumn>
    <tableColumn id="3" name="10 - pre" dataDxfId="406">
      <calculatedColumnFormula>Table1[[#This Row],[10 - pre]]/Table1[[#This Row],[Rescale A_10]]</calculatedColumnFormula>
    </tableColumn>
    <tableColumn id="7" name="2 - Post 5min" dataDxfId="405">
      <calculatedColumnFormula>Table1[[#This Row],[2 - Post 5min]]/Table1[[#This Row],[Rescale 2 - 5]]</calculatedColumnFormula>
    </tableColumn>
    <tableColumn id="8" name="10 - Post 5min" dataDxfId="404">
      <calculatedColumnFormula>Table1[[#This Row],[10 - Post 5min]]/Table1[[#This Row],[Rescale 10 - 5]]</calculatedColumnFormula>
    </tableColumn>
    <tableColumn id="9" name="2 - Post 10min" dataDxfId="403">
      <calculatedColumnFormula>Table1[[#This Row],[2 - Post 10min]]/Table1[[#This Row],[Rescale 2 - 10]]</calculatedColumnFormula>
    </tableColumn>
    <tableColumn id="10" name="10 - Post 10min" dataDxfId="402">
      <calculatedColumnFormula>Table1[[#This Row],[10 - Post 10min]]/Table1[[#This Row],[Rescale 10 - 10]]</calculatedColumnFormula>
    </tableColumn>
    <tableColumn id="11" name="2 - Post 15min" dataDxfId="401">
      <calculatedColumnFormula>Table1[[#This Row],[2 - Post 15min]]/Table1[[#This Row],[Rescale 2 - 15]]</calculatedColumnFormula>
    </tableColumn>
    <tableColumn id="12" name="10 - Post 15min" dataDxfId="400">
      <calculatedColumnFormula>Table1[[#This Row],[10 - Post 15min]]/Table1[[#This Row],[Rescale 10 - 15]]</calculatedColumnFormula>
    </tableColumn>
    <tableColumn id="13" name="2 - Post 20min" dataDxfId="399">
      <calculatedColumnFormula>Table1[[#This Row],[2 - Post 20min]]/Table1[[#This Row],[Rescale 2 - 20]]</calculatedColumnFormula>
    </tableColumn>
    <tableColumn id="14" name="10 - Post 20min" dataDxfId="398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20" name="Table4131621" displayName="Table4131621" ref="A30:K52" totalsRowShown="0" headerRowDxfId="228" dataDxfId="227">
  <tableColumns count="11">
    <tableColumn id="1" name="Código" dataDxfId="226"/>
    <tableColumn id="2" name="2 - Pre" dataDxfId="225">
      <calculatedColumnFormula>B2/B2</calculatedColumnFormula>
    </tableColumn>
    <tableColumn id="3" name="10 - pre" dataDxfId="224">
      <calculatedColumnFormula>C2/B2</calculatedColumnFormula>
    </tableColumn>
    <tableColumn id="7" name="2 - Post 5min" dataDxfId="223">
      <calculatedColumnFormula>D2/D2</calculatedColumnFormula>
    </tableColumn>
    <tableColumn id="8" name="10 - Post 5min" dataDxfId="222">
      <calculatedColumnFormula>E2/D2</calculatedColumnFormula>
    </tableColumn>
    <tableColumn id="9" name="2 - Post 10min" dataDxfId="221">
      <calculatedColumnFormula>F2/F2</calculatedColumnFormula>
    </tableColumn>
    <tableColumn id="10" name="10 - Post 10min" dataDxfId="220">
      <calculatedColumnFormula>G2/F2</calculatedColumnFormula>
    </tableColumn>
    <tableColumn id="11" name="2 - Post 15min" dataDxfId="219">
      <calculatedColumnFormula>H2/H2</calculatedColumnFormula>
    </tableColumn>
    <tableColumn id="12" name="10 - Post 15min" dataDxfId="218">
      <calculatedColumnFormula>I2/H2</calculatedColumnFormula>
    </tableColumn>
    <tableColumn id="13" name="2 - Post 20min" dataDxfId="217">
      <calculatedColumnFormula>J2/J2</calculatedColumnFormula>
    </tableColumn>
    <tableColumn id="14" name="10 - Post 20min" dataDxfId="216">
      <calculatedColumnFormula>K2/J2</calculatedColumnFormula>
    </tableColumn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1" name="Table131722" displayName="Table131722" ref="M30:V52" totalsRowShown="0" headerRowDxfId="215" dataDxfId="214">
  <tableColumns count="10">
    <tableColumn id="1" name="G Pre" dataDxfId="213">
      <calculatedColumnFormula>Table4131621[[#This Row],[2 - Pre]]*$N$27/(Table4131621[[#This Row],[10 - pre]]*$N$26)</calculatedColumnFormula>
    </tableColumn>
    <tableColumn id="2" name="G 5min" dataDxfId="212">
      <calculatedColumnFormula>Table4131621[[#This Row],[2 - Post 5min]]*$N$27/(Table4131621[[#This Row],[10 - Post 5min]]*$N$26)</calculatedColumnFormula>
    </tableColumn>
    <tableColumn id="3" name="G 10min" dataDxfId="211">
      <calculatedColumnFormula>Table4131621[[#This Row],[2 - Post 10min]]*$N$27/(Table4131621[[#This Row],[10 - Post 10min]]*$N$26)</calculatedColumnFormula>
    </tableColumn>
    <tableColumn id="4" name="G 15min" dataDxfId="210">
      <calculatedColumnFormula>Table4131621[[#This Row],[2 - Post 15min]]*$N$27/(Table4131621[[#This Row],[10 - Post 15min]]*$N$26)</calculatedColumnFormula>
    </tableColumn>
    <tableColumn id="5" name="G 20min" dataDxfId="209">
      <calculatedColumnFormula>Table4131621[[#This Row],[2 - Post 20min]]*$N$27/(Table4131621[[#This Row],[10 - Post 20min]]*$N$26)</calculatedColumnFormula>
    </tableColumn>
    <tableColumn id="6" name="T1 pre" dataDxfId="208">
      <calculatedColumnFormula>-$N$29/LN((Table131722[[#This Row],[G Pre]]-1)/(Table131722[[#This Row],[G Pre]]*$O$26-$O$27))</calculatedColumnFormula>
    </tableColumn>
    <tableColumn id="7" name="T1 5min" dataDxfId="207">
      <calculatedColumnFormula>-$N$29/LN((Table131722[[#This Row],[G 5min]]-1)/(Table131722[[#This Row],[G 5min]]*$O$26-$O$27))</calculatedColumnFormula>
    </tableColumn>
    <tableColumn id="8" name="T1 10min" dataDxfId="206">
      <calculatedColumnFormula>-$N$29/LN((Table131722[[#This Row],[G 10min]]-1)/(Table131722[[#This Row],[G 10min]]*$O$26-$O$27))</calculatedColumnFormula>
    </tableColumn>
    <tableColumn id="9" name="T1 15min" dataDxfId="205">
      <calculatedColumnFormula>-$N$29/LN((Table131722[[#This Row],[G 15min]]-1)/(Table131722[[#This Row],[G 15min]]*$O$26-$O$27))</calculatedColumnFormula>
    </tableColumn>
    <tableColumn id="10" name="T1 20min" dataDxfId="204">
      <calculatedColumnFormula>-$N$29/LN((Table131722[[#This Row],[G 20min]]-1)/(Table131722[[#This Row],[G 20min]]*$O$26-$O$27))</calculatedColumnFormula>
    </tableColumn>
  </tableColumns>
  <tableStyleInfo name="TableStyleLight17" showFirstColumn="0" showLastColumn="0" showRowStripes="1" showColumnStripes="0"/>
</table>
</file>

<file path=xl/tables/table22.xml><?xml version="1.0" encoding="utf-8"?>
<table xmlns="http://schemas.openxmlformats.org/spreadsheetml/2006/main" id="22" name="Table1723" displayName="Table1723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id="11" name="Table41312" displayName="Table41312" ref="A1:K23" totalsRowShown="0" headerRowDxfId="197" dataDxfId="196">
  <tableColumns count="11">
    <tableColumn id="1" name="Código" dataDxfId="195"/>
    <tableColumn id="2" name="2 - Pre" dataDxfId="194">
      <calculatedColumnFormula>Table1[[#This Row],[2 - Pre]]/Table1[[#This Row],[Rescale A_2]]</calculatedColumnFormula>
    </tableColumn>
    <tableColumn id="3" name="10 - pre" dataDxfId="193">
      <calculatedColumnFormula>Table1[[#This Row],[10 - pre]]/Table1[[#This Row],[Rescale A_10]]</calculatedColumnFormula>
    </tableColumn>
    <tableColumn id="7" name="2 - Post 5min" dataDxfId="192">
      <calculatedColumnFormula>Table1[[#This Row],[2 - Post 5min]]/Table1[[#This Row],[Rescale 2 - 5]]</calculatedColumnFormula>
    </tableColumn>
    <tableColumn id="8" name="10 - Post 5min" dataDxfId="191">
      <calculatedColumnFormula>Table1[[#This Row],[10 - Post 5min]]/Table1[[#This Row],[Rescale 10 - 5]]</calculatedColumnFormula>
    </tableColumn>
    <tableColumn id="9" name="2 - Post 10min" dataDxfId="190">
      <calculatedColumnFormula>Table1[[#This Row],[2 - Post 10min]]/Table1[[#This Row],[Rescale 2 - 10]]</calculatedColumnFormula>
    </tableColumn>
    <tableColumn id="10" name="10 - Post 10min" dataDxfId="189">
      <calculatedColumnFormula>Table1[[#This Row],[10 - Post 10min]]/Table1[[#This Row],[Rescale 10 - 10]]</calculatedColumnFormula>
    </tableColumn>
    <tableColumn id="11" name="2 - Post 15min" dataDxfId="188">
      <calculatedColumnFormula>Table1[[#This Row],[2 - Post 15min]]/Table1[[#This Row],[Rescale 2 - 15]]</calculatedColumnFormula>
    </tableColumn>
    <tableColumn id="12" name="10 - Post 15min" dataDxfId="187">
      <calculatedColumnFormula>Table1[[#This Row],[10 - Post 15min]]/Table1[[#This Row],[Rescale 10 - 15]]</calculatedColumnFormula>
    </tableColumn>
    <tableColumn id="13" name="2 - Post 20min" dataDxfId="186">
      <calculatedColumnFormula>Table1[[#This Row],[2 - Post 20min]]/Table1[[#This Row],[Rescale 2 - 20]]</calculatedColumnFormula>
    </tableColumn>
    <tableColumn id="14" name="10 - Post 20min" dataDxfId="185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14" name="Table1315" displayName="Table1315" ref="X1:AG23" totalsRowShown="0" headerRowDxfId="184" dataDxfId="183">
  <tableColumns count="10">
    <tableColumn id="1" name="G Pre" dataDxfId="182">
      <calculatedColumnFormula>Table41312[[#This Row],[2 - Pre]]*$Y$27/(Table41312[[#This Row],[10 - pre]]*$Y$26)</calculatedColumnFormula>
    </tableColumn>
    <tableColumn id="2" name="G 5min" dataDxfId="181">
      <calculatedColumnFormula>Table41312[[#This Row],[2 - Post 5min]]*$Y$27/(Table41312[[#This Row],[10 - Post 5min]]*$Y$26)</calculatedColumnFormula>
    </tableColumn>
    <tableColumn id="3" name="G 10min" dataDxfId="180">
      <calculatedColumnFormula>Table41312[[#This Row],[2 - Post 10min]]*$Y$27/(Table41312[[#This Row],[10 - Post 10min]]*$Y$26)</calculatedColumnFormula>
    </tableColumn>
    <tableColumn id="4" name="G 15min" dataDxfId="179">
      <calculatedColumnFormula>Table41312[[#This Row],[2 - Post 15min]]*$Y$27/(Table41312[[#This Row],[10 - Post 15min]]*$Y$26)</calculatedColumnFormula>
    </tableColumn>
    <tableColumn id="5" name="G 20min" dataDxfId="178">
      <calculatedColumnFormula>Table41312[[#This Row],[2 - Post 20min]]*$Y$27/(Table41312[[#This Row],[10 - Post 20min]]*$Y$26)</calculatedColumnFormula>
    </tableColumn>
    <tableColumn id="6" name="T1 pre" dataDxfId="177">
      <calculatedColumnFormula>-$Y$29/LN((Table1315[[#This Row],[G Pre]]-1)/(Table1315[[#This Row],[G Pre]]*$Z$26-$Z$27))</calculatedColumnFormula>
    </tableColumn>
    <tableColumn id="7" name="T1 5min" dataDxfId="176">
      <calculatedColumnFormula>-$Y$29/LN((Table1315[[#This Row],[G 5min]]-1)/(Table1315[[#This Row],[G 5min]]*$Z$26-$Z$27))</calculatedColumnFormula>
    </tableColumn>
    <tableColumn id="8" name="T1 10min" dataDxfId="175">
      <calculatedColumnFormula>-$Y$29/LN((Table1315[[#This Row],[G 10min]]-1)/(Table1315[[#This Row],[G 10min]]*$Z$26-$Z$27))</calculatedColumnFormula>
    </tableColumn>
    <tableColumn id="9" name="T1 15min" dataDxfId="174">
      <calculatedColumnFormula>-$Y$29/LN((Table1315[[#This Row],[G 15min]]-1)/(Table1315[[#This Row],[G 15min]]*$Z$26-$Z$27))</calculatedColumnFormula>
    </tableColumn>
    <tableColumn id="10" name="T1 20min" dataDxfId="173">
      <calculatedColumnFormula>-$Y$29/LN((Table1315[[#This Row],[G 20min]]-1)/(Table1315[[#This Row],[G 20min]]*$Z$26-$Z$27))</calculatedColumnFormula>
    </tableColumn>
  </tableColumns>
  <tableStyleInfo name="TableStyleLight17" showFirstColumn="0" showLastColumn="0" showRowStripes="1" showColumnStripes="0"/>
</table>
</file>

<file path=xl/tables/table25.xml><?xml version="1.0" encoding="utf-8"?>
<table xmlns="http://schemas.openxmlformats.org/spreadsheetml/2006/main" id="25" name="Table4131626" displayName="Table4131626" ref="A30:K52" totalsRowShown="0" headerRowDxfId="172" dataDxfId="171">
  <tableColumns count="11">
    <tableColumn id="1" name="Código" dataDxfId="170"/>
    <tableColumn id="2" name="2 - Pre" dataDxfId="169">
      <calculatedColumnFormula>B2/B2</calculatedColumnFormula>
    </tableColumn>
    <tableColumn id="3" name="10 - pre" dataDxfId="168">
      <calculatedColumnFormula>C2/B2</calculatedColumnFormula>
    </tableColumn>
    <tableColumn id="7" name="2 - Post 5min" dataDxfId="167">
      <calculatedColumnFormula>D2/D2</calculatedColumnFormula>
    </tableColumn>
    <tableColumn id="8" name="10 - Post 5min" dataDxfId="166">
      <calculatedColumnFormula>E2/D2</calculatedColumnFormula>
    </tableColumn>
    <tableColumn id="9" name="2 - Post 10min" dataDxfId="165">
      <calculatedColumnFormula>F2/F2</calculatedColumnFormula>
    </tableColumn>
    <tableColumn id="10" name="10 - Post 10min" dataDxfId="164">
      <calculatedColumnFormula>G2/F2</calculatedColumnFormula>
    </tableColumn>
    <tableColumn id="11" name="2 - Post 15min" dataDxfId="163">
      <calculatedColumnFormula>H2/H2</calculatedColumnFormula>
    </tableColumn>
    <tableColumn id="12" name="10 - Post 15min" dataDxfId="162">
      <calculatedColumnFormula>I2/H2</calculatedColumnFormula>
    </tableColumn>
    <tableColumn id="13" name="2 - Post 20min" dataDxfId="161">
      <calculatedColumnFormula>J2/J2</calculatedColumnFormula>
    </tableColumn>
    <tableColumn id="14" name="10 - Post 20min" dataDxfId="160">
      <calculatedColumnFormula>K2/J2</calculatedColumnFormula>
    </tableColumn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6" name="Table131727" displayName="Table131727" ref="X30:AG52" totalsRowShown="0" headerRowDxfId="159" dataDxfId="158">
  <tableColumns count="10">
    <tableColumn id="1" name="G Pre" dataDxfId="157">
      <calculatedColumnFormula>1*$Y$27/(Table28[[#This Row],[S10 pre]]*$Y$26)</calculatedColumnFormula>
    </tableColumn>
    <tableColumn id="2" name="G 5min" dataDxfId="156">
      <calculatedColumnFormula>1*$Y$27/(Table28[[#This Row],[S10 5 min]]*$Y$26)</calculatedColumnFormula>
    </tableColumn>
    <tableColumn id="3" name="G 10min" dataDxfId="155">
      <calculatedColumnFormula>1*$Y$27/(Table28[[#This Row],[S 10]]*$Y$26)</calculatedColumnFormula>
    </tableColumn>
    <tableColumn id="4" name="G 15min" dataDxfId="154">
      <calculatedColumnFormula>1*$Y$27/(Table28[[#This Row],[S 15]]*$Y$26)</calculatedColumnFormula>
    </tableColumn>
    <tableColumn id="5" name="G 20min" dataDxfId="153">
      <calculatedColumnFormula>1*$Y$27/(Table28[[#This Row],[S 20]]*$Y$26)</calculatedColumnFormula>
    </tableColumn>
    <tableColumn id="6" name="T1 pre" dataDxfId="152">
      <calculatedColumnFormula>-$Y$29/LN((Table131727[[#This Row],[G Pre]]-1)/(Table131727[[#This Row],[G Pre]]*$Z$26-$Z$27))</calculatedColumnFormula>
    </tableColumn>
    <tableColumn id="7" name="T1 5min" dataDxfId="151">
      <calculatedColumnFormula>-$Y$29/LN((Table131727[[#This Row],[G 5min]]-1)/(Table131727[[#This Row],[G 5min]]*$Z$26-$Z$27))</calculatedColumnFormula>
    </tableColumn>
    <tableColumn id="8" name="T1 10min" dataDxfId="150">
      <calculatedColumnFormula>-$Y$29/LN((Table131727[[#This Row],[G 10min]]-1)/(Table131727[[#This Row],[G 10min]]*$Z$26-$Z$27))</calculatedColumnFormula>
    </tableColumn>
    <tableColumn id="9" name="T1 15min" dataDxfId="149">
      <calculatedColumnFormula>-$Y$29/LN((Table131727[[#This Row],[G 15min]]-1)/(Table131727[[#This Row],[G 15min]]*$Z$26-$Z$27))</calculatedColumnFormula>
    </tableColumn>
    <tableColumn id="10" name="T1 20min" dataDxfId="148">
      <calculatedColumnFormula>-$Y$29/LN((Table131727[[#This Row],[G 20min]]-1)/(Table131727[[#This Row],[G 20min]]*$Z$26-$Z$27))</calculatedColumnFormula>
    </tableColumn>
  </tableColumns>
  <tableStyleInfo name="TableStyleLight17" showFirstColumn="0" showLastColumn="0" showRowStripes="1" showColumnStripes="0"/>
</table>
</file>

<file path=xl/tables/table27.xml><?xml version="1.0" encoding="utf-8"?>
<table xmlns="http://schemas.openxmlformats.org/spreadsheetml/2006/main" id="27" name="Table1728" displayName="Table1728" ref="AI1:BE6" totalsRowShown="0">
  <autoFilter ref="AI1:BE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M30:V52" totalsRowShown="0" headerRowDxfId="147" dataDxfId="146">
  <tableColumns count="10">
    <tableColumn id="1" name="Factor Pre" dataDxfId="145">
      <calculatedColumnFormula>Table4131626[[#This Row],[10 - pre]]/$M$25</calculatedColumnFormula>
    </tableColumn>
    <tableColumn id="2" name="S10 pre" dataDxfId="144">
      <calculatedColumnFormula>Table4131626[[#This Row],[10 - pre]]/$M$32</calculatedColumnFormula>
    </tableColumn>
    <tableColumn id="3" name="Factor Pos 5" dataDxfId="143">
      <calculatedColumnFormula>Table4131626[[#This Row],[10 - Post 5min]]/$M$26</calculatedColumnFormula>
    </tableColumn>
    <tableColumn id="4" name="S10 5 min" dataDxfId="142">
      <calculatedColumnFormula>Table4131626[[#This Row],[10 - Post 5min]]/$O$32</calculatedColumnFormula>
    </tableColumn>
    <tableColumn id="9" name="Factor 10" dataDxfId="141">
      <calculatedColumnFormula>Table4131626[[#This Row],[10 - Post 10min]]/$M$26</calculatedColumnFormula>
    </tableColumn>
    <tableColumn id="11" name="S 10" dataDxfId="140">
      <calculatedColumnFormula>Table4131626[[#This Row],[10 - Post 10min]]/$Q$32</calculatedColumnFormula>
    </tableColumn>
    <tableColumn id="10" name="Factor 15 " dataDxfId="139">
      <calculatedColumnFormula>Table4131626[[#This Row],[10 - Post 15min]]/$M$26</calculatedColumnFormula>
    </tableColumn>
    <tableColumn id="8" name="S 15" dataDxfId="138">
      <calculatedColumnFormula>Table4131626[[#This Row],[10 - Post 15min]]/$S$32</calculatedColumnFormula>
    </tableColumn>
    <tableColumn id="5" name="Factor 20" dataDxfId="137">
      <calculatedColumnFormula>Table4131626[[#This Row],[10 - Post 20min]]/$M$26</calculatedColumnFormula>
    </tableColumn>
    <tableColumn id="6" name="S 20" dataDxfId="136">
      <calculatedColumnFormula>Table4131626[[#This Row],[10 - Post 20min]]/$U$32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4131230" displayName="Table4131230" ref="A1:K23" totalsRowShown="0" headerRowDxfId="129" dataDxfId="128">
  <tableColumns count="11">
    <tableColumn id="1" name="Código" dataDxfId="127"/>
    <tableColumn id="2" name="2 - Pre" dataDxfId="126">
      <calculatedColumnFormula>Table1[[#This Row],[2 - Pre]]/Table1[[#This Row],[Rescale A_2]]</calculatedColumnFormula>
    </tableColumn>
    <tableColumn id="3" name="10 - pre" dataDxfId="125">
      <calculatedColumnFormula>Table1[[#This Row],[10 - pre]]/Table1[[#This Row],[Rescale A_10]]</calculatedColumnFormula>
    </tableColumn>
    <tableColumn id="7" name="2 - Post 5min" dataDxfId="124">
      <calculatedColumnFormula>Table1[[#This Row],[2 - Post 5min]]/Table1[[#This Row],[Rescale 2 - 5]]</calculatedColumnFormula>
    </tableColumn>
    <tableColumn id="8" name="10 - Post 5min" dataDxfId="123">
      <calculatedColumnFormula>Table1[[#This Row],[10 - Post 5min]]/Table1[[#This Row],[Rescale 10 - 5]]</calculatedColumnFormula>
    </tableColumn>
    <tableColumn id="9" name="2 - Post 10min" dataDxfId="122">
      <calculatedColumnFormula>Table1[[#This Row],[2 - Post 10min]]/Table1[[#This Row],[Rescale 2 - 10]]</calculatedColumnFormula>
    </tableColumn>
    <tableColumn id="10" name="10 - Post 10min" dataDxfId="121">
      <calculatedColumnFormula>Table1[[#This Row],[10 - Post 10min]]/Table1[[#This Row],[Rescale 10 - 10]]</calculatedColumnFormula>
    </tableColumn>
    <tableColumn id="11" name="2 - Post 15min" dataDxfId="120">
      <calculatedColumnFormula>Table1[[#This Row],[2 - Post 15min]]/Table1[[#This Row],[Rescale 2 - 15]]</calculatedColumnFormula>
    </tableColumn>
    <tableColumn id="12" name="10 - Post 15min" dataDxfId="119">
      <calculatedColumnFormula>Table1[[#This Row],[10 - Post 15min]]/Table1[[#This Row],[Rescale 10 - 15]]</calculatedColumnFormula>
    </tableColumn>
    <tableColumn id="13" name="2 - Post 20min" dataDxfId="118">
      <calculatedColumnFormula>Table1[[#This Row],[2 - Post 20min]]/Table1[[#This Row],[Rescale 2 - 20]]</calculatedColumnFormula>
    </tableColumn>
    <tableColumn id="14" name="10 - Post 20min" dataDxfId="117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M1:O27" totalsRowShown="0" headerRowDxfId="397" dataDxfId="396">
  <autoFilter ref="M1:O27"/>
  <tableColumns count="3">
    <tableColumn id="1" name="Column1" dataDxfId="395"/>
    <tableColumn id="2" name="Column2" dataDxfId="394">
      <calculatedColumnFormula>$T$2*M2</calculatedColumnFormula>
    </tableColumn>
    <tableColumn id="3" name="Column3" dataDxfId="393">
      <calculatedColumnFormula>M2*$T$3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30" name="Table131531" displayName="Table131531" ref="X1:AG23" totalsRowShown="0" headerRowDxfId="116" dataDxfId="115">
  <tableColumns count="10">
    <tableColumn id="1" name="G Pre" dataDxfId="114">
      <calculatedColumnFormula>Table4131230[[#This Row],[2 - Pre]]*$Y$27/(Table4131230[[#This Row],[10 - pre]]*$Y$26)</calculatedColumnFormula>
    </tableColumn>
    <tableColumn id="2" name="G 5min" dataDxfId="113">
      <calculatedColumnFormula>Table4131230[[#This Row],[2 - Post 5min]]*$Y$27/(Table4131230[[#This Row],[10 - Post 5min]]*$Y$26)</calculatedColumnFormula>
    </tableColumn>
    <tableColumn id="3" name="G 10min" dataDxfId="112">
      <calculatedColumnFormula>Table4131230[[#This Row],[2 - Post 10min]]*$Y$27/(Table4131230[[#This Row],[10 - Post 10min]]*$Y$26)</calculatedColumnFormula>
    </tableColumn>
    <tableColumn id="4" name="G 15min" dataDxfId="111">
      <calculatedColumnFormula>Table4131230[[#This Row],[2 - Post 15min]]*$Y$27/(Table4131230[[#This Row],[10 - Post 15min]]*$Y$26)</calculatedColumnFormula>
    </tableColumn>
    <tableColumn id="5" name="G 20min" dataDxfId="110">
      <calculatedColumnFormula>Table4131230[[#This Row],[2 - Post 20min]]*$Y$27/(Table4131230[[#This Row],[10 - Post 20min]]*$Y$26)</calculatedColumnFormula>
    </tableColumn>
    <tableColumn id="6" name="T1 pre" dataDxfId="109">
      <calculatedColumnFormula>-$Y$29/LN((Table131531[[#This Row],[G Pre]]-1)/(Table131531[[#This Row],[G Pre]]*$Z$26-$Z$27))</calculatedColumnFormula>
    </tableColumn>
    <tableColumn id="7" name="T1 5min" dataDxfId="108">
      <calculatedColumnFormula>-$Y$29/LN((Table131531[[#This Row],[G 5min]]-1)/(Table131531[[#This Row],[G 5min]]*$Z$26-$Z$27))</calculatedColumnFormula>
    </tableColumn>
    <tableColumn id="8" name="T1 10min" dataDxfId="107">
      <calculatedColumnFormula>-$Y$29/LN((Table131531[[#This Row],[G 10min]]-1)/(Table131531[[#This Row],[G 10min]]*$Z$26-$Z$27))</calculatedColumnFormula>
    </tableColumn>
    <tableColumn id="9" name="T1 15min" dataDxfId="106">
      <calculatedColumnFormula>-$Y$29/LN((Table131531[[#This Row],[G 15min]]-1)/(Table131531[[#This Row],[G 15min]]*$Z$26-$Z$27))</calculatedColumnFormula>
    </tableColumn>
    <tableColumn id="10" name="T1 20min" dataDxfId="105">
      <calculatedColumnFormula>-$Y$29/LN((Table131531[[#This Row],[G 20min]]-1)/(Table131531[[#This Row],[G 20min]]*$Z$26-$Z$27))</calculatedColumnFormula>
    </tableColumn>
  </tableColumns>
  <tableStyleInfo name="TableStyleLight17" showFirstColumn="0" showLastColumn="0" showRowStripes="1" showColumnStripes="0"/>
</table>
</file>

<file path=xl/tables/table31.xml><?xml version="1.0" encoding="utf-8"?>
<table xmlns="http://schemas.openxmlformats.org/spreadsheetml/2006/main" id="31" name="Table413162632" displayName="Table413162632" ref="A30:K52" totalsRowShown="0" headerRowDxfId="104" dataDxfId="103">
  <tableColumns count="11">
    <tableColumn id="1" name="Código" dataDxfId="102"/>
    <tableColumn id="2" name="2 - Pre" dataDxfId="101">
      <calculatedColumnFormula>B2/B2</calculatedColumnFormula>
    </tableColumn>
    <tableColumn id="3" name="10 - pre" dataDxfId="100">
      <calculatedColumnFormula>C2/B2</calculatedColumnFormula>
    </tableColumn>
    <tableColumn id="7" name="2 - Post 5min" dataDxfId="99">
      <calculatedColumnFormula>D2/D2</calculatedColumnFormula>
    </tableColumn>
    <tableColumn id="8" name="10 - Post 5min" dataDxfId="98">
      <calculatedColumnFormula>E2/D2</calculatedColumnFormula>
    </tableColumn>
    <tableColumn id="9" name="2 - Post 10min" dataDxfId="97">
      <calculatedColumnFormula>F2/F2</calculatedColumnFormula>
    </tableColumn>
    <tableColumn id="10" name="10 - Post 10min" dataDxfId="96">
      <calculatedColumnFormula>G2/F2</calculatedColumnFormula>
    </tableColumn>
    <tableColumn id="11" name="2 - Post 15min" dataDxfId="95">
      <calculatedColumnFormula>H2/H2</calculatedColumnFormula>
    </tableColumn>
    <tableColumn id="12" name="10 - Post 15min" dataDxfId="94">
      <calculatedColumnFormula>I2/H2</calculatedColumnFormula>
    </tableColumn>
    <tableColumn id="13" name="2 - Post 20min" dataDxfId="93">
      <calculatedColumnFormula>J2/J2</calculatedColumnFormula>
    </tableColumn>
    <tableColumn id="14" name="10 - Post 20min" dataDxfId="92">
      <calculatedColumnFormula>K2/J2</calculatedColumnFormula>
    </tableColumn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32" name="Table13172733" displayName="Table13172733" ref="X30:AG52" totalsRowShown="0" headerRowDxfId="91" dataDxfId="90">
  <tableColumns count="10">
    <tableColumn id="1" name="G Pre" dataDxfId="89">
      <calculatedColumnFormula>1*$Y$27/(Table2835[[#This Row],[S10 pre]]*$Y$26)</calculatedColumnFormula>
    </tableColumn>
    <tableColumn id="2" name="G 5min" dataDxfId="88">
      <calculatedColumnFormula>1*$Y$27/(Table2835[[#This Row],[S10 5 min]]*$Y$26)</calculatedColumnFormula>
    </tableColumn>
    <tableColumn id="3" name="G 10min" dataDxfId="87">
      <calculatedColumnFormula>1*$Y$27/(Table2835[[#This Row],[S 10]]*$Y$26)</calculatedColumnFormula>
    </tableColumn>
    <tableColumn id="4" name="G 15min" dataDxfId="86">
      <calculatedColumnFormula>1*$Y$27/(Table2835[[#This Row],[S 15]]*$Y$26)</calculatedColumnFormula>
    </tableColumn>
    <tableColumn id="5" name="G 20min" dataDxfId="85">
      <calculatedColumnFormula>1*$Y$27/(Table2835[[#This Row],[S 20]]*$Y$26)</calculatedColumnFormula>
    </tableColumn>
    <tableColumn id="6" name="T1 pre" dataDxfId="84">
      <calculatedColumnFormula>-$Y$29/LN((Table13172733[[#This Row],[G Pre]]-1)/(Table13172733[[#This Row],[G Pre]]*$Z$26-$Z$27))</calculatedColumnFormula>
    </tableColumn>
    <tableColumn id="7" name="T1 5min" dataDxfId="83">
      <calculatedColumnFormula>-$Y$29/LN((Table13172733[[#This Row],[G 5min]]-1)/(Table13172733[[#This Row],[G 5min]]*$Z$26-$Z$27))</calculatedColumnFormula>
    </tableColumn>
    <tableColumn id="8" name="T1 10min" dataDxfId="82">
      <calculatedColumnFormula>-$Y$29/LN((Table13172733[[#This Row],[G 10min]]-1)/(Table13172733[[#This Row],[G 10min]]*$Z$26-$Z$27))</calculatedColumnFormula>
    </tableColumn>
    <tableColumn id="9" name="T1 15min" dataDxfId="81">
      <calculatedColumnFormula>-$Y$29/LN((Table13172733[[#This Row],[G 15min]]-1)/(Table13172733[[#This Row],[G 15min]]*$Z$26-$Z$27))</calculatedColumnFormula>
    </tableColumn>
    <tableColumn id="10" name="T1 20min" dataDxfId="80">
      <calculatedColumnFormula>-$Y$29/LN((Table13172733[[#This Row],[G 20min]]-1)/(Table13172733[[#This Row],[G 20min]]*$Z$26-$Z$27))</calculatedColumnFormula>
    </tableColumn>
  </tableColumns>
  <tableStyleInfo name="TableStyleLight17" showFirstColumn="0" showLastColumn="0" showRowStripes="1" showColumnStripes="0"/>
</table>
</file>

<file path=xl/tables/table33.xml><?xml version="1.0" encoding="utf-8"?>
<table xmlns="http://schemas.openxmlformats.org/spreadsheetml/2006/main" id="33" name="Table172834" displayName="Table172834" ref="AI1:BE6" totalsRowShown="0">
  <autoFilter ref="AI1:BE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id="34" name="Table2835" displayName="Table2835" ref="M30:V52" totalsRowShown="0" headerRowDxfId="79" dataDxfId="78">
  <tableColumns count="10">
    <tableColumn id="1" name="Factor Pre" dataDxfId="77">
      <calculatedColumnFormula>Table413162632[[#This Row],[10 - pre]]/$M$25</calculatedColumnFormula>
    </tableColumn>
    <tableColumn id="2" name="S10 pre" dataDxfId="76">
      <calculatedColumnFormula>Table413162632[[#This Row],[10 - pre]]/$M$32</calculatedColumnFormula>
    </tableColumn>
    <tableColumn id="3" name="Factor Pos 5" dataDxfId="75">
      <calculatedColumnFormula>Table413162632[[#This Row],[10 - Post 5min]]/$M$26</calculatedColumnFormula>
    </tableColumn>
    <tableColumn id="4" name="S10 5 min" dataDxfId="74">
      <calculatedColumnFormula>Table413162632[[#This Row],[10 - Post 5min]]/$O$32</calculatedColumnFormula>
    </tableColumn>
    <tableColumn id="9" name="Factor 10" dataDxfId="73">
      <calculatedColumnFormula>Table413162632[[#This Row],[10 - Post 10min]]/$M$26</calculatedColumnFormula>
    </tableColumn>
    <tableColumn id="11" name="S 10" dataDxfId="72">
      <calculatedColumnFormula>Table413162632[[#This Row],[10 - Post 10min]]/$Q$32</calculatedColumnFormula>
    </tableColumn>
    <tableColumn id="10" name="Factor 15 " dataDxfId="71">
      <calculatedColumnFormula>Table413162632[[#This Row],[10 - Post 15min]]/$M$26</calculatedColumnFormula>
    </tableColumn>
    <tableColumn id="8" name="S 15" dataDxfId="70">
      <calculatedColumnFormula>Table413162632[[#This Row],[10 - Post 15min]]/$S$32</calculatedColumnFormula>
    </tableColumn>
    <tableColumn id="5" name="Factor 20" dataDxfId="69">
      <calculatedColumnFormula>Table413162632[[#This Row],[10 - Post 20min]]/$M$26</calculatedColumnFormula>
    </tableColumn>
    <tableColumn id="6" name="S 20" dataDxfId="68">
      <calculatedColumnFormula>Table413162632[[#This Row],[10 - Post 20min]]/$U$32</calculatedColumnFormula>
    </tableColumn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5" name="Table4131236" displayName="Table4131236" ref="A1:K23" totalsRowShown="0" headerRowDxfId="50" dataDxfId="49">
  <tableColumns count="11">
    <tableColumn id="1" name="Código" dataDxfId="61"/>
    <tableColumn id="2" name="2 - Pre" dataDxfId="60">
      <calculatedColumnFormula>Table1[[#This Row],[2 - Pre]]/Table1[[#This Row],[Rescale A_2]]</calculatedColumnFormula>
    </tableColumn>
    <tableColumn id="3" name="10 - pre" dataDxfId="59">
      <calculatedColumnFormula>Table1[[#This Row],[10 - pre]]/Table1[[#This Row],[Rescale A_10]]</calculatedColumnFormula>
    </tableColumn>
    <tableColumn id="7" name="2 - Post 5min" dataDxfId="58">
      <calculatedColumnFormula>Table1[[#This Row],[2 - Post 5min]]/Table1[[#This Row],[Rescale 2 - 5]]</calculatedColumnFormula>
    </tableColumn>
    <tableColumn id="8" name="10 - Post 5min" dataDxfId="57">
      <calculatedColumnFormula>Table1[[#This Row],[10 - Post 5min]]/Table1[[#This Row],[Rescale 10 - 5]]</calculatedColumnFormula>
    </tableColumn>
    <tableColumn id="9" name="2 - Post 10min" dataDxfId="56">
      <calculatedColumnFormula>Table1[[#This Row],[2 - Post 10min]]/Table1[[#This Row],[Rescale 2 - 10]]</calculatedColumnFormula>
    </tableColumn>
    <tableColumn id="10" name="10 - Post 10min" dataDxfId="55">
      <calculatedColumnFormula>Table1[[#This Row],[10 - Post 10min]]/Table1[[#This Row],[Rescale 10 - 10]]</calculatedColumnFormula>
    </tableColumn>
    <tableColumn id="11" name="2 - Post 15min" dataDxfId="54">
      <calculatedColumnFormula>Table1[[#This Row],[2 - Post 15min]]/Table1[[#This Row],[Rescale 2 - 15]]</calculatedColumnFormula>
    </tableColumn>
    <tableColumn id="12" name="10 - Post 15min" dataDxfId="53">
      <calculatedColumnFormula>Table1[[#This Row],[10 - Post 15min]]/Table1[[#This Row],[Rescale 10 - 15]]</calculatedColumnFormula>
    </tableColumn>
    <tableColumn id="13" name="2 - Post 20min" dataDxfId="52">
      <calculatedColumnFormula>Table1[[#This Row],[2 - Post 20min]]/Table1[[#This Row],[Rescale 2 - 20]]</calculatedColumnFormula>
    </tableColumn>
    <tableColumn id="14" name="10 - Post 20min" dataDxfId="51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id="36" name="Table131537" displayName="Table131537" ref="X1:AG23" totalsRowShown="0" headerRowDxfId="38" dataDxfId="37">
  <tableColumns count="10">
    <tableColumn id="1" name="G Pre" dataDxfId="48">
      <calculatedColumnFormula>Table4131236[[#This Row],[2 - Pre]]*$Y$27/(Table4131236[[#This Row],[10 - pre]]*$Y$26)</calculatedColumnFormula>
    </tableColumn>
    <tableColumn id="2" name="G 5min" dataDxfId="47">
      <calculatedColumnFormula>Table4131236[[#This Row],[2 - Post 5min]]*$Y$27/(Table4131236[[#This Row],[10 - Post 5min]]*$Y$26)</calculatedColumnFormula>
    </tableColumn>
    <tableColumn id="3" name="G 10min" dataDxfId="46">
      <calculatedColumnFormula>Table4131236[[#This Row],[2 - Post 10min]]*$Y$27/(Table4131236[[#This Row],[10 - Post 10min]]*$Y$26)</calculatedColumnFormula>
    </tableColumn>
    <tableColumn id="4" name="G 15min" dataDxfId="45">
      <calculatedColumnFormula>Table4131236[[#This Row],[2 - Post 15min]]*$Y$27/(Table4131236[[#This Row],[10 - Post 15min]]*$Y$26)</calculatedColumnFormula>
    </tableColumn>
    <tableColumn id="5" name="G 20min" dataDxfId="44">
      <calculatedColumnFormula>Table4131236[[#This Row],[2 - Post 20min]]*$Y$27/(Table4131236[[#This Row],[10 - Post 20min]]*$Y$26)</calculatedColumnFormula>
    </tableColumn>
    <tableColumn id="6" name="T1 pre" dataDxfId="43">
      <calculatedColumnFormula>-$Y$29/LN((Table131537[[#This Row],[G Pre]]-1)/(Table131537[[#This Row],[G Pre]]*$Z$26-$Z$27))</calculatedColumnFormula>
    </tableColumn>
    <tableColumn id="7" name="T1 5min" dataDxfId="42">
      <calculatedColumnFormula>-$Y$29/LN((Table131537[[#This Row],[G 5min]]-1)/(Table131537[[#This Row],[G 5min]]*$Z$26-$Z$27))</calculatedColumnFormula>
    </tableColumn>
    <tableColumn id="8" name="T1 10min" dataDxfId="41">
      <calculatedColumnFormula>-$Y$29/LN((Table131537[[#This Row],[G 10min]]-1)/(Table131537[[#This Row],[G 10min]]*$Z$26-$Z$27))</calculatedColumnFormula>
    </tableColumn>
    <tableColumn id="9" name="T1 15min" dataDxfId="40">
      <calculatedColumnFormula>-$Y$29/LN((Table131537[[#This Row],[G 15min]]-1)/(Table131537[[#This Row],[G 15min]]*$Z$26-$Z$27))</calculatedColumnFormula>
    </tableColumn>
    <tableColumn id="10" name="T1 20min" dataDxfId="39">
      <calculatedColumnFormula>-$Y$29/LN((Table131537[[#This Row],[G 20min]]-1)/(Table131537[[#This Row],[G 20min]]*$Z$26-$Z$27))</calculatedColumnFormula>
    </tableColumn>
  </tableColumns>
  <tableStyleInfo name="TableStyleLight17" showFirstColumn="0" showLastColumn="0" showRowStripes="1" showColumnStripes="0"/>
</table>
</file>

<file path=xl/tables/table37.xml><?xml version="1.0" encoding="utf-8"?>
<table xmlns="http://schemas.openxmlformats.org/spreadsheetml/2006/main" id="37" name="Table413162638" displayName="Table413162638" ref="A30:K52" totalsRowShown="0" headerRowDxfId="25" dataDxfId="24">
  <tableColumns count="11">
    <tableColumn id="1" name="Código" dataDxfId="36"/>
    <tableColumn id="2" name="2 - Pre" dataDxfId="35">
      <calculatedColumnFormula>B2/B2</calculatedColumnFormula>
    </tableColumn>
    <tableColumn id="3" name="10 - pre" dataDxfId="34">
      <calculatedColumnFormula>C2/B2</calculatedColumnFormula>
    </tableColumn>
    <tableColumn id="7" name="2 - Post 5min" dataDxfId="33">
      <calculatedColumnFormula>D2/D2</calculatedColumnFormula>
    </tableColumn>
    <tableColumn id="8" name="10 - Post 5min" dataDxfId="32">
      <calculatedColumnFormula>E2/D2</calculatedColumnFormula>
    </tableColumn>
    <tableColumn id="9" name="2 - Post 10min" dataDxfId="31">
      <calculatedColumnFormula>F2/F2</calculatedColumnFormula>
    </tableColumn>
    <tableColumn id="10" name="10 - Post 10min" dataDxfId="30">
      <calculatedColumnFormula>G2/F2</calculatedColumnFormula>
    </tableColumn>
    <tableColumn id="11" name="2 - Post 15min" dataDxfId="29">
      <calculatedColumnFormula>H2/H2</calculatedColumnFormula>
    </tableColumn>
    <tableColumn id="12" name="10 - Post 15min" dataDxfId="28">
      <calculatedColumnFormula>I2/H2</calculatedColumnFormula>
    </tableColumn>
    <tableColumn id="13" name="2 - Post 20min" dataDxfId="27">
      <calculatedColumnFormula>J2/J2</calculatedColumnFormula>
    </tableColumn>
    <tableColumn id="14" name="10 - Post 20min" dataDxfId="26">
      <calculatedColumnFormula>K2/J2</calculatedColumnFormula>
    </tableColumn>
  </tableColumns>
  <tableStyleInfo name="TableStyleLight2" showFirstColumn="0" showLastColumn="0" showRowStripes="1" showColumnStripes="0"/>
</table>
</file>

<file path=xl/tables/table38.xml><?xml version="1.0" encoding="utf-8"?>
<table xmlns="http://schemas.openxmlformats.org/spreadsheetml/2006/main" id="38" name="Table13172739" displayName="Table13172739" ref="X30:AG52" totalsRowShown="0" headerRowDxfId="13" dataDxfId="12">
  <tableColumns count="10">
    <tableColumn id="1" name="G Pre" dataDxfId="23">
      <calculatedColumnFormula>1*$Y$27/(Table2841[[#This Row],[S10 pre]]*$Y$26)</calculatedColumnFormula>
    </tableColumn>
    <tableColumn id="2" name="G 5min" dataDxfId="22">
      <calculatedColumnFormula>1*$Y$27/(Table2841[[#This Row],[S10 5 min]]*$Y$26)</calculatedColumnFormula>
    </tableColumn>
    <tableColumn id="3" name="G 10min" dataDxfId="21">
      <calculatedColumnFormula>1*$Y$27/(Table2841[[#This Row],[S 10]]*$Y$26)</calculatedColumnFormula>
    </tableColumn>
    <tableColumn id="4" name="G 15min" dataDxfId="20">
      <calculatedColumnFormula>1*$Y$27/(Table2841[[#This Row],[S 15]]*$Y$26)</calculatedColumnFormula>
    </tableColumn>
    <tableColumn id="5" name="G 20min" dataDxfId="19">
      <calculatedColumnFormula>1*$Y$27/(Table2841[[#This Row],[S 20]]*$Y$26)</calculatedColumnFormula>
    </tableColumn>
    <tableColumn id="6" name="T1 pre" dataDxfId="18">
      <calculatedColumnFormula>-$Y$29/LN((Table13172739[[#This Row],[G Pre]]-1)/(Table13172739[[#This Row],[G Pre]]*$Z$26-$Z$27))</calculatedColumnFormula>
    </tableColumn>
    <tableColumn id="7" name="T1 5min" dataDxfId="17">
      <calculatedColumnFormula>-$Y$29/LN((Table13172739[[#This Row],[G 5min]]-1)/(Table13172739[[#This Row],[G 5min]]*$Z$26-$Z$27))</calculatedColumnFormula>
    </tableColumn>
    <tableColumn id="8" name="T1 10min" dataDxfId="16">
      <calculatedColumnFormula>-$Y$29/LN((Table13172739[[#This Row],[G 10min]]-1)/(Table13172739[[#This Row],[G 10min]]*$Z$26-$Z$27))</calculatedColumnFormula>
    </tableColumn>
    <tableColumn id="9" name="T1 15min" dataDxfId="15">
      <calculatedColumnFormula>-$Y$29/LN((Table13172739[[#This Row],[G 15min]]-1)/(Table13172739[[#This Row],[G 15min]]*$Z$26-$Z$27))</calculatedColumnFormula>
    </tableColumn>
    <tableColumn id="10" name="T1 20min" dataDxfId="14">
      <calculatedColumnFormula>-$Y$29/LN((Table13172739[[#This Row],[G 20min]]-1)/(Table13172739[[#This Row],[G 20min]]*$Z$26-$Z$27))</calculatedColumnFormula>
    </tableColumn>
  </tableColumns>
  <tableStyleInfo name="TableStyleLight17" showFirstColumn="0" showLastColumn="0" showRowStripes="1" showColumnStripes="0"/>
</table>
</file>

<file path=xl/tables/table39.xml><?xml version="1.0" encoding="utf-8"?>
<table xmlns="http://schemas.openxmlformats.org/spreadsheetml/2006/main" id="39" name="Table172840" displayName="Table172840" ref="AI1:BE6" totalsRowShown="0">
  <autoFilter ref="AI1:BE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2" name="Table413" displayName="Table413" ref="A1:K23" totalsRowShown="0" headerRowDxfId="391" dataDxfId="390">
  <tableColumns count="11">
    <tableColumn id="1" name="Código" dataDxfId="389"/>
    <tableColumn id="2" name="2 - Pre" dataDxfId="388">
      <calculatedColumnFormula>Table1[[#This Row],[2 - Pre]]/Table1[[#This Row],[Rescale A_2]]</calculatedColumnFormula>
    </tableColumn>
    <tableColumn id="3" name="10 - pre" dataDxfId="387">
      <calculatedColumnFormula>Table1[[#This Row],[10 - pre]]/Table1[[#This Row],[Rescale A_10]]</calculatedColumnFormula>
    </tableColumn>
    <tableColumn id="7" name="2 - Post 5min" dataDxfId="386">
      <calculatedColumnFormula>Table1[[#This Row],[2 - Post 5min]]/Table1[[#This Row],[Rescale 2 - 5]]</calculatedColumnFormula>
    </tableColumn>
    <tableColumn id="8" name="10 - Post 5min" dataDxfId="385">
      <calculatedColumnFormula>Table1[[#This Row],[10 - Post 5min]]/Table1[[#This Row],[Rescale 10 - 5]]</calculatedColumnFormula>
    </tableColumn>
    <tableColumn id="9" name="2 - Post 10min" dataDxfId="384">
      <calculatedColumnFormula>Table1[[#This Row],[2 - Post 10min]]/Table1[[#This Row],[Rescale 2 - 10]]</calculatedColumnFormula>
    </tableColumn>
    <tableColumn id="10" name="10 - Post 10min" dataDxfId="383">
      <calculatedColumnFormula>Table1[[#This Row],[10 - Post 10min]]/Table1[[#This Row],[Rescale 10 - 10]]</calculatedColumnFormula>
    </tableColumn>
    <tableColumn id="11" name="2 - Post 15min" dataDxfId="382">
      <calculatedColumnFormula>Table1[[#This Row],[2 - Post 15min]]/Table1[[#This Row],[Rescale 2 - 15]]</calculatedColumnFormula>
    </tableColumn>
    <tableColumn id="12" name="10 - Post 15min" dataDxfId="381">
      <calculatedColumnFormula>Table1[[#This Row],[10 - Post 15min]]/Table1[[#This Row],[Rescale 10 - 15]]</calculatedColumnFormula>
    </tableColumn>
    <tableColumn id="13" name="2 - Post 20min" dataDxfId="380">
      <calculatedColumnFormula>Table1[[#This Row],[2 - Post 20min]]/Table1[[#This Row],[Rescale 2 - 20]]</calculatedColumnFormula>
    </tableColumn>
    <tableColumn id="14" name="10 - Post 20min" dataDxfId="379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40.xml><?xml version="1.0" encoding="utf-8"?>
<table xmlns="http://schemas.openxmlformats.org/spreadsheetml/2006/main" id="40" name="Table2841" displayName="Table2841" ref="M30:V52" totalsRowShown="0" headerRowDxfId="1" dataDxfId="0">
  <tableColumns count="10">
    <tableColumn id="1" name="Factor Pre" dataDxfId="11">
      <calculatedColumnFormula>Table413162638[[#This Row],[10 - pre]]/$M$25</calculatedColumnFormula>
    </tableColumn>
    <tableColumn id="2" name="S10 pre" dataDxfId="10">
      <calculatedColumnFormula>Table413162638[[#This Row],[10 - pre]]/$M$32</calculatedColumnFormula>
    </tableColumn>
    <tableColumn id="3" name="Factor Pos 5" dataDxfId="9">
      <calculatedColumnFormula>Table413162638[[#This Row],[10 - Post 5min]]/$M$26</calculatedColumnFormula>
    </tableColumn>
    <tableColumn id="4" name="S10 5 min" dataDxfId="8">
      <calculatedColumnFormula>Table413162638[[#This Row],[10 - Post 5min]]/$O$32</calculatedColumnFormula>
    </tableColumn>
    <tableColumn id="9" name="Factor 10" dataDxfId="7">
      <calculatedColumnFormula>Table413162638[[#This Row],[10 - Post 10min]]/$M$26</calculatedColumnFormula>
    </tableColumn>
    <tableColumn id="11" name="S 10" dataDxfId="6">
      <calculatedColumnFormula>Table413162638[[#This Row],[10 - Post 10min]]/$Q$32</calculatedColumnFormula>
    </tableColumn>
    <tableColumn id="10" name="Factor 15 " dataDxfId="5">
      <calculatedColumnFormula>Table413162638[[#This Row],[10 - Post 15min]]/$M$26</calculatedColumnFormula>
    </tableColumn>
    <tableColumn id="8" name="S 15" dataDxfId="4">
      <calculatedColumnFormula>Table413162638[[#This Row],[10 - Post 15min]]/$S$32</calculatedColumnFormula>
    </tableColumn>
    <tableColumn id="5" name="Factor 20" dataDxfId="3">
      <calculatedColumnFormula>Table413162638[[#This Row],[10 - Post 20min]]/$M$26</calculatedColumnFormula>
    </tableColumn>
    <tableColumn id="6" name="S 20" dataDxfId="2">
      <calculatedColumnFormula>Table413162638[[#This Row],[10 - Post 20min]]/$U$32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le13" displayName="Table13" ref="M1:V23" totalsRowShown="0" headerRowDxfId="378" dataDxfId="377">
  <tableColumns count="10">
    <tableColumn id="1" name="G Pre" dataDxfId="376">
      <calculatedColumnFormula>Table413[[#This Row],[2 - Pre]]*$N$27/(Table413[[#This Row],[10 - pre]]*$N$26)</calculatedColumnFormula>
    </tableColumn>
    <tableColumn id="2" name="G 5min" dataDxfId="375">
      <calculatedColumnFormula>Table413[[#This Row],[2 - Post 5min]]*$N$27/(Table413[[#This Row],[10 - Post 5min]]*$N$26)</calculatedColumnFormula>
    </tableColumn>
    <tableColumn id="3" name="G 10min" dataDxfId="374">
      <calculatedColumnFormula>Table413[[#This Row],[2 - Post 10min]]*$N$27/(Table413[[#This Row],[10 - Post 10min]]*$N$26)</calculatedColumnFormula>
    </tableColumn>
    <tableColumn id="4" name="G 15min" dataDxfId="373">
      <calculatedColumnFormula>Table413[[#This Row],[2 - Post 15min]]*$N$27/(Table413[[#This Row],[10 - Post 15min]]*$N$26)</calculatedColumnFormula>
    </tableColumn>
    <tableColumn id="5" name="G 20min" dataDxfId="372">
      <calculatedColumnFormula>Table413[[#This Row],[2 - Post 20min]]*$N$27/(Table413[[#This Row],[10 - Post 20min]]*$N$26)</calculatedColumnFormula>
    </tableColumn>
    <tableColumn id="6" name="T1 pre" dataDxfId="371">
      <calculatedColumnFormula>-$N$29/LN((Table13[[#This Row],[G Pre]]-1)/(Table13[[#This Row],[G Pre]]*$O$26-$O$27))</calculatedColumnFormula>
    </tableColumn>
    <tableColumn id="7" name="T1 5min" dataDxfId="370">
      <calculatedColumnFormula>-$N$29/LN((Table13[[#This Row],[G 5min]]-1)/(Table13[[#This Row],[G 5min]]*$O$26-$O$27))</calculatedColumnFormula>
    </tableColumn>
    <tableColumn id="8" name="T1 10min" dataDxfId="369">
      <calculatedColumnFormula>-$N$29/LN((Table13[[#This Row],[G 10min]]-1)/(Table13[[#This Row],[G 10min]]*$O$26-$O$27))</calculatedColumnFormula>
    </tableColumn>
    <tableColumn id="9" name="T1 15min" dataDxfId="368">
      <calculatedColumnFormula>-$N$29/LN((Table13[[#This Row],[G 15min]]-1)/(Table13[[#This Row],[G 15min]]*$O$26-$O$27))</calculatedColumnFormula>
    </tableColumn>
    <tableColumn id="10" name="T1 20min" dataDxfId="367">
      <calculatedColumnFormula>-$N$29/LN((Table13[[#This Row],[G 20min]]-1)/(Table13[[#This Row],[G 20min]]*$O$26-$O$27))</calculatedColumnFormula>
    </tableColumn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15" name="Table41316" displayName="Table41316" ref="A30:K52" totalsRowShown="0" headerRowDxfId="366" dataDxfId="365">
  <tableColumns count="11">
    <tableColumn id="1" name="Código" dataDxfId="364"/>
    <tableColumn id="2" name="2 - Pre" dataDxfId="363">
      <calculatedColumnFormula>B2/B2</calculatedColumnFormula>
    </tableColumn>
    <tableColumn id="3" name="10 - pre" dataDxfId="362">
      <calculatedColumnFormula>C2/B2</calculatedColumnFormula>
    </tableColumn>
    <tableColumn id="7" name="2 - Post 5min" dataDxfId="361">
      <calculatedColumnFormula>D2/D2</calculatedColumnFormula>
    </tableColumn>
    <tableColumn id="8" name="10 - Post 5min" dataDxfId="360">
      <calculatedColumnFormula>E2/D2</calculatedColumnFormula>
    </tableColumn>
    <tableColumn id="9" name="2 - Post 10min" dataDxfId="359">
      <calculatedColumnFormula>F2/F2</calculatedColumnFormula>
    </tableColumn>
    <tableColumn id="10" name="10 - Post 10min" dataDxfId="358">
      <calculatedColumnFormula>G2/F2</calculatedColumnFormula>
    </tableColumn>
    <tableColumn id="11" name="2 - Post 15min" dataDxfId="357">
      <calculatedColumnFormula>H2/H2</calculatedColumnFormula>
    </tableColumn>
    <tableColumn id="12" name="10 - Post 15min" dataDxfId="356">
      <calculatedColumnFormula>I2/H2</calculatedColumnFormula>
    </tableColumn>
    <tableColumn id="13" name="2 - Post 20min" dataDxfId="355">
      <calculatedColumnFormula>J2/J2</calculatedColumnFormula>
    </tableColumn>
    <tableColumn id="14" name="10 - Post 20min" dataDxfId="354">
      <calculatedColumnFormula>K2/J2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6" name="Table1317" displayName="Table1317" ref="M30:V52" totalsRowShown="0" headerRowDxfId="353" dataDxfId="352">
  <tableColumns count="10">
    <tableColumn id="1" name="G Pre" dataDxfId="351">
      <calculatedColumnFormula>Table41316[[#This Row],[2 - Pre]]*$N$27/(Table41316[[#This Row],[10 - pre]]*$N$26)</calculatedColumnFormula>
    </tableColumn>
    <tableColumn id="2" name="G 5min" dataDxfId="350">
      <calculatedColumnFormula>Table41316[[#This Row],[2 - Post 5min]]*$N$27/(Table41316[[#This Row],[10 - Post 5min]]*$N$26)</calculatedColumnFormula>
    </tableColumn>
    <tableColumn id="3" name="G 10min" dataDxfId="349">
      <calculatedColumnFormula>Table41316[[#This Row],[2 - Post 10min]]*$N$27/(Table41316[[#This Row],[10 - Post 10min]]*$N$26)</calculatedColumnFormula>
    </tableColumn>
    <tableColumn id="4" name="G 15min" dataDxfId="348">
      <calculatedColumnFormula>Table41316[[#This Row],[2 - Post 15min]]*$N$27/(Table41316[[#This Row],[10 - Post 15min]]*$N$26)</calculatedColumnFormula>
    </tableColumn>
    <tableColumn id="5" name="G 20min" dataDxfId="347">
      <calculatedColumnFormula>Table41316[[#This Row],[2 - Post 20min]]*$N$27/(Table41316[[#This Row],[10 - Post 20min]]*$N$26)</calculatedColumnFormula>
    </tableColumn>
    <tableColumn id="6" name="T1 pre" dataDxfId="346">
      <calculatedColumnFormula>-$N$29/LN((Table1317[[#This Row],[G Pre]]-1)/(Table1317[[#This Row],[G Pre]]*$O$26-$O$27))</calculatedColumnFormula>
    </tableColumn>
    <tableColumn id="7" name="T1 5min" dataDxfId="345">
      <calculatedColumnFormula>-$N$29/LN((Table1317[[#This Row],[G 5min]]-1)/(Table1317[[#This Row],[G 5min]]*$O$26-$O$27))</calculatedColumnFormula>
    </tableColumn>
    <tableColumn id="8" name="T1 10min" dataDxfId="344">
      <calculatedColumnFormula>-$N$29/LN((Table1317[[#This Row],[G 10min]]-1)/(Table1317[[#This Row],[G 10min]]*$O$26-$O$27))</calculatedColumnFormula>
    </tableColumn>
    <tableColumn id="9" name="T1 15min" dataDxfId="343">
      <calculatedColumnFormula>-$N$29/LN((Table1317[[#This Row],[G 15min]]-1)/(Table1317[[#This Row],[G 15min]]*$O$26-$O$27))</calculatedColumnFormula>
    </tableColumn>
    <tableColumn id="10" name="T1 20min" dataDxfId="342">
      <calculatedColumnFormula>-$N$29/LN((Table1317[[#This Row],[G 20min]]-1)/(Table1317[[#This Row],[G 20min]]*$O$26-$O$27))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2" name="Table43" displayName="Table43" ref="A1:K23" totalsRowShown="0" headerRowDxfId="341" dataDxfId="340">
  <tableColumns count="11">
    <tableColumn id="1" name="Código" dataDxfId="339"/>
    <tableColumn id="2" name="2 - Pre" dataDxfId="338">
      <calculatedColumnFormula>Table1[[#This Row],[2 - Pre]]/Table1[[#This Row],[Rescale A_2]]</calculatedColumnFormula>
    </tableColumn>
    <tableColumn id="3" name="10 - pre" dataDxfId="337">
      <calculatedColumnFormula>Table1[[#This Row],[10 - pre]]/Table1[[#This Row],[Rescale A_10]]</calculatedColumnFormula>
    </tableColumn>
    <tableColumn id="7" name="2 - Post 5min" dataDxfId="336">
      <calculatedColumnFormula>Table1[[#This Row],[2 - Post 5min]]/Table1[[#This Row],[Rescale 2 - 5]]</calculatedColumnFormula>
    </tableColumn>
    <tableColumn id="8" name="10 - Post 5min" dataDxfId="335">
      <calculatedColumnFormula>Table1[[#This Row],[10 - Post 5min]]/Table1[[#This Row],[Rescale 10 - 5]]</calculatedColumnFormula>
    </tableColumn>
    <tableColumn id="9" name="2 - Post 10min" dataDxfId="334">
      <calculatedColumnFormula>Table1[[#This Row],[2 - Post 10min]]/Table1[[#This Row],[Rescale 2 - 10]]</calculatedColumnFormula>
    </tableColumn>
    <tableColumn id="10" name="10 - Post 10min" dataDxfId="333">
      <calculatedColumnFormula>Table1[[#This Row],[10 - Post 10min]]/Table1[[#This Row],[Rescale 10 - 10]]</calculatedColumnFormula>
    </tableColumn>
    <tableColumn id="11" name="2 - Post 15min" dataDxfId="332">
      <calculatedColumnFormula>Table1[[#This Row],[2 - Post 15min]]/Table1[[#This Row],[Rescale 2 - 15]]</calculatedColumnFormula>
    </tableColumn>
    <tableColumn id="12" name="10 - Post 15min" dataDxfId="331">
      <calculatedColumnFormula>Table1[[#This Row],[10 - Post 15min]]/Table1[[#This Row],[Rescale 10 - 15]]</calculatedColumnFormula>
    </tableColumn>
    <tableColumn id="13" name="2 - Post 20min" dataDxfId="330">
      <calculatedColumnFormula>Table1[[#This Row],[2 - Post 20min]]/Table1[[#This Row],[Rescale 2 - 20]]</calculatedColumnFormula>
    </tableColumn>
    <tableColumn id="14" name="10 - Post 20min" dataDxfId="329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V23" sqref="V23"/>
    </sheetView>
  </sheetViews>
  <sheetFormatPr defaultRowHeight="15"/>
  <cols>
    <col min="1" max="1" width="9.5703125" style="2" bestFit="1" customWidth="1"/>
    <col min="2" max="2" width="11.42578125" style="2" bestFit="1" customWidth="1"/>
    <col min="3" max="3" width="16.7109375" style="2" hidden="1" customWidth="1"/>
    <col min="4" max="4" width="12.42578125" style="3" bestFit="1" customWidth="1"/>
    <col min="5" max="5" width="17.7109375" style="3" hidden="1" customWidth="1"/>
    <col min="6" max="6" width="11.140625" style="3" bestFit="1" customWidth="1"/>
    <col min="7" max="7" width="12.140625" style="3" bestFit="1" customWidth="1"/>
    <col min="8" max="9" width="12.140625" style="3" customWidth="1"/>
    <col min="10" max="10" width="11.85546875" style="3" bestFit="1" customWidth="1"/>
    <col min="11" max="11" width="12.85546875" style="2" bestFit="1" customWidth="1"/>
    <col min="12" max="13" width="12.85546875" style="2" customWidth="1"/>
    <col min="14" max="14" width="12.85546875" style="3" bestFit="1" customWidth="1"/>
    <col min="15" max="15" width="14" style="3" bestFit="1" customWidth="1"/>
    <col min="16" max="17" width="14" style="3" customWidth="1"/>
    <col min="18" max="18" width="12.85546875" style="3" bestFit="1" customWidth="1"/>
    <col min="19" max="19" width="14" style="3" bestFit="1" customWidth="1"/>
    <col min="20" max="21" width="14" style="3" customWidth="1"/>
    <col min="22" max="22" width="12.85546875" style="3" bestFit="1" customWidth="1"/>
    <col min="23" max="23" width="13.7109375" style="3" bestFit="1" customWidth="1"/>
    <col min="24" max="24" width="12.42578125" style="3" bestFit="1" customWidth="1"/>
    <col min="25" max="25" width="13.5703125" style="3" bestFit="1" customWidth="1"/>
    <col min="26" max="16384" width="9.140625" style="3"/>
  </cols>
  <sheetData>
    <row r="1" spans="1:32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37</v>
      </c>
      <c r="G1" s="2" t="s">
        <v>36</v>
      </c>
      <c r="H1" s="2" t="s">
        <v>66</v>
      </c>
      <c r="I1" s="2" t="s">
        <v>67</v>
      </c>
      <c r="J1" s="2" t="s">
        <v>40</v>
      </c>
      <c r="K1" s="2" t="s">
        <v>41</v>
      </c>
      <c r="L1" s="2" t="s">
        <v>68</v>
      </c>
      <c r="M1" s="2" t="s">
        <v>69</v>
      </c>
      <c r="N1" s="2" t="s">
        <v>42</v>
      </c>
      <c r="O1" s="2" t="s">
        <v>43</v>
      </c>
      <c r="P1" s="2" t="s">
        <v>70</v>
      </c>
      <c r="Q1" s="2" t="s">
        <v>71</v>
      </c>
      <c r="R1" s="2" t="s">
        <v>44</v>
      </c>
      <c r="S1" s="2" t="s">
        <v>45</v>
      </c>
      <c r="T1" s="2" t="s">
        <v>72</v>
      </c>
      <c r="U1" s="2" t="s">
        <v>73</v>
      </c>
      <c r="V1" s="2" t="s">
        <v>46</v>
      </c>
      <c r="W1" s="2" t="s">
        <v>47</v>
      </c>
      <c r="X1" s="2"/>
      <c r="Y1" s="2"/>
    </row>
    <row r="2" spans="1:32">
      <c r="A2" s="2" t="s">
        <v>1</v>
      </c>
      <c r="B2" s="2">
        <v>14.9</v>
      </c>
      <c r="C2" s="2">
        <v>0</v>
      </c>
      <c r="D2" s="2">
        <v>5.0999999999999996</v>
      </c>
      <c r="E2" s="2">
        <v>0</v>
      </c>
      <c r="F2" s="2">
        <v>48.591999999999999</v>
      </c>
      <c r="G2" s="2">
        <v>192.202</v>
      </c>
      <c r="H2" s="2">
        <v>8.14</v>
      </c>
      <c r="I2" s="2">
        <v>2.81</v>
      </c>
      <c r="J2" s="2">
        <v>110.75</v>
      </c>
      <c r="K2" s="2">
        <v>369.14</v>
      </c>
      <c r="L2" s="2">
        <v>7.4</v>
      </c>
      <c r="M2" s="2">
        <v>2.77</v>
      </c>
      <c r="N2" s="2">
        <v>114.11</v>
      </c>
      <c r="O2" s="2">
        <v>394.21</v>
      </c>
      <c r="P2" s="2">
        <v>13.37</v>
      </c>
      <c r="Q2" s="2">
        <v>2.4300000000000002</v>
      </c>
      <c r="R2" s="2">
        <v>66.77</v>
      </c>
      <c r="S2" s="2">
        <v>395.52</v>
      </c>
      <c r="T2" s="2">
        <v>7.35</v>
      </c>
      <c r="U2" s="2">
        <v>1.85</v>
      </c>
      <c r="V2" s="2">
        <v>113.24</v>
      </c>
      <c r="W2" s="2">
        <v>398.33</v>
      </c>
      <c r="X2" s="2"/>
      <c r="Y2" s="2"/>
      <c r="AB2" s="3">
        <v>1</v>
      </c>
      <c r="AC2" s="3">
        <f t="shared" ref="AC2:AC18" si="0">$AF$2*AB2</f>
        <v>2</v>
      </c>
      <c r="AD2" s="3">
        <f t="shared" ref="AD2:AD18" si="1">$AF$3*AB2</f>
        <v>3</v>
      </c>
      <c r="AE2" s="7" t="s">
        <v>30</v>
      </c>
      <c r="AF2" s="8">
        <v>2</v>
      </c>
    </row>
    <row r="3" spans="1:32">
      <c r="A3" s="2" t="s">
        <v>2</v>
      </c>
      <c r="B3" s="2">
        <v>8.9700000000000006</v>
      </c>
      <c r="C3" s="2">
        <v>0</v>
      </c>
      <c r="D3" s="2">
        <v>5.3</v>
      </c>
      <c r="E3" s="2">
        <v>0</v>
      </c>
      <c r="F3" s="4">
        <v>109.97</v>
      </c>
      <c r="G3" s="4">
        <v>248.54</v>
      </c>
      <c r="H3" s="4">
        <v>8.61</v>
      </c>
      <c r="I3" s="4">
        <v>3.09</v>
      </c>
      <c r="J3" s="2">
        <v>136.94</v>
      </c>
      <c r="K3" s="2">
        <v>435.86</v>
      </c>
      <c r="L3" s="2">
        <v>7.25</v>
      </c>
      <c r="M3" s="2">
        <v>2.95</v>
      </c>
      <c r="N3" s="2">
        <v>142.31</v>
      </c>
      <c r="O3" s="2">
        <v>475.13</v>
      </c>
      <c r="P3" s="2">
        <v>7.82</v>
      </c>
      <c r="Q3" s="2">
        <v>2.8</v>
      </c>
      <c r="R3" s="2">
        <v>140.68</v>
      </c>
      <c r="S3" s="2">
        <v>485.74</v>
      </c>
      <c r="T3" s="2">
        <v>7.46</v>
      </c>
      <c r="U3" s="2">
        <v>2.0499999999999998</v>
      </c>
      <c r="V3" s="2">
        <v>143.66</v>
      </c>
      <c r="W3" s="2">
        <v>477.87</v>
      </c>
      <c r="X3" s="4"/>
      <c r="Y3" s="2"/>
      <c r="AB3" s="3">
        <v>10</v>
      </c>
      <c r="AC3" s="3">
        <f t="shared" si="0"/>
        <v>20</v>
      </c>
      <c r="AD3" s="3">
        <f t="shared" si="1"/>
        <v>30</v>
      </c>
      <c r="AE3" s="7" t="s">
        <v>31</v>
      </c>
      <c r="AF3" s="8">
        <v>3</v>
      </c>
    </row>
    <row r="4" spans="1:32">
      <c r="A4" s="2" t="s">
        <v>3</v>
      </c>
      <c r="B4" s="2">
        <v>11.16</v>
      </c>
      <c r="C4" s="2">
        <v>0</v>
      </c>
      <c r="D4" s="2">
        <v>4.96</v>
      </c>
      <c r="E4" s="2">
        <v>0</v>
      </c>
      <c r="F4" s="4">
        <v>97.42</v>
      </c>
      <c r="G4" s="4">
        <v>220.05</v>
      </c>
      <c r="H4" s="4">
        <v>8.57</v>
      </c>
      <c r="I4" s="4">
        <v>3.82</v>
      </c>
      <c r="J4" s="2">
        <v>126.53</v>
      </c>
      <c r="K4" s="2">
        <v>216.02</v>
      </c>
      <c r="L4" s="2">
        <v>9.61</v>
      </c>
      <c r="M4" s="2">
        <v>2.4</v>
      </c>
      <c r="N4" s="2">
        <v>126.78</v>
      </c>
      <c r="O4" s="2">
        <v>394.59</v>
      </c>
      <c r="P4" s="2">
        <v>9.74</v>
      </c>
      <c r="Q4" s="2">
        <v>2.3199999999999998</v>
      </c>
      <c r="R4" s="2">
        <v>126.67</v>
      </c>
      <c r="S4" s="2">
        <v>398.01</v>
      </c>
      <c r="T4" s="2">
        <v>7.39</v>
      </c>
      <c r="U4" s="2">
        <v>1.99</v>
      </c>
      <c r="V4" s="2">
        <v>131.16999999999999</v>
      </c>
      <c r="W4" s="2">
        <v>396.69</v>
      </c>
      <c r="X4" s="4"/>
      <c r="Y4" s="2"/>
      <c r="AB4" s="3">
        <v>20</v>
      </c>
      <c r="AC4" s="3">
        <f t="shared" si="0"/>
        <v>40</v>
      </c>
      <c r="AD4" s="3">
        <f t="shared" si="1"/>
        <v>60</v>
      </c>
    </row>
    <row r="5" spans="1:32">
      <c r="A5" s="2" t="s">
        <v>4</v>
      </c>
      <c r="B5" s="2">
        <v>10.92</v>
      </c>
      <c r="C5" s="2">
        <v>0</v>
      </c>
      <c r="D5" s="2">
        <v>5.96</v>
      </c>
      <c r="E5" s="2">
        <v>0</v>
      </c>
      <c r="F5" s="4">
        <v>94.11</v>
      </c>
      <c r="G5" s="4">
        <v>230.78</v>
      </c>
      <c r="H5" s="4">
        <v>8.73</v>
      </c>
      <c r="I5" s="4">
        <v>2.8</v>
      </c>
      <c r="J5" s="2">
        <v>125.32</v>
      </c>
      <c r="K5" s="2">
        <v>452.37</v>
      </c>
      <c r="L5" s="2">
        <v>8.89</v>
      </c>
      <c r="M5" s="2">
        <v>2.92</v>
      </c>
      <c r="N5" s="2">
        <v>124.69</v>
      </c>
      <c r="O5" s="2">
        <v>431.15</v>
      </c>
      <c r="P5" s="2">
        <v>8.99</v>
      </c>
      <c r="Q5" s="2">
        <v>2.37</v>
      </c>
      <c r="R5" s="2">
        <v>122.04</v>
      </c>
      <c r="S5" s="2">
        <v>465.22</v>
      </c>
      <c r="T5" s="2">
        <v>10.050000000000001</v>
      </c>
      <c r="U5" s="2">
        <v>2.39</v>
      </c>
      <c r="V5" s="2">
        <v>122.17</v>
      </c>
      <c r="W5" s="2">
        <v>358.74</v>
      </c>
      <c r="X5" s="4"/>
      <c r="Y5" s="2"/>
      <c r="AB5" s="3">
        <v>30</v>
      </c>
      <c r="AC5" s="3">
        <f t="shared" si="0"/>
        <v>60</v>
      </c>
      <c r="AD5" s="3">
        <f t="shared" si="1"/>
        <v>90</v>
      </c>
    </row>
    <row r="6" spans="1:32">
      <c r="A6" s="2" t="s">
        <v>5</v>
      </c>
      <c r="B6" s="2">
        <v>11.13</v>
      </c>
      <c r="C6" s="2">
        <v>0</v>
      </c>
      <c r="D6" s="2">
        <v>4.76</v>
      </c>
      <c r="E6" s="2">
        <v>0</v>
      </c>
      <c r="F6" s="4">
        <v>76.599999999999994</v>
      </c>
      <c r="G6" s="4">
        <v>156.74</v>
      </c>
      <c r="H6" s="4">
        <v>8.83</v>
      </c>
      <c r="I6" s="4">
        <v>4.38</v>
      </c>
      <c r="J6" s="10">
        <v>103.29</v>
      </c>
      <c r="K6" s="2">
        <v>320.13</v>
      </c>
      <c r="L6" s="2">
        <v>10.16</v>
      </c>
      <c r="M6" s="2">
        <v>4.3499999999999996</v>
      </c>
      <c r="N6" s="2">
        <v>104.21</v>
      </c>
      <c r="O6" s="2">
        <v>335.62</v>
      </c>
      <c r="P6" s="2">
        <v>9.57</v>
      </c>
      <c r="Q6" s="2">
        <v>2.91</v>
      </c>
      <c r="R6" s="2">
        <v>108.55</v>
      </c>
      <c r="S6" s="2">
        <v>359.97</v>
      </c>
      <c r="T6" s="2">
        <v>10.32</v>
      </c>
      <c r="U6" s="2">
        <v>2.38</v>
      </c>
      <c r="V6" s="2">
        <v>102.61</v>
      </c>
      <c r="W6" s="2">
        <v>330.78</v>
      </c>
      <c r="X6" s="4"/>
      <c r="Y6" s="2"/>
      <c r="AB6" s="3">
        <v>40</v>
      </c>
      <c r="AC6" s="3">
        <f t="shared" si="0"/>
        <v>80</v>
      </c>
      <c r="AD6" s="3">
        <f t="shared" si="1"/>
        <v>120</v>
      </c>
    </row>
    <row r="7" spans="1:32">
      <c r="A7" s="2" t="s">
        <v>6</v>
      </c>
      <c r="B7" s="2">
        <v>7.21</v>
      </c>
      <c r="C7" s="2">
        <v>0</v>
      </c>
      <c r="D7" s="2">
        <v>4.34</v>
      </c>
      <c r="E7" s="2">
        <v>0</v>
      </c>
      <c r="F7" s="4">
        <v>114.82</v>
      </c>
      <c r="G7" s="4">
        <v>302.2</v>
      </c>
      <c r="H7" s="4">
        <v>5.56</v>
      </c>
      <c r="I7" s="4">
        <v>2.0499999999999998</v>
      </c>
      <c r="J7" s="2">
        <v>178.14</v>
      </c>
      <c r="K7" s="2">
        <v>501.2</v>
      </c>
      <c r="L7" s="2">
        <v>5.99</v>
      </c>
      <c r="M7" s="2">
        <v>2.25</v>
      </c>
      <c r="N7" s="2">
        <v>179.82</v>
      </c>
      <c r="O7" s="2">
        <v>510.5</v>
      </c>
      <c r="P7" s="2">
        <v>6.34</v>
      </c>
      <c r="Q7" s="2">
        <v>2.2999999999999998</v>
      </c>
      <c r="R7" s="2">
        <v>170.27</v>
      </c>
      <c r="S7" s="2">
        <v>517.41999999999996</v>
      </c>
      <c r="T7" s="2">
        <v>5.63</v>
      </c>
      <c r="U7" s="2">
        <v>2.3199999999999998</v>
      </c>
      <c r="V7" s="2">
        <v>184.94</v>
      </c>
      <c r="W7" s="2">
        <v>515.29999999999995</v>
      </c>
      <c r="X7" s="4"/>
      <c r="Y7" s="2"/>
      <c r="AB7" s="3">
        <v>50</v>
      </c>
      <c r="AC7" s="3">
        <f t="shared" si="0"/>
        <v>100</v>
      </c>
      <c r="AD7" s="3">
        <f t="shared" si="1"/>
        <v>150</v>
      </c>
    </row>
    <row r="8" spans="1:32">
      <c r="A8" s="2" t="s">
        <v>7</v>
      </c>
      <c r="B8" s="2">
        <v>7.92</v>
      </c>
      <c r="C8" s="2">
        <v>0</v>
      </c>
      <c r="D8" s="2">
        <v>5.75</v>
      </c>
      <c r="E8" s="2">
        <v>0</v>
      </c>
      <c r="F8" s="4">
        <v>101.2</v>
      </c>
      <c r="G8" s="4">
        <v>196</v>
      </c>
      <c r="H8" s="4">
        <v>7.34</v>
      </c>
      <c r="I8" s="4">
        <v>3.49</v>
      </c>
      <c r="J8" s="2">
        <v>137.26</v>
      </c>
      <c r="K8" s="2">
        <v>392.05</v>
      </c>
      <c r="L8" s="2">
        <v>8.73</v>
      </c>
      <c r="M8" s="2">
        <v>3.2</v>
      </c>
      <c r="N8" s="2">
        <v>132.77000000000001</v>
      </c>
      <c r="O8" s="2">
        <v>405.82</v>
      </c>
      <c r="P8" s="2">
        <v>8.44</v>
      </c>
      <c r="Q8" s="2">
        <v>3.7</v>
      </c>
      <c r="R8" s="2">
        <v>133.47999999999999</v>
      </c>
      <c r="S8" s="2">
        <v>410.74</v>
      </c>
      <c r="T8" s="2">
        <v>8.6199999999999992</v>
      </c>
      <c r="U8" s="2">
        <v>3.13</v>
      </c>
      <c r="V8" s="2">
        <v>142.05000000000001</v>
      </c>
      <c r="W8" s="2">
        <v>426.93</v>
      </c>
      <c r="X8" s="4"/>
      <c r="Y8" s="2"/>
      <c r="AB8" s="3">
        <v>60</v>
      </c>
      <c r="AC8" s="3">
        <f t="shared" si="0"/>
        <v>120</v>
      </c>
      <c r="AD8" s="3">
        <f t="shared" si="1"/>
        <v>180</v>
      </c>
    </row>
    <row r="9" spans="1:32">
      <c r="A9" s="2" t="s">
        <v>8</v>
      </c>
      <c r="B9" s="2">
        <v>9.75</v>
      </c>
      <c r="C9" s="2">
        <v>0</v>
      </c>
      <c r="D9" s="2">
        <v>4.97</v>
      </c>
      <c r="E9" s="2">
        <v>0</v>
      </c>
      <c r="F9" s="4">
        <v>101.28</v>
      </c>
      <c r="G9" s="4">
        <v>238.71</v>
      </c>
      <c r="H9" s="4">
        <v>7.45</v>
      </c>
      <c r="I9" s="4">
        <v>3.03</v>
      </c>
      <c r="J9" s="2">
        <v>140.19999999999999</v>
      </c>
      <c r="K9" s="2">
        <v>460.25</v>
      </c>
      <c r="L9" s="2">
        <v>7.89</v>
      </c>
      <c r="M9" s="2">
        <v>3.22</v>
      </c>
      <c r="N9" s="2">
        <v>140.28</v>
      </c>
      <c r="O9" s="2">
        <v>492.18</v>
      </c>
      <c r="P9" s="2">
        <v>7.66</v>
      </c>
      <c r="Q9" s="2">
        <v>2.4900000000000002</v>
      </c>
      <c r="R9" s="2">
        <v>140.86000000000001</v>
      </c>
      <c r="S9" s="2">
        <v>505.6</v>
      </c>
      <c r="T9" s="2">
        <v>8.25</v>
      </c>
      <c r="U9" s="2">
        <v>2.48</v>
      </c>
      <c r="V9" s="2">
        <v>139.9</v>
      </c>
      <c r="W9" s="2">
        <v>519.01</v>
      </c>
      <c r="X9" s="4"/>
      <c r="Y9" s="2"/>
      <c r="AB9" s="3">
        <v>70</v>
      </c>
      <c r="AC9" s="3">
        <f t="shared" si="0"/>
        <v>140</v>
      </c>
      <c r="AD9" s="3">
        <f t="shared" si="1"/>
        <v>210</v>
      </c>
    </row>
    <row r="10" spans="1:32">
      <c r="A10" s="2" t="s">
        <v>9</v>
      </c>
      <c r="B10" s="2">
        <v>7.31</v>
      </c>
      <c r="C10" s="2">
        <v>0</v>
      </c>
      <c r="D10" s="2">
        <v>3.73</v>
      </c>
      <c r="E10" s="2">
        <v>0</v>
      </c>
      <c r="F10" s="4">
        <v>149.77000000000001</v>
      </c>
      <c r="G10" s="4">
        <v>310.39999999999998</v>
      </c>
      <c r="H10" s="4">
        <v>5.97</v>
      </c>
      <c r="I10" s="4">
        <v>1.96</v>
      </c>
      <c r="J10" s="10">
        <v>194.82</v>
      </c>
      <c r="K10" s="10">
        <v>188.4</v>
      </c>
      <c r="L10" s="11">
        <v>6.53</v>
      </c>
      <c r="M10" s="11">
        <v>2.2000000000000002</v>
      </c>
      <c r="N10" s="2">
        <v>200.99</v>
      </c>
      <c r="O10" s="2">
        <v>693.56</v>
      </c>
      <c r="P10" s="2">
        <v>6.38</v>
      </c>
      <c r="Q10" s="2">
        <v>1.76</v>
      </c>
      <c r="R10" s="2">
        <v>196.33</v>
      </c>
      <c r="S10" s="2">
        <v>717.03</v>
      </c>
      <c r="T10" s="2">
        <v>6.46</v>
      </c>
      <c r="U10" s="2">
        <v>1.22</v>
      </c>
      <c r="V10" s="2">
        <v>196.46</v>
      </c>
      <c r="W10" s="2">
        <v>706.46</v>
      </c>
      <c r="X10" s="4"/>
      <c r="Y10" s="2"/>
      <c r="AB10" s="3">
        <v>80</v>
      </c>
      <c r="AC10" s="3">
        <f t="shared" si="0"/>
        <v>160</v>
      </c>
      <c r="AD10" s="3">
        <f t="shared" si="1"/>
        <v>240</v>
      </c>
    </row>
    <row r="11" spans="1:32">
      <c r="A11" s="2" t="s">
        <v>10</v>
      </c>
      <c r="B11" s="2">
        <v>8.91</v>
      </c>
      <c r="C11" s="2">
        <v>0</v>
      </c>
      <c r="D11" s="2">
        <v>5.46</v>
      </c>
      <c r="E11" s="2">
        <v>0</v>
      </c>
      <c r="F11" s="4">
        <v>120.02</v>
      </c>
      <c r="G11" s="4">
        <v>258.02999999999997</v>
      </c>
      <c r="H11" s="4">
        <v>7.44</v>
      </c>
      <c r="I11" s="4">
        <v>3.17</v>
      </c>
      <c r="J11" s="2">
        <v>151.94</v>
      </c>
      <c r="K11" s="2">
        <v>489.13</v>
      </c>
      <c r="L11" s="11">
        <v>6.73</v>
      </c>
      <c r="M11" s="11">
        <v>3.05</v>
      </c>
      <c r="N11" s="2">
        <v>153.28</v>
      </c>
      <c r="O11" s="2">
        <v>515.30999999999995</v>
      </c>
      <c r="P11" s="2">
        <v>6.38</v>
      </c>
      <c r="Q11" s="2">
        <v>1.7</v>
      </c>
      <c r="R11" s="2">
        <v>154.18</v>
      </c>
      <c r="S11" s="2">
        <v>526.28</v>
      </c>
      <c r="T11" s="2">
        <v>6.2</v>
      </c>
      <c r="U11" s="2">
        <v>1.5</v>
      </c>
      <c r="V11" s="2">
        <v>159.78</v>
      </c>
      <c r="W11" s="2">
        <v>525.88</v>
      </c>
      <c r="X11" s="4"/>
      <c r="Y11" s="2"/>
      <c r="AB11" s="3">
        <v>90</v>
      </c>
      <c r="AC11" s="3">
        <f t="shared" si="0"/>
        <v>180</v>
      </c>
      <c r="AD11" s="3">
        <f t="shared" si="1"/>
        <v>270</v>
      </c>
    </row>
    <row r="12" spans="1:32">
      <c r="A12" s="2" t="s">
        <v>11</v>
      </c>
      <c r="B12" s="2">
        <v>9.16</v>
      </c>
      <c r="C12" s="2">
        <v>0</v>
      </c>
      <c r="D12" s="2">
        <v>2.62</v>
      </c>
      <c r="E12" s="2">
        <v>0</v>
      </c>
      <c r="F12" s="4">
        <v>119.63</v>
      </c>
      <c r="G12" s="4">
        <v>223.06</v>
      </c>
      <c r="H12" s="4">
        <v>7.1</v>
      </c>
      <c r="I12" s="4">
        <v>2.58</v>
      </c>
      <c r="J12" s="2">
        <v>136.59</v>
      </c>
      <c r="K12" s="2">
        <v>331.92</v>
      </c>
      <c r="L12" s="11">
        <v>8.61</v>
      </c>
      <c r="M12" s="11">
        <v>2.6</v>
      </c>
      <c r="N12" s="2">
        <v>138.63999999999999</v>
      </c>
      <c r="O12" s="2">
        <v>345.95</v>
      </c>
      <c r="P12" s="2">
        <v>7.56</v>
      </c>
      <c r="Q12" s="2">
        <v>2.62</v>
      </c>
      <c r="R12" s="2">
        <v>139.53</v>
      </c>
      <c r="S12" s="2">
        <v>354.3</v>
      </c>
      <c r="T12" s="2">
        <v>6.82</v>
      </c>
      <c r="U12" s="2">
        <v>2.5499999999999998</v>
      </c>
      <c r="V12" s="2">
        <v>147.57</v>
      </c>
      <c r="W12" s="2">
        <v>371.01</v>
      </c>
      <c r="X12" s="4"/>
      <c r="Y12" s="2"/>
      <c r="AB12" s="3">
        <v>100</v>
      </c>
      <c r="AC12" s="3">
        <f t="shared" si="0"/>
        <v>200</v>
      </c>
      <c r="AD12" s="3">
        <f t="shared" si="1"/>
        <v>300</v>
      </c>
    </row>
    <row r="13" spans="1:32">
      <c r="A13" s="2" t="s">
        <v>12</v>
      </c>
      <c r="B13" s="2">
        <v>10.34</v>
      </c>
      <c r="C13" s="2">
        <v>0</v>
      </c>
      <c r="D13" s="2">
        <v>4.9000000000000004</v>
      </c>
      <c r="E13" s="2">
        <v>0</v>
      </c>
      <c r="F13" s="4">
        <v>107.24</v>
      </c>
      <c r="G13" s="4">
        <v>204.53</v>
      </c>
      <c r="H13" s="4">
        <v>8.16</v>
      </c>
      <c r="I13" s="4">
        <v>3.27</v>
      </c>
      <c r="J13" s="2">
        <v>153.32</v>
      </c>
      <c r="K13" s="2">
        <v>393.76</v>
      </c>
      <c r="L13" s="11">
        <v>8.83</v>
      </c>
      <c r="M13" s="11">
        <v>3.34</v>
      </c>
      <c r="N13" s="2">
        <v>156.43</v>
      </c>
      <c r="O13" s="2">
        <v>376.27</v>
      </c>
      <c r="P13" s="2">
        <v>8.76</v>
      </c>
      <c r="Q13" s="2">
        <v>2.92</v>
      </c>
      <c r="R13" s="2">
        <v>150.22</v>
      </c>
      <c r="S13" s="2">
        <v>390.48</v>
      </c>
      <c r="T13" s="2">
        <v>8.61</v>
      </c>
      <c r="U13" s="2">
        <v>2.73</v>
      </c>
      <c r="V13" s="2">
        <v>148.33000000000001</v>
      </c>
      <c r="W13" s="2">
        <v>397.68</v>
      </c>
      <c r="X13" s="4"/>
      <c r="Y13" s="2"/>
      <c r="AB13" s="3">
        <v>110</v>
      </c>
      <c r="AC13" s="3">
        <f t="shared" si="0"/>
        <v>220</v>
      </c>
      <c r="AD13" s="3">
        <f t="shared" si="1"/>
        <v>330</v>
      </c>
    </row>
    <row r="14" spans="1:32">
      <c r="A14" s="2" t="s">
        <v>13</v>
      </c>
      <c r="B14" s="2">
        <v>8.74</v>
      </c>
      <c r="C14" s="2">
        <v>0</v>
      </c>
      <c r="D14" s="2">
        <v>4.2</v>
      </c>
      <c r="E14" s="2">
        <v>0</v>
      </c>
      <c r="F14" s="4">
        <v>107.78</v>
      </c>
      <c r="G14" s="4">
        <v>242.68</v>
      </c>
      <c r="H14" s="4">
        <v>7.23</v>
      </c>
      <c r="I14" s="4">
        <v>2.83</v>
      </c>
      <c r="J14" s="10">
        <v>135.97999999999999</v>
      </c>
      <c r="K14" s="10">
        <v>464.23</v>
      </c>
      <c r="L14" s="11">
        <v>7.08</v>
      </c>
      <c r="M14" s="11">
        <v>2.89</v>
      </c>
      <c r="N14" s="11">
        <v>138.43</v>
      </c>
      <c r="O14" s="11">
        <v>424.77</v>
      </c>
      <c r="P14" s="11">
        <v>7.33</v>
      </c>
      <c r="Q14" s="11">
        <v>2.27</v>
      </c>
      <c r="R14" s="2">
        <v>140.04</v>
      </c>
      <c r="S14" s="2">
        <v>473.43</v>
      </c>
      <c r="T14" s="2">
        <v>7.25</v>
      </c>
      <c r="U14" s="2">
        <v>1.83</v>
      </c>
      <c r="V14" s="2">
        <v>132.25</v>
      </c>
      <c r="W14" s="2">
        <v>448.77</v>
      </c>
      <c r="X14" s="4"/>
      <c r="Y14" s="2"/>
      <c r="AB14" s="3">
        <v>120</v>
      </c>
      <c r="AC14" s="3">
        <f t="shared" si="0"/>
        <v>240</v>
      </c>
      <c r="AD14" s="3">
        <f t="shared" si="1"/>
        <v>360</v>
      </c>
    </row>
    <row r="15" spans="1:32">
      <c r="A15" s="2" t="s">
        <v>14</v>
      </c>
      <c r="B15" s="2">
        <v>9.89</v>
      </c>
      <c r="C15" s="2">
        <v>0</v>
      </c>
      <c r="D15" s="2">
        <v>5.14</v>
      </c>
      <c r="E15" s="2">
        <v>0</v>
      </c>
      <c r="F15" s="4">
        <v>97.77</v>
      </c>
      <c r="G15" s="4">
        <v>259.01</v>
      </c>
      <c r="H15" s="4">
        <v>8.16</v>
      </c>
      <c r="I15" s="4">
        <v>3.5</v>
      </c>
      <c r="J15" s="2">
        <v>125.62</v>
      </c>
      <c r="K15" s="2">
        <v>446.08</v>
      </c>
      <c r="L15" s="2">
        <v>8.86</v>
      </c>
      <c r="M15" s="2">
        <v>3.35</v>
      </c>
      <c r="N15" s="2">
        <v>126.07</v>
      </c>
      <c r="O15" s="2">
        <v>474.93</v>
      </c>
      <c r="P15" s="2">
        <v>9.82</v>
      </c>
      <c r="Q15" s="2">
        <v>2.56</v>
      </c>
      <c r="R15" s="2">
        <v>123.3</v>
      </c>
      <c r="S15" s="2">
        <v>478.77</v>
      </c>
      <c r="T15" s="2">
        <v>8.11</v>
      </c>
      <c r="U15" s="2">
        <v>1.87</v>
      </c>
      <c r="V15" s="2">
        <v>118.33</v>
      </c>
      <c r="W15" s="2">
        <v>444.38</v>
      </c>
      <c r="X15" s="4"/>
      <c r="Y15" s="2"/>
      <c r="AB15" s="3">
        <v>130</v>
      </c>
      <c r="AC15" s="3">
        <f t="shared" si="0"/>
        <v>260</v>
      </c>
      <c r="AD15" s="3">
        <f t="shared" si="1"/>
        <v>390</v>
      </c>
    </row>
    <row r="16" spans="1:32">
      <c r="A16" s="2" t="s">
        <v>15</v>
      </c>
      <c r="B16" s="2">
        <v>10.62</v>
      </c>
      <c r="C16" s="2">
        <v>0</v>
      </c>
      <c r="D16" s="2">
        <v>5.91</v>
      </c>
      <c r="E16" s="2">
        <v>0</v>
      </c>
      <c r="F16" s="4"/>
      <c r="G16" s="4"/>
      <c r="H16" s="4">
        <v>7.68</v>
      </c>
      <c r="I16" s="4">
        <v>1.91</v>
      </c>
      <c r="J16" s="2">
        <v>93.17</v>
      </c>
      <c r="K16" s="2">
        <v>263.92</v>
      </c>
      <c r="L16" s="2">
        <v>8.1199999999999992</v>
      </c>
      <c r="M16" s="2">
        <v>1.59</v>
      </c>
      <c r="N16" s="2">
        <v>89.77</v>
      </c>
      <c r="O16" s="2">
        <v>275.25</v>
      </c>
      <c r="P16" s="2">
        <v>7.67</v>
      </c>
      <c r="Q16" s="2">
        <v>1.58</v>
      </c>
      <c r="R16" s="2">
        <v>92.82</v>
      </c>
      <c r="S16" s="2">
        <v>273.39999999999998</v>
      </c>
      <c r="T16" s="2">
        <v>7.86</v>
      </c>
      <c r="U16" s="2">
        <v>1.7</v>
      </c>
      <c r="V16" s="2">
        <v>97.68</v>
      </c>
      <c r="W16" s="2">
        <v>278.93</v>
      </c>
      <c r="X16" s="4"/>
      <c r="Y16" s="2"/>
      <c r="AB16" s="3">
        <v>140</v>
      </c>
      <c r="AC16" s="3">
        <f t="shared" si="0"/>
        <v>280</v>
      </c>
      <c r="AD16" s="3">
        <f t="shared" si="1"/>
        <v>420</v>
      </c>
    </row>
    <row r="17" spans="1:30">
      <c r="A17" s="2" t="s">
        <v>16</v>
      </c>
      <c r="B17" s="2">
        <v>9.6</v>
      </c>
      <c r="C17" s="2">
        <v>0</v>
      </c>
      <c r="D17" s="2">
        <v>5.89</v>
      </c>
      <c r="E17" s="2">
        <v>0</v>
      </c>
      <c r="F17" s="4">
        <v>84.4</v>
      </c>
      <c r="G17" s="4">
        <v>170.57</v>
      </c>
      <c r="H17" s="4">
        <v>8.42</v>
      </c>
      <c r="I17" s="4">
        <v>3.64</v>
      </c>
      <c r="J17" s="2">
        <v>114.41</v>
      </c>
      <c r="K17" s="2">
        <v>372.31</v>
      </c>
      <c r="L17" s="2">
        <v>8.56</v>
      </c>
      <c r="M17" s="2">
        <v>3.74</v>
      </c>
      <c r="N17" s="2">
        <v>107.62</v>
      </c>
      <c r="O17" s="2">
        <v>360.74</v>
      </c>
      <c r="P17" s="2">
        <v>8.82</v>
      </c>
      <c r="Q17" s="2">
        <v>3.5</v>
      </c>
      <c r="R17" s="2">
        <v>119.05</v>
      </c>
      <c r="S17" s="2">
        <v>378.07</v>
      </c>
      <c r="T17" s="2">
        <v>8.1999999999999993</v>
      </c>
      <c r="U17" s="2">
        <v>3.34</v>
      </c>
      <c r="V17" s="2">
        <v>111.34</v>
      </c>
      <c r="W17" s="2">
        <v>367.84</v>
      </c>
      <c r="X17" s="4"/>
      <c r="Y17" s="2"/>
      <c r="AB17" s="3">
        <v>150</v>
      </c>
      <c r="AC17" s="3">
        <f t="shared" si="0"/>
        <v>300</v>
      </c>
      <c r="AD17" s="3">
        <f t="shared" si="1"/>
        <v>450</v>
      </c>
    </row>
    <row r="18" spans="1:30">
      <c r="A18" s="2" t="s">
        <v>17</v>
      </c>
      <c r="B18" s="2">
        <v>12.14</v>
      </c>
      <c r="C18" s="2">
        <v>0</v>
      </c>
      <c r="D18" s="2">
        <v>7.35</v>
      </c>
      <c r="E18" s="2">
        <v>0</v>
      </c>
      <c r="F18" s="4">
        <v>74.959999999999994</v>
      </c>
      <c r="G18" s="4">
        <v>143.88</v>
      </c>
      <c r="H18" s="4">
        <v>10.51</v>
      </c>
      <c r="I18" s="4">
        <v>4.6399999999999997</v>
      </c>
      <c r="J18" s="2">
        <v>116.95</v>
      </c>
      <c r="K18" s="2">
        <v>311.01</v>
      </c>
      <c r="L18" s="2">
        <v>10.06</v>
      </c>
      <c r="M18" s="2">
        <v>4.3899999999999997</v>
      </c>
      <c r="N18" s="2">
        <v>123.46</v>
      </c>
      <c r="O18" s="2">
        <v>340.16</v>
      </c>
      <c r="P18" s="2">
        <v>9.27</v>
      </c>
      <c r="Q18" s="2">
        <v>2.94</v>
      </c>
      <c r="R18" s="2">
        <v>112.65</v>
      </c>
      <c r="S18" s="2">
        <v>336.74</v>
      </c>
      <c r="T18" s="2">
        <v>11.03</v>
      </c>
      <c r="U18" s="2">
        <v>3.31</v>
      </c>
      <c r="V18" s="2">
        <v>115.12</v>
      </c>
      <c r="W18" s="2">
        <v>351.74</v>
      </c>
      <c r="X18" s="4"/>
      <c r="Y18" s="2"/>
      <c r="AB18" s="3">
        <v>160</v>
      </c>
      <c r="AC18" s="3">
        <f t="shared" si="0"/>
        <v>320</v>
      </c>
      <c r="AD18" s="3">
        <f t="shared" si="1"/>
        <v>480</v>
      </c>
    </row>
    <row r="19" spans="1:30">
      <c r="A19" s="2" t="s">
        <v>18</v>
      </c>
      <c r="B19" s="2">
        <v>6.95</v>
      </c>
      <c r="C19" s="2">
        <v>0</v>
      </c>
      <c r="D19" s="2">
        <v>1.98</v>
      </c>
      <c r="E19" s="2">
        <v>0</v>
      </c>
      <c r="F19" s="4">
        <v>153.54</v>
      </c>
      <c r="G19" s="4">
        <v>515.65</v>
      </c>
      <c r="H19" s="4">
        <v>7.07</v>
      </c>
      <c r="I19" s="4">
        <v>1.5</v>
      </c>
      <c r="J19" s="2">
        <v>159.88</v>
      </c>
      <c r="K19" s="2">
        <v>553.37</v>
      </c>
      <c r="L19" s="2">
        <v>7.08</v>
      </c>
      <c r="M19" s="2">
        <v>1.44</v>
      </c>
      <c r="N19" s="10">
        <v>161.19999999999999</v>
      </c>
      <c r="O19" s="10">
        <v>588.62</v>
      </c>
      <c r="P19" s="11">
        <v>6.93</v>
      </c>
      <c r="Q19" s="11">
        <v>1.86</v>
      </c>
      <c r="R19" s="2">
        <v>162.56</v>
      </c>
      <c r="S19" s="2">
        <v>570.23</v>
      </c>
      <c r="T19" s="2">
        <v>6.52</v>
      </c>
      <c r="U19" s="2">
        <v>1.54</v>
      </c>
      <c r="V19" s="2">
        <v>168.81</v>
      </c>
      <c r="W19" s="2">
        <v>585.26</v>
      </c>
      <c r="X19" s="4"/>
      <c r="Y19" s="2"/>
    </row>
    <row r="20" spans="1:30">
      <c r="A20" s="2" t="s">
        <v>19</v>
      </c>
      <c r="B20" s="2">
        <v>7.99</v>
      </c>
      <c r="C20" s="2">
        <v>0</v>
      </c>
      <c r="D20" s="2">
        <v>4.84</v>
      </c>
      <c r="E20" s="2">
        <v>0</v>
      </c>
      <c r="F20" s="4">
        <v>118.34</v>
      </c>
      <c r="G20" s="4">
        <v>259.62</v>
      </c>
      <c r="H20" s="4">
        <v>6.29</v>
      </c>
      <c r="I20" s="4">
        <v>2.93</v>
      </c>
      <c r="J20" s="2">
        <v>158.76</v>
      </c>
      <c r="K20" s="2">
        <v>465.64</v>
      </c>
      <c r="L20" s="2">
        <v>6.78</v>
      </c>
      <c r="M20" s="2">
        <v>2.81</v>
      </c>
      <c r="N20" s="2">
        <v>155.9</v>
      </c>
      <c r="O20" s="2">
        <v>485.11</v>
      </c>
      <c r="P20" s="2">
        <v>6.36</v>
      </c>
      <c r="Q20" s="2">
        <v>2.5299999999999998</v>
      </c>
      <c r="R20" s="2">
        <v>158.63</v>
      </c>
      <c r="S20" s="2">
        <v>493.15</v>
      </c>
      <c r="T20" s="2">
        <v>6.57</v>
      </c>
      <c r="U20" s="2">
        <v>2.57</v>
      </c>
      <c r="V20" s="2">
        <v>163.24</v>
      </c>
      <c r="W20" s="2">
        <v>494.66</v>
      </c>
      <c r="X20" s="4"/>
      <c r="Y20" s="2"/>
    </row>
    <row r="21" spans="1:30">
      <c r="A21" s="2" t="s">
        <v>20</v>
      </c>
      <c r="B21" s="2">
        <v>11.46</v>
      </c>
      <c r="C21" s="2">
        <v>0</v>
      </c>
      <c r="D21" s="2">
        <v>6.35</v>
      </c>
      <c r="E21" s="2">
        <v>0</v>
      </c>
      <c r="F21" s="4">
        <v>80.760000000000005</v>
      </c>
      <c r="G21" s="4">
        <v>193.13</v>
      </c>
      <c r="H21" s="4">
        <v>11.99</v>
      </c>
      <c r="I21" s="4">
        <v>7.54</v>
      </c>
      <c r="J21" s="2">
        <v>82.81</v>
      </c>
      <c r="K21" s="2">
        <v>192.58</v>
      </c>
      <c r="L21" s="2">
        <v>10.5</v>
      </c>
      <c r="M21" s="2">
        <v>4.3099999999999996</v>
      </c>
      <c r="N21" s="2">
        <v>107.16</v>
      </c>
      <c r="O21" s="2">
        <v>343.79</v>
      </c>
      <c r="P21" s="2">
        <v>10.3</v>
      </c>
      <c r="Q21" s="2">
        <v>4.46</v>
      </c>
      <c r="R21" s="2">
        <v>107.92</v>
      </c>
      <c r="S21" s="2">
        <v>371.38</v>
      </c>
      <c r="T21" s="2">
        <v>11.27</v>
      </c>
      <c r="U21" s="2">
        <v>4.28</v>
      </c>
      <c r="V21" s="2">
        <v>110.14</v>
      </c>
      <c r="W21" s="2">
        <v>376.02</v>
      </c>
      <c r="X21" s="4"/>
      <c r="Y21" s="2"/>
    </row>
    <row r="22" spans="1:30">
      <c r="A22" s="2" t="s">
        <v>21</v>
      </c>
      <c r="B22" s="2">
        <v>8.0299999999999994</v>
      </c>
      <c r="C22" s="2">
        <v>0</v>
      </c>
      <c r="D22" s="2">
        <v>3.43</v>
      </c>
      <c r="E22" s="2">
        <v>0</v>
      </c>
      <c r="F22" s="4">
        <v>108.86</v>
      </c>
      <c r="G22" s="4">
        <v>281.18</v>
      </c>
      <c r="H22" s="4">
        <v>5.21</v>
      </c>
      <c r="I22" s="4">
        <v>2.6</v>
      </c>
      <c r="J22" s="2">
        <v>155.22</v>
      </c>
      <c r="K22" s="2">
        <v>460.6</v>
      </c>
      <c r="L22" s="2">
        <v>5.56</v>
      </c>
      <c r="M22" s="2">
        <v>2.63</v>
      </c>
      <c r="N22" s="2">
        <v>155.85</v>
      </c>
      <c r="O22" s="2">
        <v>355.34</v>
      </c>
      <c r="P22" s="2">
        <v>5.26</v>
      </c>
      <c r="Q22" s="2">
        <v>2.0499999999999998</v>
      </c>
      <c r="R22" s="2">
        <v>169.25</v>
      </c>
      <c r="S22" s="2">
        <v>534.88</v>
      </c>
      <c r="T22" s="2">
        <v>5.68</v>
      </c>
      <c r="U22" s="2">
        <v>2.21</v>
      </c>
      <c r="V22" s="2">
        <v>160.31</v>
      </c>
      <c r="W22" s="2">
        <v>509.64</v>
      </c>
      <c r="X22" s="2"/>
      <c r="Y22" s="2"/>
    </row>
    <row r="23" spans="1:30">
      <c r="A23" s="2" t="s">
        <v>22</v>
      </c>
      <c r="B23" s="2">
        <v>10.32</v>
      </c>
      <c r="C23" s="2">
        <v>0</v>
      </c>
      <c r="D23" s="2">
        <v>5.91</v>
      </c>
      <c r="E23" s="2">
        <v>0</v>
      </c>
      <c r="F23" s="4">
        <v>84.24</v>
      </c>
      <c r="G23" s="2">
        <v>179.39</v>
      </c>
      <c r="H23" s="2">
        <v>8.66</v>
      </c>
      <c r="I23" s="2">
        <v>3.35</v>
      </c>
      <c r="J23" s="2">
        <v>118.44</v>
      </c>
      <c r="K23" s="2">
        <v>367.04</v>
      </c>
      <c r="L23" s="2">
        <v>9.48</v>
      </c>
      <c r="M23" s="2">
        <v>3.62</v>
      </c>
      <c r="N23" s="2">
        <v>115.31</v>
      </c>
      <c r="O23" s="2">
        <v>371.79</v>
      </c>
      <c r="P23" s="2">
        <v>7.87</v>
      </c>
      <c r="Q23" s="2">
        <v>2.15</v>
      </c>
      <c r="R23" s="2">
        <v>120.71</v>
      </c>
      <c r="S23" s="2">
        <v>385.58</v>
      </c>
      <c r="T23" s="2">
        <v>8.2899999999999991</v>
      </c>
      <c r="U23" s="2">
        <v>2.57</v>
      </c>
      <c r="V23" s="2">
        <v>122.57</v>
      </c>
      <c r="W23" s="2">
        <v>397.64</v>
      </c>
      <c r="X23" s="2"/>
      <c r="Y23" s="2"/>
    </row>
    <row r="25" spans="1:30">
      <c r="A25" s="2" t="s">
        <v>27</v>
      </c>
      <c r="B25" s="2">
        <v>2</v>
      </c>
    </row>
    <row r="26" spans="1:30">
      <c r="A26" s="2" t="s">
        <v>28</v>
      </c>
      <c r="B26" s="2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E52"/>
  <sheetViews>
    <sheetView zoomScaleNormal="100" workbookViewId="0">
      <selection activeCell="C44" sqref="C44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2" max="22" width="14.42578125" customWidth="1"/>
    <col min="24" max="24" width="8.42578125" bestFit="1" customWidth="1"/>
    <col min="25" max="25" width="8.7109375" customWidth="1"/>
    <col min="26" max="26" width="9.140625" customWidth="1"/>
    <col min="27" max="27" width="8.140625" customWidth="1"/>
    <col min="28" max="28" width="9.5703125" customWidth="1"/>
    <col min="29" max="29" width="7.7109375" bestFit="1" customWidth="1"/>
    <col min="30" max="30" width="9" customWidth="1"/>
    <col min="31" max="31" width="9.140625" customWidth="1"/>
    <col min="32" max="32" width="9.7109375" customWidth="1"/>
    <col min="33" max="33" width="8.5703125" customWidth="1"/>
    <col min="35" max="43" width="11" customWidth="1"/>
    <col min="44" max="57" width="12" customWidth="1"/>
  </cols>
  <sheetData>
    <row r="1" spans="1:57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I1" t="s">
        <v>38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</row>
    <row r="2" spans="1:57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6" t="e">
        <f>Table4131236[[#This Row],[2 - Pre]]*$Y$27/(Table4131236[[#This Row],[10 - pre]]*$Y$26)</f>
        <v>#DIV/0!</v>
      </c>
      <c r="Y2" s="6" t="e">
        <f>Table4131236[[#This Row],[2 - Post 5min]]*$Y$27/(Table4131236[[#This Row],[10 - Post 5min]]*$Y$26)</f>
        <v>#DIV/0!</v>
      </c>
      <c r="Z2" s="6" t="e">
        <f>Table4131236[[#This Row],[2 - Post 10min]]*$Y$27/(Table4131236[[#This Row],[10 - Post 10min]]*$Y$26)</f>
        <v>#DIV/0!</v>
      </c>
      <c r="AA2" s="6" t="e">
        <f>Table4131236[[#This Row],[2 - Post 15min]]*$Y$27/(Table4131236[[#This Row],[10 - Post 15min]]*$Y$26)</f>
        <v>#DIV/0!</v>
      </c>
      <c r="AB2" s="6" t="e">
        <f>Table4131236[[#This Row],[2 - Post 20min]]*$Y$27/(Table4131236[[#This Row],[10 - Post 20min]]*$Y$26)</f>
        <v>#DIV/0!</v>
      </c>
      <c r="AC2" s="6" t="e">
        <f>-$Y$29/LN((Table131537[[#This Row],[G Pre]]-1)/(Table131537[[#This Row],[G Pre]]*$Z$26-$Z$27))</f>
        <v>#DIV/0!</v>
      </c>
      <c r="AD2" s="6" t="e">
        <f>-$Y$29/LN((Table131537[[#This Row],[G 5min]]-1)/(Table131537[[#This Row],[G 5min]]*$Z$26-$Z$27))</f>
        <v>#DIV/0!</v>
      </c>
      <c r="AE2" s="6" t="e">
        <f>-$Y$29/LN((Table131537[[#This Row],[G 10min]]-1)/(Table131537[[#This Row],[G 10min]]*$Z$26-$Z$27))</f>
        <v>#DIV/0!</v>
      </c>
      <c r="AF2" s="6" t="e">
        <f>-$Y$29/LN((Table131537[[#This Row],[G 15min]]-1)/(Table131537[[#This Row],[G 15min]]*$Z$26-$Z$27))</f>
        <v>#DIV/0!</v>
      </c>
      <c r="AG2" s="6" t="e">
        <f>-$Y$29/LN((Table131537[[#This Row],[G 20min]]-1)/(Table131537[[#This Row],[G 20min]]*$Z$26-$Z$27))</f>
        <v>#DIV/0!</v>
      </c>
      <c r="AI2" t="s">
        <v>54</v>
      </c>
      <c r="AJ2">
        <v>-6.0973578078776187</v>
      </c>
      <c r="AK2">
        <v>3.4644722702092752</v>
      </c>
      <c r="AL2">
        <v>-0.13605787131971925</v>
      </c>
      <c r="AM2">
        <v>1.2779698364201741</v>
      </c>
      <c r="AN2">
        <v>0.52133078970952551</v>
      </c>
      <c r="AO2">
        <v>1.6211478483778388</v>
      </c>
      <c r="AP2">
        <v>10.05211151516966</v>
      </c>
      <c r="AQ2">
        <v>0.92680581004725049</v>
      </c>
      <c r="AR2">
        <v>2.6036530622777003</v>
      </c>
      <c r="AS2">
        <v>4.8092811493515999</v>
      </c>
      <c r="AT2">
        <v>-2.5222166532319452</v>
      </c>
      <c r="AU2">
        <v>2.7314522927350668</v>
      </c>
      <c r="AV2">
        <v>0.767828532523677</v>
      </c>
      <c r="AW2">
        <v>-0.17134143476079591</v>
      </c>
      <c r="AX2" t="e">
        <v>#DIV/0!</v>
      </c>
      <c r="AY2">
        <v>5.8757962590103148</v>
      </c>
      <c r="AZ2">
        <v>6.5607565654040521</v>
      </c>
      <c r="BA2">
        <v>-6.1872606335067966</v>
      </c>
      <c r="BB2">
        <v>4.2995258386704629</v>
      </c>
      <c r="BC2">
        <v>1.7890805986638842</v>
      </c>
      <c r="BD2">
        <v>-1.8714421488718875</v>
      </c>
      <c r="BE2">
        <v>3.8897800838098955</v>
      </c>
    </row>
    <row r="3" spans="1:57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6">
        <f>Table4131236[[#This Row],[2 - Pre]]*$Y$27/(Table4131236[[#This Row],[10 - pre]]*$Y$26)</f>
        <v>1.3008056773482592</v>
      </c>
      <c r="Y3" s="6">
        <f>Table4131236[[#This Row],[2 - Post 5min]]*$Y$27/(Table4131236[[#This Row],[10 - Post 5min]]*$Y$26)</f>
        <v>0.56103467402957685</v>
      </c>
      <c r="Z3" s="6">
        <f>Table4131236[[#This Row],[2 - Post 10min]]*$Y$27/(Table4131236[[#This Row],[10 - Post 10min]]*$Y$26)</f>
        <v>0.60639839238045834</v>
      </c>
      <c r="AA3" s="6">
        <f>Table4131236[[#This Row],[2 - Post 15min]]*$Y$27/(Table4131236[[#This Row],[10 - Post 15min]]*$Y$26)</f>
        <v>0.51597758507578595</v>
      </c>
      <c r="AB3" s="6">
        <f>Table4131236[[#This Row],[2 - Post 20min]]*$Y$27/(Table4131236[[#This Row],[10 - Post 20min]]*$Y$26)</f>
        <v>0.41104767381925511</v>
      </c>
      <c r="AC3" s="6">
        <f>-$Y$29/LN((Table131537[[#This Row],[G Pre]]-1)/(Table131537[[#This Row],[G Pre]]*$Z$26-$Z$27))</f>
        <v>3.4644722702092752</v>
      </c>
      <c r="AD3" s="6">
        <f>-$Y$29/LN((Table131537[[#This Row],[G 5min]]-1)/(Table131537[[#This Row],[G 5min]]*$Z$26-$Z$27))</f>
        <v>-4.7070933135798345</v>
      </c>
      <c r="AE3" s="6">
        <f>-$Y$29/LN((Table131537[[#This Row],[G 10min]]-1)/(Table131537[[#This Row],[G 10min]]*$Z$26-$Z$27))</f>
        <v>-4.2201835475697465</v>
      </c>
      <c r="AF3" s="6">
        <f>-$Y$29/LN((Table131537[[#This Row],[G 15min]]-1)/(Table131537[[#This Row],[G 15min]]*$Z$26-$Z$27))</f>
        <v>-5.1889115011302795</v>
      </c>
      <c r="AG3" s="6">
        <f>-$Y$29/LN((Table131537[[#This Row],[G 20min]]-1)/(Table131537[[#This Row],[G 20min]]*$Z$26-$Z$27))</f>
        <v>-6.3040933473347236</v>
      </c>
      <c r="AI3" t="s">
        <v>55</v>
      </c>
      <c r="AJ3">
        <v>-5.1958211275931987</v>
      </c>
      <c r="AK3">
        <v>-4.7070933135798345</v>
      </c>
      <c r="AL3">
        <v>3.4447154610100181</v>
      </c>
      <c r="AM3">
        <v>-5.9750612730185466</v>
      </c>
      <c r="AN3">
        <v>-2.1613583778036585</v>
      </c>
      <c r="AO3">
        <v>-3.7283393805079239</v>
      </c>
      <c r="AP3">
        <v>-1.8116836674520544</v>
      </c>
      <c r="AQ3">
        <v>-4.1121424643846982</v>
      </c>
      <c r="AR3">
        <v>7.9640417126435494</v>
      </c>
      <c r="AS3">
        <v>-3.6582083250239772</v>
      </c>
      <c r="AT3">
        <v>-2.7314893163376026</v>
      </c>
      <c r="AU3">
        <v>-2.3792037540345978</v>
      </c>
      <c r="AV3">
        <v>-4.605853961975293</v>
      </c>
      <c r="AW3">
        <v>-4.278215092246346</v>
      </c>
      <c r="AX3">
        <v>-6.0308145065839218</v>
      </c>
      <c r="AY3">
        <v>-3.631716809050217</v>
      </c>
      <c r="AZ3">
        <v>-1.8365340138800161</v>
      </c>
      <c r="BA3">
        <v>-7.421467716359734</v>
      </c>
      <c r="BB3">
        <v>-2.227956825430629</v>
      </c>
      <c r="BC3">
        <v>3.9744191108492002</v>
      </c>
      <c r="BD3">
        <v>-1.7186402773474219</v>
      </c>
      <c r="BE3">
        <v>-4.0619694719356172</v>
      </c>
    </row>
    <row r="4" spans="1:57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6">
        <f>Table4131236[[#This Row],[2 - Pre]]*$Y$27/(Table4131236[[#This Row],[10 - pre]]*$Y$26)</f>
        <v>0.97902842296696546</v>
      </c>
      <c r="Y4" s="6">
        <f>Table4131236[[#This Row],[2 - Post 5min]]*$Y$27/(Table4131236[[#This Row],[10 - Post 5min]]*$Y$26)</f>
        <v>1.2990717943440793</v>
      </c>
      <c r="Z4" s="6">
        <f>Table4131236[[#This Row],[2 - Post 10min]]*$Y$27/(Table4131236[[#This Row],[10 - Post 10min]]*$Y$26)</f>
        <v>0.39924877543847787</v>
      </c>
      <c r="AA4" s="6">
        <f>Table4131236[[#This Row],[2 - Post 15min]]*$Y$27/(Table4131236[[#This Row],[10 - Post 15min]]*$Y$26)</f>
        <v>0.3771897486051955</v>
      </c>
      <c r="AB4" s="6">
        <f>Table4131236[[#This Row],[2 - Post 20min]]*$Y$27/(Table4131236[[#This Row],[10 - Post 20min]]*$Y$26)</f>
        <v>0.44304003225359107</v>
      </c>
      <c r="AC4" s="6">
        <f>-$Y$29/LN((Table131537[[#This Row],[G Pre]]-1)/(Table131537[[#This Row],[G Pre]]*$Z$26-$Z$27))</f>
        <v>-0.13605787131971925</v>
      </c>
      <c r="AD4" s="6">
        <f>-$Y$29/LN((Table131537[[#This Row],[G 5min]]-1)/(Table131537[[#This Row],[G 5min]]*$Z$26-$Z$27))</f>
        <v>3.4447154610100181</v>
      </c>
      <c r="AE4" s="6">
        <f>-$Y$29/LN((Table131537[[#This Row],[G 10min]]-1)/(Table131537[[#This Row],[G 10min]]*$Z$26-$Z$27))</f>
        <v>-6.4288924635165543</v>
      </c>
      <c r="AF4" s="6">
        <f>-$Y$29/LN((Table131537[[#This Row],[G 15min]]-1)/(Table131537[[#This Row],[G 15min]]*$Z$26-$Z$27))</f>
        <v>-6.6618925402236338</v>
      </c>
      <c r="AG4" s="6">
        <f>-$Y$29/LN((Table131537[[#This Row],[G 20min]]-1)/(Table131537[[#This Row],[G 20min]]*$Z$26-$Z$27))</f>
        <v>-5.9650979389763261</v>
      </c>
      <c r="AI4" t="s">
        <v>56</v>
      </c>
      <c r="AJ4">
        <v>-4.941531988469074</v>
      </c>
      <c r="AK4">
        <v>-4.2201835475697465</v>
      </c>
      <c r="AL4">
        <v>-6.4288924635165543</v>
      </c>
      <c r="AM4">
        <v>-5.6506040204239643</v>
      </c>
      <c r="AN4">
        <v>-3.6266421470097399</v>
      </c>
      <c r="AO4">
        <v>-3.6604386068588015</v>
      </c>
      <c r="AP4">
        <v>-4.3244746908411296</v>
      </c>
      <c r="AQ4">
        <v>-4.5170103568036657</v>
      </c>
      <c r="AR4">
        <v>-5.5106963953124328</v>
      </c>
      <c r="AS4">
        <v>-3.5264519636177609</v>
      </c>
      <c r="AT4">
        <v>-4.2659834800427978</v>
      </c>
      <c r="AU4">
        <v>-2.3129893421672998</v>
      </c>
      <c r="AV4">
        <v>-3.6219700453603019</v>
      </c>
      <c r="AW4">
        <v>-5.3657869150485897</v>
      </c>
      <c r="AX4">
        <v>-7.2875665789892015</v>
      </c>
      <c r="AY4">
        <v>-3.7660418111737894</v>
      </c>
      <c r="AZ4">
        <v>-2.2517333782076125</v>
      </c>
      <c r="BA4">
        <v>-7.7133596901369756</v>
      </c>
      <c r="BB4">
        <v>-3.6130475561858288</v>
      </c>
      <c r="BC4">
        <v>-3.8948127645071087</v>
      </c>
      <c r="BD4">
        <v>0.43498543322503991</v>
      </c>
      <c r="BE4">
        <v>-4.4041542260278446</v>
      </c>
    </row>
    <row r="5" spans="1:57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6">
        <f>Table4131236[[#This Row],[2 - Pre]]*$Y$27/(Table4131236[[#This Row],[10 - pre]]*$Y$26)</f>
        <v>1.1074198196834613</v>
      </c>
      <c r="Y5" s="6">
        <f>Table4131236[[#This Row],[2 - Post 5min]]*$Y$27/(Table4131236[[#This Row],[10 - Post 5min]]*$Y$26)</f>
        <v>0.4421009458263927</v>
      </c>
      <c r="Z5" s="6">
        <f>Table4131236[[#This Row],[2 - Post 10min]]*$Y$27/(Table4131236[[#This Row],[10 - Post 10min]]*$Y$26)</f>
        <v>0.47264535167549732</v>
      </c>
      <c r="AA5" s="6">
        <f>Table4131236[[#This Row],[2 - Post 15min]]*$Y$27/(Table4131236[[#This Row],[10 - Post 15min]]*$Y$26)</f>
        <v>0.3440991045096678</v>
      </c>
      <c r="AB5" s="6">
        <f>Table4131236[[#This Row],[2 - Post 20min]]*$Y$27/(Table4131236[[#This Row],[10 - Post 20min]]*$Y$26)</f>
        <v>0.40296532360130377</v>
      </c>
      <c r="AC5" s="6">
        <f>-$Y$29/LN((Table131537[[#This Row],[G Pre]]-1)/(Table131537[[#This Row],[G Pre]]*$Z$26-$Z$27))</f>
        <v>1.2779698364201741</v>
      </c>
      <c r="AD5" s="6">
        <f>-$Y$29/LN((Table131537[[#This Row],[G 5min]]-1)/(Table131537[[#This Row],[G 5min]]*$Z$26-$Z$27))</f>
        <v>-5.9750612730185466</v>
      </c>
      <c r="AE5" s="6">
        <f>-$Y$29/LN((Table131537[[#This Row],[G 10min]]-1)/(Table131537[[#This Row],[G 10min]]*$Z$26-$Z$27))</f>
        <v>-5.6506040204239643</v>
      </c>
      <c r="AF5" s="6">
        <f>-$Y$29/LN((Table131537[[#This Row],[G 15min]]-1)/(Table131537[[#This Row],[G 15min]]*$Z$26-$Z$27))</f>
        <v>-7.0106296625269557</v>
      </c>
      <c r="AG5" s="6">
        <f>-$Y$29/LN((Table131537[[#This Row],[G 20min]]-1)/(Table131537[[#This Row],[G 20min]]*$Z$26-$Z$27))</f>
        <v>-6.3895948282048183</v>
      </c>
      <c r="AI5" t="s">
        <v>57</v>
      </c>
      <c r="AJ5">
        <v>-9.0098264321081043</v>
      </c>
      <c r="AK5">
        <v>-5.1889115011302795</v>
      </c>
      <c r="AL5">
        <v>-6.6618925402236338</v>
      </c>
      <c r="AM5">
        <v>-7.0106296625269557</v>
      </c>
      <c r="AN5">
        <v>-5.8249450001689276</v>
      </c>
      <c r="AO5">
        <v>-4.3534701850085877</v>
      </c>
      <c r="AP5">
        <v>-3.1136602927528765</v>
      </c>
      <c r="AQ5">
        <v>-5.8847397764055129</v>
      </c>
      <c r="AR5">
        <v>-6.6762325775811577</v>
      </c>
      <c r="AS5">
        <v>-6.5434294777774351</v>
      </c>
      <c r="AT5">
        <v>-3.4361277856573356</v>
      </c>
      <c r="AU5">
        <v>-3.879303185844166</v>
      </c>
      <c r="AV5">
        <v>-5.8297000262282515</v>
      </c>
      <c r="AW5">
        <v>-7.1163155119789065</v>
      </c>
      <c r="AX5">
        <v>-6.9697650255710979</v>
      </c>
      <c r="AY5">
        <v>-4.0551179547737588</v>
      </c>
      <c r="AZ5">
        <v>-5.0615476428904129</v>
      </c>
      <c r="BA5">
        <v>-6.6247366438621968</v>
      </c>
      <c r="BB5">
        <v>-3.8941449584110299</v>
      </c>
      <c r="BC5">
        <v>-4.0083268935650134</v>
      </c>
      <c r="BD5">
        <v>-4.1426236677056165</v>
      </c>
      <c r="BE5">
        <v>-6.15060781532015</v>
      </c>
    </row>
    <row r="6" spans="1:57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6">
        <f>Table4131236[[#This Row],[2 - Pre]]*$Y$27/(Table4131236[[#This Row],[10 - pre]]*$Y$26)</f>
        <v>1.0399483775522547</v>
      </c>
      <c r="Y6" s="6">
        <f>Table4131236[[#This Row],[2 - Post 5min]]*$Y$27/(Table4131236[[#This Row],[10 - Post 5min]]*$Y$26)</f>
        <v>0.79633604859056917</v>
      </c>
      <c r="Z6" s="6">
        <f>Table4131236[[#This Row],[2 - Post 10min]]*$Y$27/(Table4131236[[#This Row],[10 - Post 10min]]*$Y$26)</f>
        <v>0.66146699308703216</v>
      </c>
      <c r="AA6" s="6">
        <f>Table4131236[[#This Row],[2 - Post 15min]]*$Y$27/(Table4131236[[#This Row],[10 - Post 15min]]*$Y$26)</f>
        <v>0.45624239362697377</v>
      </c>
      <c r="AB6" s="6">
        <f>Table4131236[[#This Row],[2 - Post 20min]]*$Y$27/(Table4131236[[#This Row],[10 - Post 20min]]*$Y$26)</f>
        <v>0.35595801038228686</v>
      </c>
      <c r="AC6" s="6">
        <f>-$Y$29/LN((Table131537[[#This Row],[G Pre]]-1)/(Table131537[[#This Row],[G Pre]]*$Z$26-$Z$27))</f>
        <v>0.52133078970952551</v>
      </c>
      <c r="AD6" s="6">
        <f>-$Y$29/LN((Table131537[[#This Row],[G 5min]]-1)/(Table131537[[#This Row],[G 5min]]*$Z$26-$Z$27))</f>
        <v>-2.1613583778036585</v>
      </c>
      <c r="AE6" s="6">
        <f>-$Y$29/LN((Table131537[[#This Row],[G 10min]]-1)/(Table131537[[#This Row],[G 10min]]*$Z$26-$Z$27))</f>
        <v>-3.6266421470097399</v>
      </c>
      <c r="AF6" s="6">
        <f>-$Y$29/LN((Table131537[[#This Row],[G 15min]]-1)/(Table131537[[#This Row],[G 15min]]*$Z$26-$Z$27))</f>
        <v>-5.8249450001689276</v>
      </c>
      <c r="AG6" s="6">
        <f>-$Y$29/LN((Table131537[[#This Row],[G 20min]]-1)/(Table131537[[#This Row],[G 20min]]*$Z$26-$Z$27))</f>
        <v>-6.8857586392048153</v>
      </c>
      <c r="AI6" t="s">
        <v>58</v>
      </c>
      <c r="AJ6">
        <v>-6.884950964051213</v>
      </c>
      <c r="AK6">
        <v>-6.3040933473347236</v>
      </c>
      <c r="AL6">
        <v>-5.9650979389763261</v>
      </c>
      <c r="AM6">
        <v>-6.3895948282048183</v>
      </c>
      <c r="AN6">
        <v>-6.8857586392048153</v>
      </c>
      <c r="AO6">
        <v>-2.820358351482648</v>
      </c>
      <c r="AP6">
        <v>-4.2767614479324436</v>
      </c>
      <c r="AQ6">
        <v>-6.3874049812551572</v>
      </c>
      <c r="AR6">
        <v>-7.8789717407597042</v>
      </c>
      <c r="AS6">
        <v>-6.7825423531739863</v>
      </c>
      <c r="AT6">
        <v>-2.7756892816919012</v>
      </c>
      <c r="AU6">
        <v>-4.4131049394314701</v>
      </c>
      <c r="AV6">
        <v>-6.7365373549305296</v>
      </c>
      <c r="AW6">
        <v>-7.4162266872750875</v>
      </c>
      <c r="AX6">
        <v>-6.6653007265481978</v>
      </c>
      <c r="AY6">
        <v>-4.1443802093380615</v>
      </c>
      <c r="AZ6">
        <v>-5.4798549404960131</v>
      </c>
      <c r="BA6">
        <v>-7.0644997401442806</v>
      </c>
      <c r="BB6">
        <v>-3.8335254016901299</v>
      </c>
      <c r="BC6">
        <v>-4.7879616123941267</v>
      </c>
      <c r="BD6">
        <v>-4.192583655171549</v>
      </c>
      <c r="BE6">
        <v>-5.6205505242602429</v>
      </c>
    </row>
    <row r="7" spans="1:57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>
        <f>Table4131236[[#This Row],[2 - Pre]]*$Y$27/(Table4131236[[#This Row],[10 - pre]]*$Y$26)</f>
        <v>1.1379642365071603</v>
      </c>
      <c r="Y7" s="6">
        <f>Table4131236[[#This Row],[2 - Post 5min]]*$Y$27/(Table4131236[[#This Row],[10 - Post 5min]]*$Y$26)</f>
        <v>0.65204943247125058</v>
      </c>
      <c r="Z7" s="6">
        <f>Table4131236[[#This Row],[2 - Post 10min]]*$Y$27/(Table4131236[[#This Row],[10 - Post 10min]]*$Y$26)</f>
        <v>0.65833812880257114</v>
      </c>
      <c r="AA7" s="6">
        <f>Table4131236[[#This Row],[2 - Post 15min]]*$Y$27/(Table4131236[[#This Row],[10 - Post 15min]]*$Y$26)</f>
        <v>0.59399743368513858</v>
      </c>
      <c r="AB7" s="6">
        <f>Table4131236[[#This Row],[2 - Post 20min]]*$Y$27/(Table4131236[[#This Row],[10 - Post 20min]]*$Y$26)</f>
        <v>0.73587045587573263</v>
      </c>
      <c r="AC7" s="6">
        <f>-$Y$29/LN((Table131537[[#This Row],[G Pre]]-1)/(Table131537[[#This Row],[G Pre]]*$Z$26-$Z$27))</f>
        <v>1.6211478483778388</v>
      </c>
      <c r="AD7" s="6">
        <f>-$Y$29/LN((Table131537[[#This Row],[G 5min]]-1)/(Table131537[[#This Row],[G 5min]]*$Z$26-$Z$27))</f>
        <v>-3.7283393805079239</v>
      </c>
      <c r="AE7" s="6">
        <f>-$Y$29/LN((Table131537[[#This Row],[G 10min]]-1)/(Table131537[[#This Row],[G 10min]]*$Z$26-$Z$27))</f>
        <v>-3.6604386068588015</v>
      </c>
      <c r="AF7" s="6">
        <f>-$Y$29/LN((Table131537[[#This Row],[G 15min]]-1)/(Table131537[[#This Row],[G 15min]]*$Z$26-$Z$27))</f>
        <v>-4.3534701850085877</v>
      </c>
      <c r="AG7" s="6">
        <f>-$Y$29/LN((Table131537[[#This Row],[G 20min]]-1)/(Table131537[[#This Row],[G 20min]]*$Z$26-$Z$27))</f>
        <v>-2.820358351482648</v>
      </c>
    </row>
    <row r="8" spans="1:57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>
        <f>Table4131236[[#This Row],[2 - Pre]]*$Y$27/(Table4131236[[#This Row],[10 - pre]]*$Y$26)</f>
        <v>1.8651689214168614</v>
      </c>
      <c r="Y8" s="6">
        <f>Table4131236[[#This Row],[2 - Post 5min]]*$Y$27/(Table4131236[[#This Row],[10 - Post 5min]]*$Y$26)</f>
        <v>0.82829105162858296</v>
      </c>
      <c r="Z8" s="6">
        <f>Table4131236[[#This Row],[2 - Post 10min]]*$Y$27/(Table4131236[[#This Row],[10 - Post 10min]]*$Y$26)</f>
        <v>0.59669625133427107</v>
      </c>
      <c r="AA8" s="6">
        <f>Table4131236[[#This Row],[2 - Post 15min]]*$Y$27/(Table4131236[[#This Row],[10 - Post 15min]]*$Y$26)</f>
        <v>0.70885848591152933</v>
      </c>
      <c r="AB8" s="6">
        <f>Table4131236[[#This Row],[2 - Post 20min]]*$Y$27/(Table4131236[[#This Row],[10 - Post 20min]]*$Y$26)</f>
        <v>0.60113595203938008</v>
      </c>
      <c r="AC8" s="6">
        <f>-$Y$29/LN((Table131537[[#This Row],[G Pre]]-1)/(Table131537[[#This Row],[G Pre]]*$Z$26-$Z$27))</f>
        <v>10.05211151516966</v>
      </c>
      <c r="AD8" s="6">
        <f>-$Y$29/LN((Table131537[[#This Row],[G 5min]]-1)/(Table131537[[#This Row],[G 5min]]*$Z$26-$Z$27))</f>
        <v>-1.8116836674520544</v>
      </c>
      <c r="AE8" s="6">
        <f>-$Y$29/LN((Table131537[[#This Row],[G 10min]]-1)/(Table131537[[#This Row],[G 10min]]*$Z$26-$Z$27))</f>
        <v>-4.3244746908411296</v>
      </c>
      <c r="AF8" s="6">
        <f>-$Y$29/LN((Table131537[[#This Row],[G 15min]]-1)/(Table131537[[#This Row],[G 15min]]*$Z$26-$Z$27))</f>
        <v>-3.1136602927528765</v>
      </c>
      <c r="AG8" s="6">
        <f>-$Y$29/LN((Table131537[[#This Row],[G 20min]]-1)/(Table131537[[#This Row],[G 20min]]*$Z$26-$Z$27))</f>
        <v>-4.2767614479324436</v>
      </c>
    </row>
    <row r="9" spans="1:57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6">
        <f>Table4131236[[#This Row],[2 - Pre]]*$Y$27/(Table4131236[[#This Row],[10 - pre]]*$Y$26)</f>
        <v>1.0761081462020172</v>
      </c>
      <c r="Y9" s="6">
        <f>Table4131236[[#This Row],[2 - Post 5min]]*$Y$27/(Table4131236[[#This Row],[10 - Post 5min]]*$Y$26)</f>
        <v>0.61644117321386094</v>
      </c>
      <c r="Z9" s="6">
        <f>Table4131236[[#This Row],[2 - Post 10min]]*$Y$27/(Table4131236[[#This Row],[10 - Post 10min]]*$Y$26)</f>
        <v>0.57876429367182092</v>
      </c>
      <c r="AA9" s="6">
        <f>Table4131236[[#This Row],[2 - Post 15min]]*$Y$27/(Table4131236[[#This Row],[10 - Post 15min]]*$Y$26)</f>
        <v>0.4506114909274691</v>
      </c>
      <c r="AB9" s="6">
        <f>Table4131236[[#This Row],[2 - Post 20min]]*$Y$27/(Table4131236[[#This Row],[10 - Post 20min]]*$Y$26)</f>
        <v>0.40317239375980818</v>
      </c>
      <c r="AC9" s="6">
        <f>-$Y$29/LN((Table131537[[#This Row],[G Pre]]-1)/(Table131537[[#This Row],[G Pre]]*$Z$26-$Z$27))</f>
        <v>0.92680581004725049</v>
      </c>
      <c r="AD9" s="6">
        <f>-$Y$29/LN((Table131537[[#This Row],[G 5min]]-1)/(Table131537[[#This Row],[G 5min]]*$Z$26-$Z$27))</f>
        <v>-4.1121424643846982</v>
      </c>
      <c r="AE9" s="6">
        <f>-$Y$29/LN((Table131537[[#This Row],[G 10min]]-1)/(Table131537[[#This Row],[G 10min]]*$Z$26-$Z$27))</f>
        <v>-4.5170103568036657</v>
      </c>
      <c r="AF9" s="6">
        <f>-$Y$29/LN((Table131537[[#This Row],[G 15min]]-1)/(Table131537[[#This Row],[G 15min]]*$Z$26-$Z$27))</f>
        <v>-5.8847397764055129</v>
      </c>
      <c r="AG9" s="6">
        <f>-$Y$29/LN((Table131537[[#This Row],[G 20min]]-1)/(Table131537[[#This Row],[G 20min]]*$Z$26-$Z$27))</f>
        <v>-6.3874049812551572</v>
      </c>
    </row>
    <row r="10" spans="1:57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>
        <f>Table4131236[[#This Row],[2 - Pre]]*$Y$27/(Table4131236[[#This Row],[10 - pre]]*$Y$26)</f>
        <v>1.2250269361684927</v>
      </c>
      <c r="Y10" s="6">
        <f>Table4131236[[#This Row],[2 - Post 5min]]*$Y$27/(Table4131236[[#This Row],[10 - Post 5min]]*$Y$26)</f>
        <v>1.6892170134301183</v>
      </c>
      <c r="Z10" s="6">
        <f>Table4131236[[#This Row],[2 - Post 10min]]*$Y$27/(Table4131236[[#This Row],[10 - Post 10min]]*$Y$26)</f>
        <v>0.4857926927804932</v>
      </c>
      <c r="AA10" s="6">
        <f>Table4131236[[#This Row],[2 - Post 15min]]*$Y$27/(Table4131236[[#This Row],[10 - Post 15min]]*$Y$26)</f>
        <v>0.37583082315974381</v>
      </c>
      <c r="AB10" s="6">
        <f>Table4131236[[#This Row],[2 - Post 20min]]*$Y$27/(Table4131236[[#This Row],[10 - Post 20min]]*$Y$26)</f>
        <v>0.26131536205187744</v>
      </c>
      <c r="AC10" s="6">
        <f>-$Y$29/LN((Table131537[[#This Row],[G Pre]]-1)/(Table131537[[#This Row],[G Pre]]*$Z$26-$Z$27))</f>
        <v>2.6036530622777003</v>
      </c>
      <c r="AD10" s="6">
        <f>-$Y$29/LN((Table131537[[#This Row],[G 5min]]-1)/(Table131537[[#This Row],[G 5min]]*$Z$26-$Z$27))</f>
        <v>7.9640417126435494</v>
      </c>
      <c r="AE10" s="6">
        <f>-$Y$29/LN((Table131537[[#This Row],[G 10min]]-1)/(Table131537[[#This Row],[G 10min]]*$Z$26-$Z$27))</f>
        <v>-5.5106963953124328</v>
      </c>
      <c r="AF10" s="6">
        <f>-$Y$29/LN((Table131537[[#This Row],[G 15min]]-1)/(Table131537[[#This Row],[G 15min]]*$Z$26-$Z$27))</f>
        <v>-6.6762325775811577</v>
      </c>
      <c r="AG10" s="6">
        <f>-$Y$29/LN((Table131537[[#This Row],[G 20min]]-1)/(Table131537[[#This Row],[G 20min]]*$Z$26-$Z$27))</f>
        <v>-7.8789717407597042</v>
      </c>
    </row>
    <row r="11" spans="1:57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6">
        <f>Table4131236[[#This Row],[2 - Pre]]*$Y$27/(Table4131236[[#This Row],[10 - pre]]*$Y$26)</f>
        <v>1.4182390032924583</v>
      </c>
      <c r="Y11" s="6">
        <f>Table4131236[[#This Row],[2 - Post 5min]]*$Y$27/(Table4131236[[#This Row],[10 - Post 5min]]*$Y$26)</f>
        <v>0.65854463265290519</v>
      </c>
      <c r="Z11" s="6">
        <f>Table4131236[[#This Row],[2 - Post 10min]]*$Y$27/(Table4131236[[#This Row],[10 - Post 10min]]*$Y$26)</f>
        <v>0.67073776993719925</v>
      </c>
      <c r="AA11" s="6">
        <f>Table4131236[[#This Row],[2 - Post 15min]]*$Y$27/(Table4131236[[#This Row],[10 - Post 15min]]*$Y$26)</f>
        <v>0.38841007277136252</v>
      </c>
      <c r="AB11" s="6">
        <f>Table4131236[[#This Row],[2 - Post 20min]]*$Y$27/(Table4131236[[#This Row],[10 - Post 20min]]*$Y$26)</f>
        <v>0.36575173776984826</v>
      </c>
      <c r="AC11" s="6">
        <f>-$Y$29/LN((Table131537[[#This Row],[G Pre]]-1)/(Table131537[[#This Row],[G Pre]]*$Z$26-$Z$27))</f>
        <v>4.8092811493515999</v>
      </c>
      <c r="AD11" s="6">
        <f>-$Y$29/LN((Table131537[[#This Row],[G 5min]]-1)/(Table131537[[#This Row],[G 5min]]*$Z$26-$Z$27))</f>
        <v>-3.6582083250239772</v>
      </c>
      <c r="AE11" s="6">
        <f>-$Y$29/LN((Table131537[[#This Row],[G 10min]]-1)/(Table131537[[#This Row],[G 10min]]*$Z$26-$Z$27))</f>
        <v>-3.5264519636177609</v>
      </c>
      <c r="AF11" s="6">
        <f>-$Y$29/LN((Table131537[[#This Row],[G 15min]]-1)/(Table131537[[#This Row],[G 15min]]*$Z$26-$Z$27))</f>
        <v>-6.5434294777774351</v>
      </c>
      <c r="AG11" s="6">
        <f>-$Y$29/LN((Table131537[[#This Row],[G 20min]]-1)/(Table131537[[#This Row],[G 20min]]*$Z$26-$Z$27))</f>
        <v>-6.7825423531739863</v>
      </c>
    </row>
    <row r="12" spans="1:57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6" t="e">
        <f>Table4131236[[#This Row],[2 - Pre]]*$Y$27/(Table4131236[[#This Row],[10 - pre]]*$Y$26)</f>
        <v>#DIV/0!</v>
      </c>
      <c r="Y12" s="6" t="e">
        <f>Table4131236[[#This Row],[2 - Post 5min]]*$Y$27/(Table4131236[[#This Row],[10 - Post 5min]]*$Y$26)</f>
        <v>#DIV/0!</v>
      </c>
      <c r="Z12" s="6" t="e">
        <f>Table4131236[[#This Row],[2 - Post 10min]]*$Y$27/(Table4131236[[#This Row],[10 - Post 10min]]*$Y$26)</f>
        <v>#DIV/0!</v>
      </c>
      <c r="AA12" s="6" t="e">
        <f>Table4131236[[#This Row],[2 - Post 15min]]*$Y$27/(Table4131236[[#This Row],[10 - Post 15min]]*$Y$26)</f>
        <v>#DIV/0!</v>
      </c>
      <c r="AB12" s="6" t="e">
        <f>Table4131236[[#This Row],[2 - Post 20min]]*$Y$27/(Table4131236[[#This Row],[10 - Post 20min]]*$Y$26)</f>
        <v>#DIV/0!</v>
      </c>
      <c r="AC12" s="6" t="e">
        <f>-$Y$29/LN((Table131537[[#This Row],[G Pre]]-1)/(Table131537[[#This Row],[G Pre]]*$Z$26-$Z$27))</f>
        <v>#DIV/0!</v>
      </c>
      <c r="AD12" s="6" t="e">
        <f>-$Y$29/LN((Table131537[[#This Row],[G 5min]]-1)/(Table131537[[#This Row],[G 5min]]*$Z$26-$Z$27))</f>
        <v>#DIV/0!</v>
      </c>
      <c r="AE12" s="6" t="e">
        <f>-$Y$29/LN((Table131537[[#This Row],[G 10min]]-1)/(Table131537[[#This Row],[G 10min]]*$Z$26-$Z$27))</f>
        <v>#DIV/0!</v>
      </c>
      <c r="AF12" s="6" t="e">
        <f>-$Y$29/LN((Table131537[[#This Row],[G 15min]]-1)/(Table131537[[#This Row],[G 15min]]*$Z$26-$Z$27))</f>
        <v>#DIV/0!</v>
      </c>
      <c r="AG12" s="6" t="e">
        <f>-$Y$29/LN((Table131537[[#This Row],[G 20min]]-1)/(Table131537[[#This Row],[G 20min]]*$Z$26-$Z$27))</f>
        <v>#DIV/0!</v>
      </c>
    </row>
    <row r="13" spans="1:57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6">
        <f>Table4131236[[#This Row],[2 - Pre]]*$Y$27/(Table4131236[[#This Row],[10 - pre]]*$Y$26)</f>
        <v>1.2363071881879082</v>
      </c>
      <c r="Y13" s="6">
        <f>Table4131236[[#This Row],[2 - Post 5min]]*$Y$27/(Table4131236[[#This Row],[10 - Post 5min]]*$Y$26)</f>
        <v>0.77638274420849485</v>
      </c>
      <c r="Z13" s="6">
        <f>Table4131236[[#This Row],[2 - Post 10min]]*$Y$27/(Table4131236[[#This Row],[10 - Post 10min]]*$Y$26)</f>
        <v>0.78245123658299054</v>
      </c>
      <c r="AA13" s="6">
        <f>Table4131236[[#This Row],[2 - Post 15min]]*$Y$27/(Table4131236[[#This Row],[10 - Post 15min]]*$Y$26)</f>
        <v>0.63805596687220767</v>
      </c>
      <c r="AB13" s="6">
        <f>Table4131236[[#This Row],[2 - Post 20min]]*$Y$27/(Table4131236[[#This Row],[10 - Post 20min]]*$Y$26)</f>
        <v>0.58844490689280748</v>
      </c>
      <c r="AC13" s="6">
        <f>-$Y$29/LN((Table131537[[#This Row],[G Pre]]-1)/(Table131537[[#This Row],[G Pre]]*$Z$26-$Z$27))</f>
        <v>2.7314522927350668</v>
      </c>
      <c r="AD13" s="6">
        <f>-$Y$29/LN((Table131537[[#This Row],[G 5min]]-1)/(Table131537[[#This Row],[G 5min]]*$Z$26-$Z$27))</f>
        <v>-2.3792037540345978</v>
      </c>
      <c r="AE13" s="6">
        <f>-$Y$29/LN((Table131537[[#This Row],[G 10min]]-1)/(Table131537[[#This Row],[G 10min]]*$Z$26-$Z$27))</f>
        <v>-2.3129893421672998</v>
      </c>
      <c r="AF13" s="6">
        <f>-$Y$29/LN((Table131537[[#This Row],[G 15min]]-1)/(Table131537[[#This Row],[G 15min]]*$Z$26-$Z$27))</f>
        <v>-3.879303185844166</v>
      </c>
      <c r="AG13" s="6">
        <f>-$Y$29/LN((Table131537[[#This Row],[G 20min]]-1)/(Table131537[[#This Row],[G 20min]]*$Z$26-$Z$27))</f>
        <v>-4.4131049394314701</v>
      </c>
    </row>
    <row r="14" spans="1:57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6">
        <f>Table4131236[[#This Row],[2 - Pre]]*$Y$27/(Table4131236[[#This Row],[10 - pre]]*$Y$26)</f>
        <v>1.0619232192284132</v>
      </c>
      <c r="Y14" s="6">
        <f>Table4131236[[#This Row],[2 - Post 5min]]*$Y$27/(Table4131236[[#This Row],[10 - Post 5min]]*$Y$26)</f>
        <v>0.57048080817198843</v>
      </c>
      <c r="Z14" s="6">
        <f>Table4131236[[#This Row],[2 - Post 10min]]*$Y$27/(Table4131236[[#This Row],[10 - Post 10min]]*$Y$26)</f>
        <v>0.66189947040426877</v>
      </c>
      <c r="AA14" s="6">
        <f>Table4131236[[#This Row],[2 - Post 15min]]*$Y$27/(Table4131236[[#This Row],[10 - Post 15min]]*$Y$26)</f>
        <v>0.45579470559389446</v>
      </c>
      <c r="AB14" s="6">
        <f>Table4131236[[#This Row],[2 - Post 20min]]*$Y$27/(Table4131236[[#This Row],[10 - Post 20min]]*$Y$26)</f>
        <v>0.37011442608903877</v>
      </c>
      <c r="AC14" s="6">
        <f>-$Y$29/LN((Table131537[[#This Row],[G Pre]]-1)/(Table131537[[#This Row],[G Pre]]*$Z$26-$Z$27))</f>
        <v>0.767828532523677</v>
      </c>
      <c r="AD14" s="6">
        <f>-$Y$29/LN((Table131537[[#This Row],[G 5min]]-1)/(Table131537[[#This Row],[G 5min]]*$Z$26-$Z$27))</f>
        <v>-4.605853961975293</v>
      </c>
      <c r="AE14" s="6">
        <f>-$Y$29/LN((Table131537[[#This Row],[G 10min]]-1)/(Table131537[[#This Row],[G 10min]]*$Z$26-$Z$27))</f>
        <v>-3.6219700453603019</v>
      </c>
      <c r="AF14" s="6">
        <f>-$Y$29/LN((Table131537[[#This Row],[G 15min]]-1)/(Table131537[[#This Row],[G 15min]]*$Z$26-$Z$27))</f>
        <v>-5.8297000262282515</v>
      </c>
      <c r="AG14" s="6">
        <f>-$Y$29/LN((Table131537[[#This Row],[G 20min]]-1)/(Table131537[[#This Row],[G 20min]]*$Z$26-$Z$27))</f>
        <v>-6.7365373549305296</v>
      </c>
    </row>
    <row r="15" spans="1:57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>
        <f>Table4131236[[#This Row],[2 - Pre]]*$Y$27/(Table4131236[[#This Row],[10 - pre]]*$Y$26)</f>
        <v>0.97612846352329496</v>
      </c>
      <c r="Y15" s="6">
        <f>Table4131236[[#This Row],[2 - Post 5min]]*$Y$27/(Table4131236[[#This Row],[10 - Post 5min]]*$Y$26)</f>
        <v>0.60100071503119057</v>
      </c>
      <c r="Z15" s="6">
        <f>Table4131236[[#This Row],[2 - Post 10min]]*$Y$27/(Table4131236[[#This Row],[10 - Post 10min]]*$Y$26)</f>
        <v>0.49939512723837526</v>
      </c>
      <c r="AA15" s="6">
        <f>Table4131236[[#This Row],[2 - Post 15min]]*$Y$27/(Table4131236[[#This Row],[10 - Post 15min]]*$Y$26)</f>
        <v>0.33405324187125984</v>
      </c>
      <c r="AB15" s="6">
        <f>Table4131236[[#This Row],[2 - Post 20min]]*$Y$27/(Table4131236[[#This Row],[10 - Post 20min]]*$Y$26)</f>
        <v>0.30550067794450114</v>
      </c>
      <c r="AC15" s="6">
        <f>-$Y$29/LN((Table131537[[#This Row],[G Pre]]-1)/(Table131537[[#This Row],[G Pre]]*$Z$26-$Z$27))</f>
        <v>-0.17134143476079591</v>
      </c>
      <c r="AD15" s="6">
        <f>-$Y$29/LN((Table131537[[#This Row],[G 5min]]-1)/(Table131537[[#This Row],[G 5min]]*$Z$26-$Z$27))</f>
        <v>-4.278215092246346</v>
      </c>
      <c r="AE15" s="6">
        <f>-$Y$29/LN((Table131537[[#This Row],[G 10min]]-1)/(Table131537[[#This Row],[G 10min]]*$Z$26-$Z$27))</f>
        <v>-5.3657869150485897</v>
      </c>
      <c r="AF15" s="6">
        <f>-$Y$29/LN((Table131537[[#This Row],[G 15min]]-1)/(Table131537[[#This Row],[G 15min]]*$Z$26-$Z$27))</f>
        <v>-7.1163155119789065</v>
      </c>
      <c r="AG15" s="6">
        <f>-$Y$29/LN((Table131537[[#This Row],[G 20min]]-1)/(Table131537[[#This Row],[G 20min]]*$Z$26-$Z$27))</f>
        <v>-7.4162266872750875</v>
      </c>
    </row>
    <row r="16" spans="1:57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6" t="e">
        <f>Table4131236[[#This Row],[2 - Pre]]*$Y$27/(Table4131236[[#This Row],[10 - pre]]*$Y$26)</f>
        <v>#DIV/0!</v>
      </c>
      <c r="Y16" s="6">
        <f>Table4131236[[#This Row],[2 - Post 5min]]*$Y$27/(Table4131236[[#This Row],[10 - Post 5min]]*$Y$26)</f>
        <v>0.43684463488310199</v>
      </c>
      <c r="Z16" s="6">
        <f>Table4131236[[#This Row],[2 - Post 10min]]*$Y$27/(Table4131236[[#This Row],[10 - Post 10min]]*$Y$26)</f>
        <v>0.31775768202053734</v>
      </c>
      <c r="AA16" s="6">
        <f>Table4131236[[#This Row],[2 - Post 15min]]*$Y$27/(Table4131236[[#This Row],[10 - Post 15min]]*$Y$26)</f>
        <v>0.34798124931346058</v>
      </c>
      <c r="AB16" s="6">
        <f>Table4131236[[#This Row],[2 - Post 20min]]*$Y$27/(Table4131236[[#This Row],[10 - Post 20min]]*$Y$26)</f>
        <v>0.37686678742338203</v>
      </c>
      <c r="AC16" s="6" t="e">
        <f>-$Y$29/LN((Table131537[[#This Row],[G Pre]]-1)/(Table131537[[#This Row],[G Pre]]*$Z$26-$Z$27))</f>
        <v>#DIV/0!</v>
      </c>
      <c r="AD16" s="6">
        <f>-$Y$29/LN((Table131537[[#This Row],[G 5min]]-1)/(Table131537[[#This Row],[G 5min]]*$Z$26-$Z$27))</f>
        <v>-6.0308145065839218</v>
      </c>
      <c r="AE16" s="6">
        <f>-$Y$29/LN((Table131537[[#This Row],[G 10min]]-1)/(Table131537[[#This Row],[G 10min]]*$Z$26-$Z$27))</f>
        <v>-7.2875665789892015</v>
      </c>
      <c r="AF16" s="6">
        <f>-$Y$29/LN((Table131537[[#This Row],[G 15min]]-1)/(Table131537[[#This Row],[G 15min]]*$Z$26-$Z$27))</f>
        <v>-6.9697650255710979</v>
      </c>
      <c r="AG16" s="6">
        <f>-$Y$29/LN((Table131537[[#This Row],[G 20min]]-1)/(Table131537[[#This Row],[G 20min]]*$Z$26-$Z$27))</f>
        <v>-6.6653007265481978</v>
      </c>
    </row>
    <row r="17" spans="1:33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>
        <f>Table4131236[[#This Row],[2 - Pre]]*$Y$27/(Table4131236[[#This Row],[10 - pre]]*$Y$26)</f>
        <v>1.5105493732650053</v>
      </c>
      <c r="Y17" s="6">
        <f>Table4131236[[#This Row],[2 - Post 5min]]*$Y$27/(Table4131236[[#This Row],[10 - Post 5min]]*$Y$26)</f>
        <v>0.66099723473562866</v>
      </c>
      <c r="Z17" s="6">
        <f>Table4131236[[#This Row],[2 - Post 10min]]*$Y$27/(Table4131236[[#This Row],[10 - Post 10min]]*$Y$26)</f>
        <v>0.64855616265651139</v>
      </c>
      <c r="AA17" s="6">
        <f>Table4131236[[#This Row],[2 - Post 15min]]*$Y$27/(Table4131236[[#This Row],[10 - Post 15min]]*$Y$26)</f>
        <v>0.6217384236964516</v>
      </c>
      <c r="AB17" s="6">
        <f>Table4131236[[#This Row],[2 - Post 20min]]*$Y$27/(Table4131236[[#This Row],[10 - Post 20min]]*$Y$26)</f>
        <v>0.61344544151812763</v>
      </c>
      <c r="AC17" s="6">
        <f>-$Y$29/LN((Table131537[[#This Row],[G Pre]]-1)/(Table131537[[#This Row],[G Pre]]*$Z$26-$Z$27))</f>
        <v>5.8757962590103148</v>
      </c>
      <c r="AD17" s="6">
        <f>-$Y$29/LN((Table131537[[#This Row],[G 5min]]-1)/(Table131537[[#This Row],[G 5min]]*$Z$26-$Z$27))</f>
        <v>-3.631716809050217</v>
      </c>
      <c r="AE17" s="6">
        <f>-$Y$29/LN((Table131537[[#This Row],[G 10min]]-1)/(Table131537[[#This Row],[G 10min]]*$Z$26-$Z$27))</f>
        <v>-3.7660418111737894</v>
      </c>
      <c r="AF17" s="6">
        <f>-$Y$29/LN((Table131537[[#This Row],[G 15min]]-1)/(Table131537[[#This Row],[G 15min]]*$Z$26-$Z$27))</f>
        <v>-4.0551179547737588</v>
      </c>
      <c r="AG17" s="6">
        <f>-$Y$29/LN((Table131537[[#This Row],[G 20min]]-1)/(Table131537[[#This Row],[G 20min]]*$Z$26-$Z$27))</f>
        <v>-4.1443802093380615</v>
      </c>
    </row>
    <row r="18" spans="1:33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>
        <f>Table4131236[[#This Row],[2 - Pre]]*$Y$27/(Table4131236[[#This Row],[10 - pre]]*$Y$26)</f>
        <v>1.5694549972273848</v>
      </c>
      <c r="Y18" s="6">
        <f>Table4131236[[#This Row],[2 - Post 5min]]*$Y$27/(Table4131236[[#This Row],[10 - Post 5min]]*$Y$26)</f>
        <v>0.82602312065182359</v>
      </c>
      <c r="Z18" s="6">
        <f>Table4131236[[#This Row],[2 - Post 10min]]*$Y$27/(Table4131236[[#This Row],[10 - Post 10min]]*$Y$26)</f>
        <v>0.78806245165314204</v>
      </c>
      <c r="AA18" s="6">
        <f>Table4131236[[#This Row],[2 - Post 15min]]*$Y$27/(Table4131236[[#This Row],[10 - Post 15min]]*$Y$26)</f>
        <v>0.52790424087456678</v>
      </c>
      <c r="AB18" s="6">
        <f>Table4131236[[#This Row],[2 - Post 20min]]*$Y$27/(Table4131236[[#This Row],[10 - Post 20min]]*$Y$26)</f>
        <v>0.48868900631629913</v>
      </c>
      <c r="AC18" s="6">
        <f>-$Y$29/LN((Table131537[[#This Row],[G Pre]]-1)/(Table131537[[#This Row],[G Pre]]*$Z$26-$Z$27))</f>
        <v>6.5607565654040521</v>
      </c>
      <c r="AD18" s="6">
        <f>-$Y$29/LN((Table131537[[#This Row],[G 5min]]-1)/(Table131537[[#This Row],[G 5min]]*$Z$26-$Z$27))</f>
        <v>-1.8365340138800161</v>
      </c>
      <c r="AE18" s="6">
        <f>-$Y$29/LN((Table131537[[#This Row],[G 10min]]-1)/(Table131537[[#This Row],[G 10min]]*$Z$26-$Z$27))</f>
        <v>-2.2517333782076125</v>
      </c>
      <c r="AF18" s="6">
        <f>-$Y$29/LN((Table131537[[#This Row],[G 15min]]-1)/(Table131537[[#This Row],[G 15min]]*$Z$26-$Z$27))</f>
        <v>-5.0615476428904129</v>
      </c>
      <c r="AG18" s="6">
        <f>-$Y$29/LN((Table131537[[#This Row],[G 20min]]-1)/(Table131537[[#This Row],[G 20min]]*$Z$26-$Z$27))</f>
        <v>-5.4798549404960131</v>
      </c>
    </row>
    <row r="19" spans="1:33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 t="e">
        <f>Table4131236[[#This Row],[2 - Pre]]*$Y$27/(Table4131236[[#This Row],[10 - pre]]*$Y$26)</f>
        <v>#DIV/0!</v>
      </c>
      <c r="Y19" s="6" t="e">
        <f>Table4131236[[#This Row],[2 - Post 5min]]*$Y$27/(Table4131236[[#This Row],[10 - Post 5min]]*$Y$26)</f>
        <v>#DIV/0!</v>
      </c>
      <c r="Z19" s="6" t="e">
        <f>Table4131236[[#This Row],[2 - Post 10min]]*$Y$27/(Table4131236[[#This Row],[10 - Post 10min]]*$Y$26)</f>
        <v>#DIV/0!</v>
      </c>
      <c r="AA19" s="6" t="e">
        <f>Table4131236[[#This Row],[2 - Post 15min]]*$Y$27/(Table4131236[[#This Row],[10 - Post 15min]]*$Y$26)</f>
        <v>#DIV/0!</v>
      </c>
      <c r="AB19" s="6" t="e">
        <f>Table4131236[[#This Row],[2 - Post 20min]]*$Y$27/(Table4131236[[#This Row],[10 - Post 20min]]*$Y$26)</f>
        <v>#DIV/0!</v>
      </c>
      <c r="AC19" s="6" t="e">
        <f>-$Y$29/LN((Table131537[[#This Row],[G Pre]]-1)/(Table131537[[#This Row],[G Pre]]*$Z$26-$Z$27))</f>
        <v>#DIV/0!</v>
      </c>
      <c r="AD19" s="6" t="e">
        <f>-$Y$29/LN((Table131537[[#This Row],[G 5min]]-1)/(Table131537[[#This Row],[G 5min]]*$Z$26-$Z$27))</f>
        <v>#DIV/0!</v>
      </c>
      <c r="AE19" s="6" t="e">
        <f>-$Y$29/LN((Table131537[[#This Row],[G 10min]]-1)/(Table131537[[#This Row],[G 10min]]*$Z$26-$Z$27))</f>
        <v>#DIV/0!</v>
      </c>
      <c r="AF19" s="6" t="e">
        <f>-$Y$29/LN((Table131537[[#This Row],[G 15min]]-1)/(Table131537[[#This Row],[G 15min]]*$Z$26-$Z$27))</f>
        <v>#DIV/0!</v>
      </c>
      <c r="AG19" s="6" t="e">
        <f>-$Y$29/LN((Table131537[[#This Row],[G 20min]]-1)/(Table131537[[#This Row],[G 20min]]*$Z$26-$Z$27))</f>
        <v>#DIV/0!</v>
      </c>
    </row>
    <row r="20" spans="1:33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6">
        <f>Table4131236[[#This Row],[2 - Pre]]*$Y$27/(Table4131236[[#This Row],[10 - pre]]*$Y$26)</f>
        <v>1.3738618619733964</v>
      </c>
      <c r="Y20" s="6">
        <f>Table4131236[[#This Row],[2 - Post 5min]]*$Y$27/(Table4131236[[#This Row],[10 - Post 5min]]*$Y$26)</f>
        <v>0.79023971228624246</v>
      </c>
      <c r="Z20" s="6">
        <f>Table4131236[[#This Row],[2 - Post 10min]]*$Y$27/(Table4131236[[#This Row],[10 - Post 10min]]*$Y$26)</f>
        <v>0.66272534536309091</v>
      </c>
      <c r="AA20" s="6">
        <f>Table4131236[[#This Row],[2 - Post 15min]]*$Y$27/(Table4131236[[#This Row],[10 - Post 15min]]*$Y$26)</f>
        <v>0.63667934148405081</v>
      </c>
      <c r="AB20" s="6">
        <f>Table4131236[[#This Row],[2 - Post 20min]]*$Y$27/(Table4131236[[#This Row],[10 - Post 20min]]*$Y$26)</f>
        <v>0.64230102168288161</v>
      </c>
      <c r="AC20" s="6">
        <f>-$Y$29/LN((Table131537[[#This Row],[G Pre]]-1)/(Table131537[[#This Row],[G Pre]]*$Z$26-$Z$27))</f>
        <v>4.2995258386704629</v>
      </c>
      <c r="AD20" s="6">
        <f>-$Y$29/LN((Table131537[[#This Row],[G 5min]]-1)/(Table131537[[#This Row],[G 5min]]*$Z$26-$Z$27))</f>
        <v>-2.227956825430629</v>
      </c>
      <c r="AE20" s="6">
        <f>-$Y$29/LN((Table131537[[#This Row],[G 10min]]-1)/(Table131537[[#This Row],[G 10min]]*$Z$26-$Z$27))</f>
        <v>-3.6130475561858288</v>
      </c>
      <c r="AF20" s="6">
        <f>-$Y$29/LN((Table131537[[#This Row],[G 15min]]-1)/(Table131537[[#This Row],[G 15min]]*$Z$26-$Z$27))</f>
        <v>-3.8941449584110299</v>
      </c>
      <c r="AG20" s="6">
        <f>-$Y$29/LN((Table131537[[#This Row],[G 20min]]-1)/(Table131537[[#This Row],[G 20min]]*$Z$26-$Z$27))</f>
        <v>-3.8335254016901299</v>
      </c>
    </row>
    <row r="21" spans="1:33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6">
        <f>Table4131236[[#This Row],[2 - Pre]]*$Y$27/(Table4131236[[#This Row],[10 - pre]]*$Y$26)</f>
        <v>1.1528870038881018</v>
      </c>
      <c r="Y21" s="6">
        <f>Table4131236[[#This Row],[2 - Post 5min]]*$Y$27/(Table4131236[[#This Row],[10 - Post 5min]]*$Y$26)</f>
        <v>1.3454725169681516</v>
      </c>
      <c r="Z21" s="6">
        <f>Table4131236[[#This Row],[2 - Post 10min]]*$Y$27/(Table4131236[[#This Row],[10 - Post 10min]]*$Y$26)</f>
        <v>0.6366173964721743</v>
      </c>
      <c r="AA21" s="6">
        <f>Table4131236[[#This Row],[2 - Post 15min]]*$Y$27/(Table4131236[[#This Row],[10 - Post 15min]]*$Y$26)</f>
        <v>0.62608330753810471</v>
      </c>
      <c r="AB21" s="6">
        <f>Table4131236[[#This Row],[2 - Post 20min]]*$Y$27/(Table4131236[[#This Row],[10 - Post 20min]]*$Y$26)</f>
        <v>0.55348396844773273</v>
      </c>
      <c r="AC21" s="6">
        <f>-$Y$29/LN((Table131537[[#This Row],[G Pre]]-1)/(Table131537[[#This Row],[G Pre]]*$Z$26-$Z$27))</f>
        <v>1.7890805986638842</v>
      </c>
      <c r="AD21" s="6">
        <f>-$Y$29/LN((Table131537[[#This Row],[G 5min]]-1)/(Table131537[[#This Row],[G 5min]]*$Z$26-$Z$27))</f>
        <v>3.9744191108492002</v>
      </c>
      <c r="AE21" s="6">
        <f>-$Y$29/LN((Table131537[[#This Row],[G 10min]]-1)/(Table131537[[#This Row],[G 10min]]*$Z$26-$Z$27))</f>
        <v>-3.8948127645071087</v>
      </c>
      <c r="AF21" s="6">
        <f>-$Y$29/LN((Table131537[[#This Row],[G 15min]]-1)/(Table131537[[#This Row],[G 15min]]*$Z$26-$Z$27))</f>
        <v>-4.0083268935650134</v>
      </c>
      <c r="AG21" s="6">
        <f>-$Y$29/LN((Table131537[[#This Row],[G 20min]]-1)/(Table131537[[#This Row],[G 20min]]*$Z$26-$Z$27))</f>
        <v>-4.7879616123941267</v>
      </c>
    </row>
    <row r="22" spans="1:33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 t="e">
        <f>Table4131236[[#This Row],[2 - Pre]]*$Y$27/(Table4131236[[#This Row],[10 - pre]]*$Y$26)</f>
        <v>#DIV/0!</v>
      </c>
      <c r="Y22" s="6" t="e">
        <f>Table4131236[[#This Row],[2 - Post 5min]]*$Y$27/(Table4131236[[#This Row],[10 - Post 5min]]*$Y$26)</f>
        <v>#DIV/0!</v>
      </c>
      <c r="Z22" s="6" t="e">
        <f>Table4131236[[#This Row],[2 - Post 10min]]*$Y$27/(Table4131236[[#This Row],[10 - Post 10min]]*$Y$26)</f>
        <v>#DIV/0!</v>
      </c>
      <c r="AA22" s="6" t="e">
        <f>Table4131236[[#This Row],[2 - Post 15min]]*$Y$27/(Table4131236[[#This Row],[10 - Post 15min]]*$Y$26)</f>
        <v>#DIV/0!</v>
      </c>
      <c r="AB22" s="6" t="e">
        <f>Table4131236[[#This Row],[2 - Post 20min]]*$Y$27/(Table4131236[[#This Row],[10 - Post 20min]]*$Y$26)</f>
        <v>#DIV/0!</v>
      </c>
      <c r="AC22" s="6" t="e">
        <f>-$Y$29/LN((Table131537[[#This Row],[G Pre]]-1)/(Table131537[[#This Row],[G Pre]]*$Z$26-$Z$27))</f>
        <v>#DIV/0!</v>
      </c>
      <c r="AD22" s="6" t="e">
        <f>-$Y$29/LN((Table131537[[#This Row],[G 5min]]-1)/(Table131537[[#This Row],[G 5min]]*$Z$26-$Z$27))</f>
        <v>#DIV/0!</v>
      </c>
      <c r="AE22" s="6" t="e">
        <f>-$Y$29/LN((Table131537[[#This Row],[G 10min]]-1)/(Table131537[[#This Row],[G 10min]]*$Z$26-$Z$27))</f>
        <v>#DIV/0!</v>
      </c>
      <c r="AF22" s="6" t="e">
        <f>-$Y$29/LN((Table131537[[#This Row],[G 15min]]-1)/(Table131537[[#This Row],[G 15min]]*$Z$26-$Z$27))</f>
        <v>#DIV/0!</v>
      </c>
      <c r="AG22" s="6" t="e">
        <f>-$Y$29/LN((Table131537[[#This Row],[G 20min]]-1)/(Table131537[[#This Row],[G 20min]]*$Z$26-$Z$27))</f>
        <v>#DIV/0!</v>
      </c>
    </row>
    <row r="23" spans="1:33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6">
        <f>Table4131236[[#This Row],[2 - Pre]]*$Y$27/(Table4131236[[#This Row],[10 - pre]]*$Y$26)</f>
        <v>1.3380704444072569</v>
      </c>
      <c r="Y23" s="6">
        <f>Table4131236[[#This Row],[2 - Post 5min]]*$Y$27/(Table4131236[[#This Row],[10 - Post 5min]]*$Y$26)</f>
        <v>0.6211020799720649</v>
      </c>
      <c r="Z23" s="6">
        <f>Table4131236[[#This Row],[2 - Post 10min]]*$Y$27/(Table4131236[[#This Row],[10 - Post 10min]]*$Y$26)</f>
        <v>0.58927846066646894</v>
      </c>
      <c r="AA23" s="6">
        <f>Table4131236[[#This Row],[2 - Post 15min]]*$Y$27/(Table4131236[[#This Row],[10 - Post 15min]]*$Y$26)</f>
        <v>0.4255430917564314</v>
      </c>
      <c r="AB23" s="6">
        <f>Table4131236[[#This Row],[2 - Post 20min]]*$Y$27/(Table4131236[[#This Row],[10 - Post 20min]]*$Y$26)</f>
        <v>0.47547072229339005</v>
      </c>
      <c r="AC23" s="6">
        <f>-$Y$29/LN((Table131537[[#This Row],[G Pre]]-1)/(Table131537[[#This Row],[G Pre]]*$Z$26-$Z$27))</f>
        <v>3.8897800838098955</v>
      </c>
      <c r="AD23" s="6">
        <f>-$Y$29/LN((Table131537[[#This Row],[G 5min]]-1)/(Table131537[[#This Row],[G 5min]]*$Z$26-$Z$27))</f>
        <v>-4.0619694719356172</v>
      </c>
      <c r="AE23" s="6">
        <f>-$Y$29/LN((Table131537[[#This Row],[G 10min]]-1)/(Table131537[[#This Row],[G 10min]]*$Z$26-$Z$27))</f>
        <v>-4.4041542260278446</v>
      </c>
      <c r="AF23" s="6">
        <f>-$Y$29/LN((Table131537[[#This Row],[G 15min]]-1)/(Table131537[[#This Row],[G 15min]]*$Z$26-$Z$27))</f>
        <v>-6.15060781532015</v>
      </c>
      <c r="AG23" s="6">
        <f>-$Y$29/LN((Table131537[[#This Row],[G 20min]]-1)/(Table131537[[#This Row],[G 20min]]*$Z$26-$Z$27))</f>
        <v>-5.6205505242602429</v>
      </c>
    </row>
    <row r="24" spans="1:33">
      <c r="X24" s="12"/>
      <c r="Y24" s="12"/>
      <c r="Z24" s="12"/>
      <c r="AA24" s="12"/>
      <c r="AB24" s="12"/>
    </row>
    <row r="25" spans="1:33">
      <c r="L25" t="s">
        <v>74</v>
      </c>
      <c r="M25">
        <v>4.7130000000000001</v>
      </c>
      <c r="X25" s="2" t="s">
        <v>32</v>
      </c>
      <c r="Y25" s="2" t="s">
        <v>33</v>
      </c>
      <c r="Z25" s="2" t="s">
        <v>34</v>
      </c>
      <c r="AA25" s="2" t="s">
        <v>35</v>
      </c>
    </row>
    <row r="26" spans="1:33">
      <c r="L26" t="s">
        <v>75</v>
      </c>
      <c r="M26">
        <v>4.8760000000000003</v>
      </c>
      <c r="X26" s="2">
        <v>2</v>
      </c>
      <c r="Y26" s="2">
        <f>SIN(X26*PI()/180)</f>
        <v>3.4899496702500969E-2</v>
      </c>
      <c r="Z26" s="2">
        <f>COS(X26*PI()/180)</f>
        <v>0.99939082701909576</v>
      </c>
      <c r="AA26" s="2">
        <f>TAN(X26*PI()/180)/2</f>
        <v>1.7460384745873865E-2</v>
      </c>
      <c r="AC26">
        <f>Y26*(1-Z27)/((Y27*(1-Z26)))</f>
        <v>5.0122221765268851</v>
      </c>
    </row>
    <row r="27" spans="1:33">
      <c r="X27" s="2">
        <v>10</v>
      </c>
      <c r="Y27" s="2">
        <f>SIN(X27*PI()/180)</f>
        <v>0.17364817766693033</v>
      </c>
      <c r="Z27" s="2">
        <f>COS(X27*PI()/180)</f>
        <v>0.98480775301220802</v>
      </c>
      <c r="AA27" s="2">
        <f>TAN(X27*PI()/180)/2</f>
        <v>8.8163490354232488E-2</v>
      </c>
    </row>
    <row r="28" spans="1:33">
      <c r="X28" s="2"/>
      <c r="Y28" s="2"/>
      <c r="Z28" s="2"/>
      <c r="AA28" s="2"/>
    </row>
    <row r="29" spans="1:33">
      <c r="X29" s="2" t="s">
        <v>29</v>
      </c>
      <c r="Y29" s="2">
        <v>0.16200000000000001</v>
      </c>
      <c r="Z29" s="2"/>
      <c r="AA29" s="2"/>
    </row>
    <row r="30" spans="1:33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L30" s="2"/>
      <c r="M30" s="2" t="s">
        <v>76</v>
      </c>
      <c r="N30" s="2" t="s">
        <v>79</v>
      </c>
      <c r="O30" s="2" t="s">
        <v>77</v>
      </c>
      <c r="P30" s="2" t="s">
        <v>78</v>
      </c>
      <c r="Q30" s="2" t="s">
        <v>80</v>
      </c>
      <c r="R30" s="2" t="s">
        <v>81</v>
      </c>
      <c r="S30" s="2" t="s">
        <v>82</v>
      </c>
      <c r="T30" s="2" t="s">
        <v>83</v>
      </c>
      <c r="U30" s="2" t="s">
        <v>84</v>
      </c>
      <c r="V30" s="2" t="s">
        <v>85</v>
      </c>
      <c r="X30" s="1" t="s">
        <v>49</v>
      </c>
      <c r="Y30" s="1" t="s">
        <v>50</v>
      </c>
      <c r="Z30" s="1" t="s">
        <v>51</v>
      </c>
      <c r="AA30" s="1" t="s">
        <v>52</v>
      </c>
      <c r="AB30" s="1" t="s">
        <v>53</v>
      </c>
      <c r="AC30" s="1" t="s">
        <v>54</v>
      </c>
      <c r="AD30" s="1" t="s">
        <v>55</v>
      </c>
      <c r="AE30" s="1" t="s">
        <v>56</v>
      </c>
      <c r="AF30" s="1" t="s">
        <v>57</v>
      </c>
      <c r="AG30" s="1" t="s">
        <v>58</v>
      </c>
    </row>
    <row r="31" spans="1:33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L31" s="5"/>
      <c r="M31" s="5" t="e">
        <f>Table413162638[[#This Row],[10 - pre]]/$M$25</f>
        <v>#DIV/0!</v>
      </c>
      <c r="N31" s="5" t="e">
        <f>Table413162638[[#This Row],[10 - pre]]/$M$32</f>
        <v>#DIV/0!</v>
      </c>
      <c r="O31" s="5" t="e">
        <f>Table413162638[[#This Row],[10 - Post 5min]]/$M$26</f>
        <v>#DIV/0!</v>
      </c>
      <c r="P31" s="5" t="e">
        <f>Table413162638[[#This Row],[10 - Post 5min]]/$O$32</f>
        <v>#DIV/0!</v>
      </c>
      <c r="Q31" s="5" t="e">
        <f>Table413162638[[#This Row],[10 - Post 10min]]/$M$26</f>
        <v>#DIV/0!</v>
      </c>
      <c r="R31" s="5" t="e">
        <f>Table413162638[[#This Row],[10 - Post 10min]]/$Q$32</f>
        <v>#DIV/0!</v>
      </c>
      <c r="S31" s="5" t="e">
        <f>Table413162638[[#This Row],[10 - Post 15min]]/$M$26</f>
        <v>#DIV/0!</v>
      </c>
      <c r="T31" s="5" t="e">
        <f>Table413162638[[#This Row],[10 - Post 15min]]/$S$32</f>
        <v>#DIV/0!</v>
      </c>
      <c r="U31" s="5" t="e">
        <f>Table413162638[[#This Row],[10 - Post 20min]]/$M$26</f>
        <v>#DIV/0!</v>
      </c>
      <c r="V31" s="5" t="e">
        <f>Table413162638[[#This Row],[10 - Post 20min]]/$U$32</f>
        <v>#DIV/0!</v>
      </c>
      <c r="X31" s="6" t="e">
        <f>1*$Y$27/(Table2841[[#This Row],[S10 pre]]*$Y$26)</f>
        <v>#DIV/0!</v>
      </c>
      <c r="Y31" s="6" t="e">
        <f>1*$Y$27/(Table2841[[#This Row],[S10 5 min]]*$Y$26)</f>
        <v>#DIV/0!</v>
      </c>
      <c r="Z31" s="6" t="e">
        <f>1*$Y$27/(Table2841[[#This Row],[S 10]]*$Y$26)</f>
        <v>#DIV/0!</v>
      </c>
      <c r="AA31" s="6" t="e">
        <f>1*$Y$27/(Table2841[[#This Row],[S 15]]*$Y$26)</f>
        <v>#DIV/0!</v>
      </c>
      <c r="AB31" s="6" t="e">
        <f>1*$Y$27/(Table2841[[#This Row],[S 20]]*$Y$26)</f>
        <v>#DIV/0!</v>
      </c>
      <c r="AC31" s="6" t="e">
        <f>-$Y$29/LN((Table13172739[[#This Row],[G Pre]]-1)/(Table13172739[[#This Row],[G Pre]]*$Z$26-$Z$27))</f>
        <v>#DIV/0!</v>
      </c>
      <c r="AD31" s="6" t="e">
        <f>-$Y$29/LN((Table13172739[[#This Row],[G 5min]]-1)/(Table13172739[[#This Row],[G 5min]]*$Z$26-$Z$27))</f>
        <v>#DIV/0!</v>
      </c>
      <c r="AE31" s="6" t="e">
        <f>-$Y$29/LN((Table13172739[[#This Row],[G 10min]]-1)/(Table13172739[[#This Row],[G 10min]]*$Z$26-$Z$27))</f>
        <v>#DIV/0!</v>
      </c>
      <c r="AF31" s="6" t="e">
        <f>-$Y$29/LN((Table13172739[[#This Row],[G 15min]]-1)/(Table13172739[[#This Row],[G 15min]]*$Z$26-$Z$27))</f>
        <v>#DIV/0!</v>
      </c>
      <c r="AG31" s="6" t="e">
        <f>-$Y$29/LN((Table13172739[[#This Row],[G 20min]]-1)/(Table13172739[[#This Row],[G 20min]]*$Z$26-$Z$27))</f>
        <v>#DIV/0!</v>
      </c>
    </row>
    <row r="32" spans="1:33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L32" s="5"/>
      <c r="M32" s="5">
        <f>Table413162638[[#This Row],[10 - pre]]/$M$25</f>
        <v>0.81159843820433242</v>
      </c>
      <c r="N32" s="5">
        <f>Table413162638[[#This Row],[10 - pre]]/$M$32</f>
        <v>4.7130000000000001</v>
      </c>
      <c r="O32" s="5">
        <f>Table413162638[[#This Row],[10 - Post 5min]]/$M$26</f>
        <v>1.8188532736449734</v>
      </c>
      <c r="P32" s="5">
        <f>Table413162638[[#This Row],[10 - Post 5min]]/$O$32</f>
        <v>4.8760000000000003</v>
      </c>
      <c r="Q32" s="5">
        <f>Table413162638[[#This Row],[10 - Post 10min]]/$M$26</f>
        <v>1.6827876958598624</v>
      </c>
      <c r="R32" s="5">
        <f>Table413162638[[#This Row],[10 - Post 10min]]/$Q$32</f>
        <v>4.8760000000000003</v>
      </c>
      <c r="S32" s="5">
        <f>Table413162638[[#This Row],[10 - Post 15min]]/$M$26</f>
        <v>1.9776823315632124</v>
      </c>
      <c r="T32" s="5">
        <f>Table413162638[[#This Row],[10 - Post 15min]]/$S$32</f>
        <v>4.8760000000000003</v>
      </c>
      <c r="U32" s="5">
        <f>Table413162638[[#This Row],[10 - Post 20min]]/$M$26</f>
        <v>2.482533823888617</v>
      </c>
      <c r="V32" s="5">
        <f>Table413162638[[#This Row],[10 - Post 20min]]/$U$32</f>
        <v>4.8760000000000003</v>
      </c>
      <c r="X32" s="6">
        <f>1*$Y$27/(Table2841[[#This Row],[S10 pre]]*$Y$26)</f>
        <v>1.0557318561431761</v>
      </c>
      <c r="Y32" s="6">
        <f>1*$Y$27/(Table2841[[#This Row],[S10 5 min]]*$Y$26)</f>
        <v>1.0204397534870362</v>
      </c>
      <c r="Z32" s="6">
        <f>1*$Y$27/(Table2841[[#This Row],[S 10]]*$Y$26)</f>
        <v>1.0204397534870362</v>
      </c>
      <c r="AA32" s="6">
        <f>1*$Y$27/(Table2841[[#This Row],[S 15]]*$Y$26)</f>
        <v>1.0204397534870362</v>
      </c>
      <c r="AB32" s="6">
        <f>1*$Y$27/(Table2841[[#This Row],[S 20]]*$Y$26)</f>
        <v>1.0204397534870362</v>
      </c>
      <c r="AC32" s="6">
        <f>-$Y$29/LN((Table13172739[[#This Row],[G Pre]]-1)/(Table13172739[[#This Row],[G Pre]]*$Z$26-$Z$27))</f>
        <v>0.69842849968662957</v>
      </c>
      <c r="AD32" s="6">
        <f>-$Y$29/LN((Table13172739[[#This Row],[G 5min]]-1)/(Table13172739[[#This Row],[G 5min]]*$Z$26-$Z$27))</f>
        <v>0.30102416560297762</v>
      </c>
      <c r="AE32" s="6">
        <f>-$Y$29/LN((Table13172739[[#This Row],[G 10min]]-1)/(Table13172739[[#This Row],[G 10min]]*$Z$26-$Z$27))</f>
        <v>0.30102416560297762</v>
      </c>
      <c r="AF32" s="6">
        <f>-$Y$29/LN((Table13172739[[#This Row],[G 15min]]-1)/(Table13172739[[#This Row],[G 15min]]*$Z$26-$Z$27))</f>
        <v>0.30102416560297762</v>
      </c>
      <c r="AG32" s="6">
        <f>-$Y$29/LN((Table13172739[[#This Row],[G 20min]]-1)/(Table13172739[[#This Row],[G 20min]]*$Z$26-$Z$27))</f>
        <v>0.30102416560297762</v>
      </c>
    </row>
    <row r="33" spans="1:33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L33" s="5"/>
      <c r="M33" s="5">
        <f>Table413162638[[#This Row],[10 - pre]]/$M$25</f>
        <v>1.0783464824685673</v>
      </c>
      <c r="N33" s="5">
        <f>Table413162638[[#This Row],[10 - pre]]/$M$32</f>
        <v>6.2620216262599859</v>
      </c>
      <c r="O33" s="5">
        <f>Table413162638[[#This Row],[10 - Post 5min]]/$M$26</f>
        <v>0.78551451731139421</v>
      </c>
      <c r="P33" s="5">
        <f>Table413162638[[#This Row],[10 - Post 5min]]/$O$32</f>
        <v>2.1058151539264727</v>
      </c>
      <c r="Q33" s="5">
        <f>Table413162638[[#This Row],[10 - Post 10min]]/$M$26</f>
        <v>2.5558995199580283</v>
      </c>
      <c r="R33" s="5">
        <f>Table413162638[[#This Row],[10 - Post 10min]]/$Q$32</f>
        <v>7.4059051477359947</v>
      </c>
      <c r="S33" s="5">
        <f>Table413162638[[#This Row],[10 - Post 15min]]/$M$26</f>
        <v>2.7053750990330609</v>
      </c>
      <c r="T33" s="5">
        <f>Table413162638[[#This Row],[10 - Post 15min]]/$S$32</f>
        <v>6.6701354268854525</v>
      </c>
      <c r="U33" s="5">
        <f>Table413162638[[#This Row],[10 - Post 20min]]/$M$26</f>
        <v>2.3032676038244513</v>
      </c>
      <c r="V33" s="5">
        <f>Table413162638[[#This Row],[10 - Post 20min]]/$U$32</f>
        <v>4.5238992227128305</v>
      </c>
      <c r="X33" s="6">
        <f>1*$Y$27/(Table2841[[#This Row],[S10 pre]]*$Y$26)</f>
        <v>0.79457793903763985</v>
      </c>
      <c r="Y33" s="6">
        <f>1*$Y$27/(Table2841[[#This Row],[S10 5 min]]*$Y$26)</f>
        <v>2.3628209858425779</v>
      </c>
      <c r="Z33" s="6">
        <f>1*$Y$27/(Table2841[[#This Row],[S 10]]*$Y$26)</f>
        <v>0.67185092689498771</v>
      </c>
      <c r="AA33" s="6">
        <f>1*$Y$27/(Table2841[[#This Row],[S 15]]*$Y$26)</f>
        <v>0.74596150146326512</v>
      </c>
      <c r="AB33" s="6">
        <f>1*$Y$27/(Table2841[[#This Row],[S 20]]*$Y$26)</f>
        <v>1.0998618654062435</v>
      </c>
      <c r="AC33" s="6">
        <f>-$Y$29/LN((Table13172739[[#This Row],[G Pre]]-1)/(Table13172739[[#This Row],[G Pre]]*$Z$26-$Z$27))</f>
        <v>-2.1805682039745902</v>
      </c>
      <c r="AD33" s="6">
        <f>-$Y$29/LN((Table13172739[[#This Row],[G 5min]]-1)/(Table13172739[[#This Row],[G 5min]]*$Z$26-$Z$27))</f>
        <v>16.134010781005607</v>
      </c>
      <c r="AE33" s="6">
        <f>-$Y$29/LN((Table13172739[[#This Row],[G 10min]]-1)/(Table13172739[[#This Row],[G 10min]]*$Z$26-$Z$27))</f>
        <v>-3.5144167552198056</v>
      </c>
      <c r="AF33" s="6">
        <f>-$Y$29/LN((Table13172739[[#This Row],[G 15min]]-1)/(Table13172739[[#This Row],[G 15min]]*$Z$26-$Z$27))</f>
        <v>-2.7106154447336674</v>
      </c>
      <c r="AG33" s="6">
        <f>-$Y$29/LN((Table13172739[[#This Row],[G 20min]]-1)/(Table13172739[[#This Row],[G 20min]]*$Z$26-$Z$27))</f>
        <v>1.193156997918041</v>
      </c>
    </row>
    <row r="34" spans="1:33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L34" s="5"/>
      <c r="M34" s="5">
        <f>Table413162638[[#This Row],[10 - pre]]/$M$25</f>
        <v>0.95332577345865144</v>
      </c>
      <c r="N34" s="5">
        <f>Table413162638[[#This Row],[10 - pre]]/$M$32</f>
        <v>5.5360189951221122</v>
      </c>
      <c r="O34" s="5">
        <f>Table413162638[[#This Row],[10 - Post 5min]]/$M$26</f>
        <v>2.3081600777387834</v>
      </c>
      <c r="P34" s="5">
        <f>Table413162638[[#This Row],[10 - Post 5min]]/$O$32</f>
        <v>6.1877385615059355</v>
      </c>
      <c r="Q34" s="5">
        <f>Table413162638[[#This Row],[10 - Post 10min]]/$M$26</f>
        <v>2.1589966977769763</v>
      </c>
      <c r="R34" s="5">
        <f>Table413162638[[#This Row],[10 - Post 10min]]/$Q$32</f>
        <v>6.2558502919058769</v>
      </c>
      <c r="S34" s="5">
        <f>Table413162638[[#This Row],[10 - Post 15min]]/$M$26</f>
        <v>2.9655402763722272</v>
      </c>
      <c r="T34" s="5">
        <f>Table413162638[[#This Row],[10 - Post 15min]]/$S$32</f>
        <v>7.3115758566551152</v>
      </c>
      <c r="U34" s="5">
        <f>Table413162638[[#This Row],[10 - Post 20min]]/$M$26</f>
        <v>2.5323264651344175</v>
      </c>
      <c r="V34" s="5">
        <f>Table413162638[[#This Row],[10 - Post 20min]]/$U$32</f>
        <v>4.9737988361641818</v>
      </c>
      <c r="X34" s="6">
        <f>1*$Y$27/(Table2841[[#This Row],[S10 pre]]*$Y$26)</f>
        <v>0.89878019609162063</v>
      </c>
      <c r="Y34" s="6">
        <f>1*$Y$27/(Table2841[[#This Row],[S10 5 min]]*$Y$26)</f>
        <v>0.8041167525978733</v>
      </c>
      <c r="Z34" s="6">
        <f>1*$Y$27/(Table2841[[#This Row],[S 10]]*$Y$26)</f>
        <v>0.7953617823048843</v>
      </c>
      <c r="AA34" s="6">
        <f>1*$Y$27/(Table2841[[#This Row],[S 15]]*$Y$26)</f>
        <v>0.68051871929549346</v>
      </c>
      <c r="AB34" s="6">
        <f>1*$Y$27/(Table2841[[#This Row],[S 20]]*$Y$26)</f>
        <v>1.0003750456944587</v>
      </c>
      <c r="AC34" s="6">
        <f>-$Y$29/LN((Table13172739[[#This Row],[G Pre]]-1)/(Table13172739[[#This Row],[G Pre]]*$Z$26-$Z$27))</f>
        <v>-1.0365841578038706</v>
      </c>
      <c r="AD34" s="6">
        <f>-$Y$29/LN((Table13172739[[#This Row],[G 5min]]-1)/(Table13172739[[#This Row],[G 5min]]*$Z$26-$Z$27))</f>
        <v>-2.0763076322147356</v>
      </c>
      <c r="AE34" s="6">
        <f>-$Y$29/LN((Table13172739[[#This Row],[G 10min]]-1)/(Table13172739[[#This Row],[G 10min]]*$Z$26-$Z$27))</f>
        <v>-2.1720039759765131</v>
      </c>
      <c r="AF34" s="6">
        <f>-$Y$29/LN((Table13172739[[#This Row],[G 15min]]-1)/(Table13172739[[#This Row],[G 15min]]*$Z$26-$Z$27))</f>
        <v>-3.4206641919048999</v>
      </c>
      <c r="AG34" s="6">
        <f>-$Y$29/LN((Table13172739[[#This Row],[G 20min]]-1)/(Table13172739[[#This Row],[G 20min]]*$Z$26-$Z$27))</f>
        <v>4.3950720369583425E-2</v>
      </c>
    </row>
    <row r="35" spans="1:33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L35" s="5"/>
      <c r="M35" s="5">
        <f>Table413162638[[#This Row],[10 - pre]]/$M$25</f>
        <v>1.0151771750710084</v>
      </c>
      <c r="N35" s="5">
        <f>Table413162638[[#This Row],[10 - pre]]/$M$32</f>
        <v>5.8951937323776402</v>
      </c>
      <c r="O35" s="5">
        <f>Table413162638[[#This Row],[10 - Post 5min]]/$M$26</f>
        <v>1.2814185108072238</v>
      </c>
      <c r="P35" s="5">
        <f>Table413162638[[#This Row],[10 - Post 5min]]/$O$32</f>
        <v>3.4352395265917557</v>
      </c>
      <c r="Q35" s="5">
        <f>Table413162638[[#This Row],[10 - Post 10min]]/$M$26</f>
        <v>1.5426918714790239</v>
      </c>
      <c r="R35" s="5">
        <f>Table413162638[[#This Row],[10 - Post 10min]]/$Q$32</f>
        <v>4.4700621378670604</v>
      </c>
      <c r="S35" s="5">
        <f>Table413162638[[#This Row],[10 - Post 15min]]/$M$26</f>
        <v>2.2366175693908734</v>
      </c>
      <c r="T35" s="5">
        <f>Table413162638[[#This Row],[10 - Post 15min]]/$S$32</f>
        <v>5.5144079988466643</v>
      </c>
      <c r="U35" s="5">
        <f>Table413162638[[#This Row],[10 - Post 20min]]/$M$26</f>
        <v>2.8667419294515062</v>
      </c>
      <c r="V35" s="5">
        <f>Table413162638[[#This Row],[10 - Post 20min]]/$U$32</f>
        <v>5.6306317011665827</v>
      </c>
      <c r="X35" s="6">
        <f>1*$Y$27/(Table2841[[#This Row],[S10 pre]]*$Y$26)</f>
        <v>0.84402047903453914</v>
      </c>
      <c r="Y35" s="6">
        <f>1*$Y$27/(Table2841[[#This Row],[S10 5 min]]*$Y$26)</f>
        <v>1.4484184289004594</v>
      </c>
      <c r="Z35" s="6">
        <f>1*$Y$27/(Table2841[[#This Row],[S 10]]*$Y$26)</f>
        <v>1.1131085171842783</v>
      </c>
      <c r="AA35" s="6">
        <f>1*$Y$27/(Table2841[[#This Row],[S 15]]*$Y$26)</f>
        <v>0.90230252078617434</v>
      </c>
      <c r="AB35" s="6">
        <f>1*$Y$27/(Table2841[[#This Row],[S 20]]*$Y$26)</f>
        <v>0.88367780065812263</v>
      </c>
      <c r="AC35" s="6">
        <f>-$Y$29/LN((Table13172739[[#This Row],[G Pre]]-1)/(Table13172739[[#This Row],[G Pre]]*$Z$26-$Z$27))</f>
        <v>-1.6391896026034574</v>
      </c>
      <c r="AD35" s="6">
        <f>-$Y$29/LN((Table13172739[[#This Row],[G 5min]]-1)/(Table13172739[[#This Row],[G 5min]]*$Z$26-$Z$27))</f>
        <v>5.1570430346388534</v>
      </c>
      <c r="AE35" s="6">
        <f>-$Y$29/LN((Table13172739[[#This Row],[G 10min]]-1)/(Table13172739[[#This Row],[G 10min]]*$Z$26-$Z$27))</f>
        <v>1.341831844513405</v>
      </c>
      <c r="AF35" s="6">
        <f>-$Y$29/LN((Table13172739[[#This Row],[G 15min]]-1)/(Table13172739[[#This Row],[G 15min]]*$Z$26-$Z$27))</f>
        <v>-0.99769645206344515</v>
      </c>
      <c r="AG35" s="6">
        <f>-$Y$29/LN((Table13172739[[#This Row],[G 20min]]-1)/(Table13172739[[#This Row],[G 20min]]*$Z$26-$Z$27))</f>
        <v>-1.2031307045301929</v>
      </c>
    </row>
    <row r="36" spans="1:33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L36" s="5"/>
      <c r="M36" s="5">
        <f>Table413162638[[#This Row],[10 - pre]]/$M$25</f>
        <v>0.92773728934014099</v>
      </c>
      <c r="N36" s="5">
        <f>Table413162638[[#This Row],[10 - pre]]/$M$32</f>
        <v>5.387425158597039</v>
      </c>
      <c r="O36" s="5">
        <f>Table413162638[[#This Row],[10 - Post 5min]]/$M$26</f>
        <v>1.5649729954055722</v>
      </c>
      <c r="P36" s="5">
        <f>Table413162638[[#This Row],[10 - Post 5min]]/$O$32</f>
        <v>4.195395217507274</v>
      </c>
      <c r="Q36" s="5">
        <f>Table413162638[[#This Row],[10 - Post 10min]]/$M$26</f>
        <v>1.5500237778162407</v>
      </c>
      <c r="R36" s="5">
        <f>Table413162638[[#This Row],[10 - Post 10min]]/$Q$32</f>
        <v>4.4913068708706501</v>
      </c>
      <c r="S36" s="5">
        <f>Table413162638[[#This Row],[10 - Post 15min]]/$M$26</f>
        <v>1.7179194649988045</v>
      </c>
      <c r="T36" s="5">
        <f>Table413162638[[#This Row],[10 - Post 15min]]/$S$32</f>
        <v>4.2355514723707444</v>
      </c>
      <c r="U36" s="5">
        <f>Table413162638[[#This Row],[10 - Post 20min]]/$M$26</f>
        <v>1.3867111328347161</v>
      </c>
      <c r="V36" s="5">
        <f>Table413162638[[#This Row],[10 - Post 20min]]/$U$32</f>
        <v>2.7236702350789188</v>
      </c>
      <c r="X36" s="6">
        <f>1*$Y$27/(Table2841[[#This Row],[S10 pre]]*$Y$26)</f>
        <v>0.92356999708159693</v>
      </c>
      <c r="Y36" s="6">
        <f>1*$Y$27/(Table2841[[#This Row],[S10 5 min]]*$Y$26)</f>
        <v>1.185982244828681</v>
      </c>
      <c r="Z36" s="6">
        <f>1*$Y$27/(Table2841[[#This Row],[S 10]]*$Y$26)</f>
        <v>1.1078433028643722</v>
      </c>
      <c r="AA36" s="6">
        <f>1*$Y$27/(Table2841[[#This Row],[S 15]]*$Y$26)</f>
        <v>1.1747382295929896</v>
      </c>
      <c r="AB36" s="6">
        <f>1*$Y$27/(Table2841[[#This Row],[S 20]]*$Y$26)</f>
        <v>1.8268232967118423</v>
      </c>
      <c r="AC36" s="6">
        <f>-$Y$29/LN((Table13172739[[#This Row],[G Pre]]-1)/(Table13172739[[#This Row],[G Pre]]*$Z$26-$Z$27))</f>
        <v>-0.7624750129956186</v>
      </c>
      <c r="AD36" s="6">
        <f>-$Y$29/LN((Table13172739[[#This Row],[G 5min]]-1)/(Table13172739[[#This Row],[G 5min]]*$Z$26-$Z$27))</f>
        <v>2.1621990295380327</v>
      </c>
      <c r="AE36" s="6">
        <f>-$Y$29/LN((Table13172739[[#This Row],[G 10min]]-1)/(Table13172739[[#This Row],[G 10min]]*$Z$26-$Z$27))</f>
        <v>1.2827231388897</v>
      </c>
      <c r="AF36" s="6">
        <f>-$Y$29/LN((Table13172739[[#This Row],[G 15min]]-1)/(Table13172739[[#This Row],[G 15min]]*$Z$26-$Z$27))</f>
        <v>2.0353252064401639</v>
      </c>
      <c r="AG36" s="6">
        <f>-$Y$29/LN((Table13172739[[#This Row],[G 20min]]-1)/(Table13172739[[#This Row],[G 20min]]*$Z$26-$Z$27))</f>
        <v>9.5943462108284265</v>
      </c>
    </row>
    <row r="37" spans="1:33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L37" s="5"/>
      <c r="M37" s="5">
        <f>Table413162638[[#This Row],[10 - pre]]/$M$25</f>
        <v>0.56602479487015955</v>
      </c>
      <c r="N37" s="5">
        <f>Table413162638[[#This Row],[10 - pre]]/$M$32</f>
        <v>3.2869393688402271</v>
      </c>
      <c r="O37" s="5">
        <f>Table413162638[[#This Row],[10 - Post 5min]]/$M$26</f>
        <v>1.2319821051798774</v>
      </c>
      <c r="P37" s="5">
        <f>Table413162638[[#This Row],[10 - Post 5min]]/$O$32</f>
        <v>3.3027099172319674</v>
      </c>
      <c r="Q37" s="5">
        <f>Table413162638[[#This Row],[10 - Post 10min]]/$M$26</f>
        <v>1.7101494289686472</v>
      </c>
      <c r="R37" s="5">
        <f>Table413162638[[#This Row],[10 - Post 10min]]/$Q$32</f>
        <v>4.9552826159631875</v>
      </c>
      <c r="S37" s="5">
        <f>Table413162638[[#This Row],[10 - Post 15min]]/$M$26</f>
        <v>1.4395535551427319</v>
      </c>
      <c r="T37" s="5">
        <f>Table413162638[[#This Row],[10 - Post 15min]]/$S$32</f>
        <v>3.5492369137604372</v>
      </c>
      <c r="U37" s="5">
        <f>Table413162638[[#This Row],[10 - Post 20min]]/$M$26</f>
        <v>1.6975190886939127</v>
      </c>
      <c r="V37" s="5">
        <f>Table413162638[[#This Row],[10 - Post 20min]]/$U$32</f>
        <v>3.334135066690187</v>
      </c>
      <c r="X37" s="6">
        <f>1*$Y$27/(Table2841[[#This Row],[S10 pre]]*$Y$26)</f>
        <v>1.5137681836091843</v>
      </c>
      <c r="Y37" s="6">
        <f>1*$Y$27/(Table2841[[#This Row],[S10 5 min]]*$Y$26)</f>
        <v>1.5065398907854857</v>
      </c>
      <c r="Z37" s="6">
        <f>1*$Y$27/(Table2841[[#This Row],[S 10]]*$Y$26)</f>
        <v>1.0041131099110157</v>
      </c>
      <c r="AA37" s="6">
        <f>1*$Y$27/(Table2841[[#This Row],[S 15]]*$Y$26)</f>
        <v>1.4018969031658819</v>
      </c>
      <c r="AB37" s="6">
        <f>1*$Y$27/(Table2841[[#This Row],[S 20]]*$Y$26)</f>
        <v>1.4923403336932466</v>
      </c>
      <c r="AC37" s="6">
        <f>-$Y$29/LN((Table13172739[[#This Row],[G Pre]]-1)/(Table13172739[[#This Row],[G Pre]]*$Z$26-$Z$27))</f>
        <v>5.9131361543526566</v>
      </c>
      <c r="AD37" s="6">
        <f>-$Y$29/LN((Table13172739[[#This Row],[G 5min]]-1)/(Table13172739[[#This Row],[G 5min]]*$Z$26-$Z$27))</f>
        <v>5.8292984560271712</v>
      </c>
      <c r="AE37" s="6">
        <f>-$Y$29/LN((Table13172739[[#This Row],[G 10min]]-1)/(Table13172739[[#This Row],[G 10min]]*$Z$26-$Z$27))</f>
        <v>0.10700089714474417</v>
      </c>
      <c r="AF37" s="6">
        <f>-$Y$29/LN((Table13172739[[#This Row],[G 15min]]-1)/(Table13172739[[#This Row],[G 15min]]*$Z$26-$Z$27))</f>
        <v>4.6213390462690009</v>
      </c>
      <c r="AG37" s="6">
        <f>-$Y$29/LN((Table13172739[[#This Row],[G 20min]]-1)/(Table13172739[[#This Row],[G 20min]]*$Z$26-$Z$27))</f>
        <v>5.6647542723870528</v>
      </c>
    </row>
    <row r="38" spans="1:33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L38" s="5"/>
      <c r="M38" s="5">
        <f>Table413162638[[#This Row],[10 - pre]]/$M$25</f>
        <v>0.98106483058347205</v>
      </c>
      <c r="N38" s="5">
        <f>Table413162638[[#This Row],[10 - pre]]/$M$32</f>
        <v>5.6971013359389948</v>
      </c>
      <c r="O38" s="5">
        <f>Table413162638[[#This Row],[10 - Post 5min]]/$M$26</f>
        <v>1.6553724796916132</v>
      </c>
      <c r="P38" s="5">
        <f>Table413162638[[#This Row],[10 - Post 5min]]/$O$32</f>
        <v>4.4377390567634221</v>
      </c>
      <c r="Q38" s="5">
        <f>Table413162638[[#This Row],[10 - Post 10min]]/$M$26</f>
        <v>1.7631352947036851</v>
      </c>
      <c r="R38" s="5">
        <f>Table413162638[[#This Row],[10 - Post 10min]]/$Q$32</f>
        <v>5.1088130238451104</v>
      </c>
      <c r="S38" s="5">
        <f>Table413162638[[#This Row],[10 - Post 15min]]/$M$26</f>
        <v>2.2645666478382975</v>
      </c>
      <c r="T38" s="5">
        <f>Table413162638[[#This Row],[10 - Post 15min]]/$S$32</f>
        <v>5.5833167939219193</v>
      </c>
      <c r="U38" s="5">
        <f>Table413162638[[#This Row],[10 - Post 20min]]/$M$26</f>
        <v>2.5310258571299107</v>
      </c>
      <c r="V38" s="5">
        <f>Table413162638[[#This Row],[10 - Post 20min]]/$U$32</f>
        <v>4.9712442830020258</v>
      </c>
      <c r="X38" s="6">
        <f>1*$Y$27/(Table2841[[#This Row],[S10 pre]]*$Y$26)</f>
        <v>0.87336769079651655</v>
      </c>
      <c r="Y38" s="6">
        <f>1*$Y$27/(Table2841[[#This Row],[S10 5 min]]*$Y$26)</f>
        <v>1.121216045909579</v>
      </c>
      <c r="Z38" s="6">
        <f>1*$Y$27/(Table2841[[#This Row],[S 10]]*$Y$26)</f>
        <v>0.97393743219396423</v>
      </c>
      <c r="AA38" s="6">
        <f>1*$Y$27/(Table2841[[#This Row],[S 15]]*$Y$26)</f>
        <v>0.8911663840066123</v>
      </c>
      <c r="AB38" s="6">
        <f>1*$Y$27/(Table2841[[#This Row],[S 20]]*$Y$26)</f>
        <v>1.0008891043668637</v>
      </c>
      <c r="AC38" s="6">
        <f>-$Y$29/LN((Table13172739[[#This Row],[G Pre]]-1)/(Table13172739[[#This Row],[G Pre]]*$Z$26-$Z$27))</f>
        <v>-1.3166663671670356</v>
      </c>
      <c r="AD38" s="6">
        <f>-$Y$29/LN((Table13172739[[#This Row],[G 5min]]-1)/(Table13172739[[#This Row],[G 5min]]*$Z$26-$Z$27))</f>
        <v>1.4328881119559256</v>
      </c>
      <c r="AE38" s="6">
        <f>-$Y$29/LN((Table13172739[[#This Row],[G 10min]]-1)/(Table13172739[[#This Row],[G 10min]]*$Z$26-$Z$27))</f>
        <v>-0.19724302853709916</v>
      </c>
      <c r="AF38" s="6">
        <f>-$Y$29/LN((Table13172739[[#This Row],[G 15min]]-1)/(Table13172739[[#This Row],[G 15min]]*$Z$26-$Z$27))</f>
        <v>-1.1205849248471491</v>
      </c>
      <c r="AG38" s="6">
        <f>-$Y$29/LN((Table13172739[[#This Row],[G 20min]]-1)/(Table13172739[[#This Row],[G 20min]]*$Z$26-$Z$27))</f>
        <v>5.6711785297647185E-2</v>
      </c>
    </row>
    <row r="39" spans="1:33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L39" s="5"/>
      <c r="M39" s="5">
        <f>Table413162638[[#This Row],[10 - pre]]/$M$25</f>
        <v>0.86180297344740875</v>
      </c>
      <c r="N39" s="5">
        <f>Table413162638[[#This Row],[10 - pre]]/$M$32</f>
        <v>5.0045406972986903</v>
      </c>
      <c r="O39" s="5">
        <f>Table413162638[[#This Row],[10 - Post 5min]]/$M$26</f>
        <v>0.60409038351735211</v>
      </c>
      <c r="P39" s="5">
        <f>Table413162638[[#This Row],[10 - Post 5min]]/$O$32</f>
        <v>1.619451526250796</v>
      </c>
      <c r="Q39" s="5">
        <f>Table413162638[[#This Row],[10 - Post 10min]]/$M$26</f>
        <v>2.100566288155604</v>
      </c>
      <c r="R39" s="5">
        <f>Table413162638[[#This Row],[10 - Post 10min]]/$Q$32</f>
        <v>6.0865439212836261</v>
      </c>
      <c r="S39" s="5">
        <f>Table413162638[[#This Row],[10 - Post 15min]]/$M$26</f>
        <v>2.7151571680785391</v>
      </c>
      <c r="T39" s="5">
        <f>Table413162638[[#This Row],[10 - Post 15min]]/$S$32</f>
        <v>6.6942532378728474</v>
      </c>
      <c r="U39" s="5">
        <f>Table413162638[[#This Row],[10 - Post 20min]]/$M$26</f>
        <v>3.9050124932358705</v>
      </c>
      <c r="V39" s="5">
        <f>Table413162638[[#This Row],[10 - Post 20min]]/$U$32</f>
        <v>7.6699220505252637</v>
      </c>
      <c r="X39" s="6">
        <f>1*$Y$27/(Table2841[[#This Row],[S10 pre]]*$Y$26)</f>
        <v>0.99422994815258703</v>
      </c>
      <c r="Y39" s="6">
        <f>1*$Y$27/(Table2841[[#This Row],[S10 5 min]]*$Y$26)</f>
        <v>3.0724378947741555</v>
      </c>
      <c r="Z39" s="6">
        <f>1*$Y$27/(Table2841[[#This Row],[S 10]]*$Y$26)</f>
        <v>0.81748596614964419</v>
      </c>
      <c r="AA39" s="6">
        <f>1*$Y$27/(Table2841[[#This Row],[S 15]]*$Y$26)</f>
        <v>0.74327397861988354</v>
      </c>
      <c r="AB39" s="6">
        <f>1*$Y$27/(Table2841[[#This Row],[S 20]]*$Y$26)</f>
        <v>0.64872422499548577</v>
      </c>
      <c r="AC39" s="6" t="e">
        <f>-$Y$29/LN((Table13172739[[#This Row],[G Pre]]-1)/(Table13172739[[#This Row],[G Pre]]*$Z$26-$Z$27))</f>
        <v>#NUM!</v>
      </c>
      <c r="AD39" s="6">
        <f>-$Y$29/LN((Table13172739[[#This Row],[G 5min]]-1)/(Table13172739[[#This Row],[G 5min]]*$Z$26-$Z$27))</f>
        <v>25.285102346494725</v>
      </c>
      <c r="AE39" s="6">
        <f>-$Y$29/LN((Table13172739[[#This Row],[G 10min]]-1)/(Table13172739[[#This Row],[G 10min]]*$Z$26-$Z$27))</f>
        <v>-1.93003230456366</v>
      </c>
      <c r="AF39" s="6">
        <f>-$Y$29/LN((Table13172739[[#This Row],[G 15min]]-1)/(Table13172739[[#This Row],[G 15min]]*$Z$26-$Z$27))</f>
        <v>-2.7398521865182297</v>
      </c>
      <c r="AG39" s="6">
        <f>-$Y$29/LN((Table13172739[[#This Row],[G 20min]]-1)/(Table13172739[[#This Row],[G 20min]]*$Z$26-$Z$27))</f>
        <v>-3.7642281860597153</v>
      </c>
    </row>
    <row r="40" spans="1:33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L40" s="5"/>
      <c r="M40" s="5">
        <f>Table413162638[[#This Row],[10 - pre]]/$M$25</f>
        <v>0.74439629265045049</v>
      </c>
      <c r="N40" s="5">
        <f>Table413162638[[#This Row],[10 - pre]]/$M$32</f>
        <v>4.3227531770807754</v>
      </c>
      <c r="O40" s="5">
        <f>Table413162638[[#This Row],[10 - Post 5min]]/$M$26</f>
        <v>1.5495377274221485</v>
      </c>
      <c r="P40" s="5">
        <f>Table413162638[[#This Row],[10 - Post 5min]]/$O$32</f>
        <v>4.1540161971224414</v>
      </c>
      <c r="Q40" s="5">
        <f>Table413162638[[#This Row],[10 - Post 10min]]/$M$26</f>
        <v>1.521369153823825</v>
      </c>
      <c r="R40" s="5">
        <f>Table413162638[[#This Row],[10 - Post 10min]]/$Q$32</f>
        <v>4.4082780093388187</v>
      </c>
      <c r="S40" s="5">
        <f>Table413162638[[#This Row],[10 - Post 15min]]/$M$26</f>
        <v>2.627222682990813</v>
      </c>
      <c r="T40" s="5">
        <f>Table413162638[[#This Row],[10 - Post 15min]]/$S$32</f>
        <v>6.4774496883620216</v>
      </c>
      <c r="U40" s="5">
        <f>Table413162638[[#This Row],[10 - Post 20min]]/$M$26</f>
        <v>2.789979234846875</v>
      </c>
      <c r="V40" s="5">
        <f>Table413162638[[#This Row],[10 - Post 20min]]/$U$32</f>
        <v>5.4798603822461871</v>
      </c>
      <c r="X40" s="6">
        <f>1*$Y$27/(Table2841[[#This Row],[S10 pre]]*$Y$26)</f>
        <v>1.1510405600726283</v>
      </c>
      <c r="Y40" s="6">
        <f>1*$Y$27/(Table2841[[#This Row],[S10 5 min]]*$Y$26)</f>
        <v>1.1977960609420633</v>
      </c>
      <c r="Z40" s="6">
        <f>1*$Y$27/(Table2841[[#This Row],[S 10]]*$Y$26)</f>
        <v>1.1287092663988019</v>
      </c>
      <c r="AA40" s="6">
        <f>1*$Y$27/(Table2841[[#This Row],[S 15]]*$Y$26)</f>
        <v>0.76815173832110539</v>
      </c>
      <c r="AB40" s="6">
        <f>1*$Y$27/(Table2841[[#This Row],[S 20]]*$Y$26)</f>
        <v>0.90799106015968811</v>
      </c>
      <c r="AC40" s="6">
        <f>-$Y$29/LN((Table13172739[[#This Row],[G Pre]]-1)/(Table13172739[[#This Row],[G Pre]]*$Z$26-$Z$27))</f>
        <v>1.7682916010583554</v>
      </c>
      <c r="AD40" s="6">
        <f>-$Y$29/LN((Table13172739[[#This Row],[G 5min]]-1)/(Table13172739[[#This Row],[G 5min]]*$Z$26-$Z$27))</f>
        <v>2.2956242485753315</v>
      </c>
      <c r="AE40" s="6">
        <f>-$Y$29/LN((Table13172739[[#This Row],[G 10min]]-1)/(Table13172739[[#This Row],[G 10min]]*$Z$26-$Z$27))</f>
        <v>1.5170891148476833</v>
      </c>
      <c r="AF40" s="6">
        <f>-$Y$29/LN((Table13172739[[#This Row],[G 15min]]-1)/(Table13172739[[#This Row],[G 15min]]*$Z$26-$Z$27))</f>
        <v>-2.4689583552544727</v>
      </c>
      <c r="AG40" s="6">
        <f>-$Y$29/LN((Table13172739[[#This Row],[G 20min]]-1)/(Table13172739[[#This Row],[G 20min]]*$Z$26-$Z$27))</f>
        <v>-0.93485444840318899</v>
      </c>
    </row>
    <row r="41" spans="1:33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L41" s="5"/>
      <c r="M41" s="5" t="e">
        <f>Table413162638[[#This Row],[10 - pre]]/$M$25</f>
        <v>#DIV/0!</v>
      </c>
      <c r="N41" s="5" t="e">
        <f>Table413162638[[#This Row],[10 - pre]]/$M$32</f>
        <v>#DIV/0!</v>
      </c>
      <c r="O41" s="5" t="e">
        <f>Table413162638[[#This Row],[10 - Post 5min]]/$M$26</f>
        <v>#DIV/0!</v>
      </c>
      <c r="P41" s="5" t="e">
        <f>Table413162638[[#This Row],[10 - Post 5min]]/$O$32</f>
        <v>#DIV/0!</v>
      </c>
      <c r="Q41" s="5" t="e">
        <f>Table413162638[[#This Row],[10 - Post 10min]]/$M$26</f>
        <v>#DIV/0!</v>
      </c>
      <c r="R41" s="5" t="e">
        <f>Table413162638[[#This Row],[10 - Post 10min]]/$Q$32</f>
        <v>#DIV/0!</v>
      </c>
      <c r="S41" s="5" t="e">
        <f>Table413162638[[#This Row],[10 - Post 15min]]/$M$26</f>
        <v>#DIV/0!</v>
      </c>
      <c r="T41" s="5" t="e">
        <f>Table413162638[[#This Row],[10 - Post 15min]]/$S$32</f>
        <v>#DIV/0!</v>
      </c>
      <c r="U41" s="5" t="e">
        <f>Table413162638[[#This Row],[10 - Post 20min]]/$M$26</f>
        <v>#DIV/0!</v>
      </c>
      <c r="V41" s="5" t="e">
        <f>Table413162638[[#This Row],[10 - Post 20min]]/$U$32</f>
        <v>#DIV/0!</v>
      </c>
      <c r="X41" s="6" t="e">
        <f>1*$Y$27/(Table2841[[#This Row],[S10 pre]]*$Y$26)</f>
        <v>#DIV/0!</v>
      </c>
      <c r="Y41" s="6" t="e">
        <f>1*$Y$27/(Table2841[[#This Row],[S10 5 min]]*$Y$26)</f>
        <v>#DIV/0!</v>
      </c>
      <c r="Z41" s="6" t="e">
        <f>1*$Y$27/(Table2841[[#This Row],[S 10]]*$Y$26)</f>
        <v>#DIV/0!</v>
      </c>
      <c r="AA41" s="6" t="e">
        <f>1*$Y$27/(Table2841[[#This Row],[S 15]]*$Y$26)</f>
        <v>#DIV/0!</v>
      </c>
      <c r="AB41" s="6" t="e">
        <f>1*$Y$27/(Table2841[[#This Row],[S 20]]*$Y$26)</f>
        <v>#DIV/0!</v>
      </c>
      <c r="AC41" s="6" t="e">
        <f>-$Y$29/LN((Table13172739[[#This Row],[G Pre]]-1)/(Table13172739[[#This Row],[G Pre]]*$Z$26-$Z$27))</f>
        <v>#DIV/0!</v>
      </c>
      <c r="AD41" s="6" t="e">
        <f>-$Y$29/LN((Table13172739[[#This Row],[G 5min]]-1)/(Table13172739[[#This Row],[G 5min]]*$Z$26-$Z$27))</f>
        <v>#DIV/0!</v>
      </c>
      <c r="AE41" s="6" t="e">
        <f>-$Y$29/LN((Table13172739[[#This Row],[G 10min]]-1)/(Table13172739[[#This Row],[G 10min]]*$Z$26-$Z$27))</f>
        <v>#DIV/0!</v>
      </c>
      <c r="AF41" s="6" t="e">
        <f>-$Y$29/LN((Table13172739[[#This Row],[G 15min]]-1)/(Table13172739[[#This Row],[G 15min]]*$Z$26-$Z$27))</f>
        <v>#DIV/0!</v>
      </c>
      <c r="AG41" s="6" t="e">
        <f>-$Y$29/LN((Table13172739[[#This Row],[G 20min]]-1)/(Table13172739[[#This Row],[G 20min]]*$Z$26-$Z$27))</f>
        <v>#DIV/0!</v>
      </c>
    </row>
    <row r="42" spans="1:33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L42" s="5"/>
      <c r="M42" s="5">
        <f>Table413162638[[#This Row],[10 - pre]]/$M$25</f>
        <v>0.85393975399479272</v>
      </c>
      <c r="N42" s="5">
        <f>Table413162638[[#This Row],[10 - pre]]/$M$32</f>
        <v>4.9588785181523454</v>
      </c>
      <c r="O42" s="5">
        <f>Table413162638[[#This Row],[10 - Post 5min]]/$M$26</f>
        <v>1.314351408630742</v>
      </c>
      <c r="P42" s="5">
        <f>Table413162638[[#This Row],[10 - Post 5min]]/$O$32</f>
        <v>3.5235263675999207</v>
      </c>
      <c r="Q42" s="5">
        <f>Table413162638[[#This Row],[10 - Post 10min]]/$M$26</f>
        <v>1.3041576340825469</v>
      </c>
      <c r="R42" s="5">
        <f>Table413162638[[#This Row],[10 - Post 10min]]/$Q$32</f>
        <v>3.7788917992635858</v>
      </c>
      <c r="S42" s="5">
        <f>Table413162638[[#This Row],[10 - Post 15min]]/$M$26</f>
        <v>1.5992950563401187</v>
      </c>
      <c r="T42" s="5">
        <f>Table413162638[[#This Row],[10 - Post 15min]]/$S$32</f>
        <v>3.9430815405781297</v>
      </c>
      <c r="U42" s="5">
        <f>Table413162638[[#This Row],[10 - Post 20min]]/$M$26</f>
        <v>1.7341296381938469</v>
      </c>
      <c r="V42" s="5">
        <f>Table413162638[[#This Row],[10 - Post 20min]]/$U$32</f>
        <v>3.406042662729325</v>
      </c>
      <c r="X42" s="6">
        <f>1*$Y$27/(Table2841[[#This Row],[S10 pre]]*$Y$26)</f>
        <v>1.003384983074096</v>
      </c>
      <c r="Y42" s="6">
        <f>1*$Y$27/(Table2841[[#This Row],[S10 5 min]]*$Y$26)</f>
        <v>1.4121262959050889</v>
      </c>
      <c r="Z42" s="6">
        <f>1*$Y$27/(Table2841[[#This Row],[S 10]]*$Y$26)</f>
        <v>1.3166993135321909</v>
      </c>
      <c r="AA42" s="6">
        <f>1*$Y$27/(Table2841[[#This Row],[S 15]]*$Y$26)</f>
        <v>1.2618720122316476</v>
      </c>
      <c r="AB42" s="6">
        <f>1*$Y$27/(Table2841[[#This Row],[S 20]]*$Y$26)</f>
        <v>1.4608343848563827</v>
      </c>
      <c r="AC42" s="6">
        <f>-$Y$29/LN((Table13172739[[#This Row],[G Pre]]-1)/(Table13172739[[#This Row],[G Pre]]*$Z$26-$Z$27))</f>
        <v>9.7056439897468635E-2</v>
      </c>
      <c r="AD42" s="6">
        <f>-$Y$29/LN((Table13172739[[#This Row],[G 5min]]-1)/(Table13172739[[#This Row],[G 5min]]*$Z$26-$Z$27))</f>
        <v>4.7389516462664112</v>
      </c>
      <c r="AE42" s="6">
        <f>-$Y$29/LN((Table13172739[[#This Row],[G 10min]]-1)/(Table13172739[[#This Row],[G 10min]]*$Z$26-$Z$27))</f>
        <v>3.6457063446204772</v>
      </c>
      <c r="AF42" s="6">
        <f>-$Y$29/LN((Table13172739[[#This Row],[G 15min]]-1)/(Table13172739[[#This Row],[G 15min]]*$Z$26-$Z$27))</f>
        <v>3.0215264714932015</v>
      </c>
      <c r="AG42" s="6">
        <f>-$Y$29/LN((Table13172739[[#This Row],[G 20min]]-1)/(Table13172739[[#This Row],[G 20min]]*$Z$26-$Z$27))</f>
        <v>5.3003722850436983</v>
      </c>
    </row>
    <row r="43" spans="1:33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L43" s="5"/>
      <c r="M43" s="5">
        <f>Table413162638[[#This Row],[10 - pre]]/$M$25</f>
        <v>0.99416966973399845</v>
      </c>
      <c r="N43" s="5">
        <f>Table413162638[[#This Row],[10 - pre]]/$M$32</f>
        <v>5.7732019098300462</v>
      </c>
      <c r="O43" s="5">
        <f>Table413162638[[#This Row],[10 - Post 5min]]/$M$26</f>
        <v>1.7887363411170079</v>
      </c>
      <c r="P43" s="5">
        <f>Table413162638[[#This Row],[10 - Post 5min]]/$O$32</f>
        <v>4.7952622268468792</v>
      </c>
      <c r="Q43" s="5">
        <f>Table413162638[[#This Row],[10 - Post 10min]]/$M$26</f>
        <v>1.5416838947820604</v>
      </c>
      <c r="R43" s="5">
        <f>Table413162638[[#This Row],[10 - Post 10min]]/$Q$32</f>
        <v>4.4671414519204689</v>
      </c>
      <c r="S43" s="5">
        <f>Table413162638[[#This Row],[10 - Post 15min]]/$M$26</f>
        <v>2.2388144069322102</v>
      </c>
      <c r="T43" s="5">
        <f>Table413162638[[#This Row],[10 - Post 15min]]/$S$32</f>
        <v>5.5198243286993423</v>
      </c>
      <c r="U43" s="5">
        <f>Table413162638[[#This Row],[10 - Post 20min]]/$M$26</f>
        <v>2.7570926220572338</v>
      </c>
      <c r="V43" s="5">
        <f>Table413162638[[#This Row],[10 - Post 20min]]/$U$32</f>
        <v>5.4152670532775149</v>
      </c>
      <c r="X43" s="6">
        <f>1*$Y$27/(Table2841[[#This Row],[S10 pre]]*$Y$26)</f>
        <v>0.86185522621869715</v>
      </c>
      <c r="Y43" s="6">
        <f>1*$Y$27/(Table2841[[#This Row],[S10 5 min]]*$Y$26)</f>
        <v>1.0376208854952511</v>
      </c>
      <c r="Z43" s="6">
        <f>1*$Y$27/(Table2841[[#This Row],[S 10]]*$Y$26)</f>
        <v>1.1138362846924628</v>
      </c>
      <c r="AA43" s="6">
        <f>1*$Y$27/(Table2841[[#This Row],[S 15]]*$Y$26)</f>
        <v>0.90141713607310103</v>
      </c>
      <c r="AB43" s="6">
        <f>1*$Y$27/(Table2841[[#This Row],[S 20]]*$Y$26)</f>
        <v>0.91882158147516235</v>
      </c>
      <c r="AC43" s="6">
        <f>-$Y$29/LN((Table13172739[[#This Row],[G Pre]]-1)/(Table13172739[[#This Row],[G Pre]]*$Z$26-$Z$27))</f>
        <v>-1.4432984540779166</v>
      </c>
      <c r="AD43" s="6">
        <f>-$Y$29/LN((Table13172739[[#This Row],[G 5min]]-1)/(Table13172739[[#This Row],[G 5min]]*$Z$26-$Z$27))</f>
        <v>0.49517073284682794</v>
      </c>
      <c r="AE43" s="6">
        <f>-$Y$29/LN((Table13172739[[#This Row],[G 10min]]-1)/(Table13172739[[#This Row],[G 10min]]*$Z$26-$Z$27))</f>
        <v>1.3500034951579691</v>
      </c>
      <c r="AF43" s="6">
        <f>-$Y$29/LN((Table13172739[[#This Row],[G 15min]]-1)/(Table13172739[[#This Row],[G 15min]]*$Z$26-$Z$27))</f>
        <v>-1.0074730807104144</v>
      </c>
      <c r="AG43" s="6">
        <f>-$Y$29/LN((Table13172739[[#This Row],[G 20min]]-1)/(Table13172739[[#This Row],[G 20min]]*$Z$26-$Z$27))</f>
        <v>-0.81506316048481342</v>
      </c>
    </row>
    <row r="44" spans="1:33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L44" s="5"/>
      <c r="M44" s="5">
        <f>Table413162638[[#This Row],[10 - pre]]/$M$25</f>
        <v>1.0815501192666341</v>
      </c>
      <c r="N44" s="5">
        <f>Table413162638[[#This Row],[10 - pre]]/$M$32</f>
        <v>6.2806253341018774</v>
      </c>
      <c r="O44" s="5">
        <f>Table413162638[[#This Row],[10 - Post 5min]]/$M$26</f>
        <v>1.6979010639514422</v>
      </c>
      <c r="P44" s="5">
        <f>Table413162638[[#This Row],[10 - Post 5min]]/$O$32</f>
        <v>4.5517501096920396</v>
      </c>
      <c r="Q44" s="5">
        <f>Table413162638[[#This Row],[10 - Post 10min]]/$M$26</f>
        <v>2.0433514422337402</v>
      </c>
      <c r="R44" s="5">
        <f>Table413162638[[#This Row],[10 - Post 10min]]/$Q$32</f>
        <v>5.9207597350779766</v>
      </c>
      <c r="S44" s="5">
        <f>Table413162638[[#This Row],[10 - Post 15min]]/$M$26</f>
        <v>3.0547218993321481</v>
      </c>
      <c r="T44" s="5">
        <f>Table413162638[[#This Row],[10 - Post 15min]]/$S$32</f>
        <v>7.5314542398577693</v>
      </c>
      <c r="U44" s="5">
        <f>Table413162638[[#This Row],[10 - Post 20min]]/$M$26</f>
        <v>3.3402209132655822</v>
      </c>
      <c r="V44" s="5">
        <f>Table413162638[[#This Row],[10 - Post 20min]]/$U$32</f>
        <v>6.5606023234645443</v>
      </c>
      <c r="X44" s="6">
        <f>1*$Y$27/(Table2841[[#This Row],[S10 pre]]*$Y$26)</f>
        <v>0.79222433648230095</v>
      </c>
      <c r="Y44" s="6">
        <f>1*$Y$27/(Table2841[[#This Row],[S10 5 min]]*$Y$26)</f>
        <v>1.0931321179974509</v>
      </c>
      <c r="Z44" s="6">
        <f>1*$Y$27/(Table2841[[#This Row],[S 10]]*$Y$26)</f>
        <v>0.84037597548910825</v>
      </c>
      <c r="AA44" s="6">
        <f>1*$Y$27/(Table2841[[#This Row],[S 15]]*$Y$26)</f>
        <v>0.66065119425020291</v>
      </c>
      <c r="AB44" s="6">
        <f>1*$Y$27/(Table2841[[#This Row],[S 20]]*$Y$26)</f>
        <v>0.75841576621812734</v>
      </c>
      <c r="AC44" s="6">
        <f>-$Y$29/LN((Table13172739[[#This Row],[G Pre]]-1)/(Table13172739[[#This Row],[G Pre]]*$Z$26-$Z$27))</f>
        <v>-2.2062800090915475</v>
      </c>
      <c r="AD44" s="6">
        <f>-$Y$29/LN((Table13172739[[#This Row],[G 5min]]-1)/(Table13172739[[#This Row],[G 5min]]*$Z$26-$Z$27))</f>
        <v>1.1176677460748221</v>
      </c>
      <c r="AE44" s="6">
        <f>-$Y$29/LN((Table13172739[[#This Row],[G 10min]]-1)/(Table13172739[[#This Row],[G 10min]]*$Z$26-$Z$27))</f>
        <v>-1.6791787908233491</v>
      </c>
      <c r="AF44" s="6">
        <f>-$Y$29/LN((Table13172739[[#This Row],[G 15min]]-1)/(Table13172739[[#This Row],[G 15min]]*$Z$26-$Z$27))</f>
        <v>-3.6354548560650417</v>
      </c>
      <c r="AG44" s="6">
        <f>-$Y$29/LN((Table13172739[[#This Row],[G 20min]]-1)/(Table13172739[[#This Row],[G 20min]]*$Z$26-$Z$27))</f>
        <v>-2.5750418993944222</v>
      </c>
    </row>
    <row r="45" spans="1:33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L45" s="5"/>
      <c r="M45" s="5" t="e">
        <f>Table413162638[[#This Row],[10 - pre]]/$M$25</f>
        <v>#DIV/0!</v>
      </c>
      <c r="N45" s="5" t="e">
        <f>Table413162638[[#This Row],[10 - pre]]/$M$32</f>
        <v>#DIV/0!</v>
      </c>
      <c r="O45" s="5">
        <f>Table413162638[[#This Row],[10 - Post 5min]]/$M$26</f>
        <v>2.335932896967138</v>
      </c>
      <c r="P45" s="5">
        <f>Table413162638[[#This Row],[10 - Post 5min]]/$O$32</f>
        <v>6.2621922123417031</v>
      </c>
      <c r="Q45" s="5">
        <f>Table413162638[[#This Row],[10 - Post 10min]]/$M$26</f>
        <v>3.2113771317764175</v>
      </c>
      <c r="R45" s="5">
        <f>Table413162638[[#This Row],[10 - Post 10min]]/$Q$32</f>
        <v>9.3051993029581919</v>
      </c>
      <c r="S45" s="5">
        <f>Table413162638[[#This Row],[10 - Post 15min]]/$M$26</f>
        <v>2.9324561467041197</v>
      </c>
      <c r="T45" s="5">
        <f>Table413162638[[#This Row],[10 - Post 15min]]/$S$32</f>
        <v>7.2300065299300389</v>
      </c>
      <c r="U45" s="5">
        <f>Table413162638[[#This Row],[10 - Post 20min]]/$M$26</f>
        <v>2.7076935074691191</v>
      </c>
      <c r="V45" s="5">
        <f>Table413162638[[#This Row],[10 - Post 20min]]/$U$32</f>
        <v>5.3182411515903629</v>
      </c>
      <c r="X45" s="6" t="e">
        <f>1*$Y$27/(Table2841[[#This Row],[S10 pre]]*$Y$26)</f>
        <v>#DIV/0!</v>
      </c>
      <c r="Y45" s="6">
        <f>1*$Y$27/(Table2841[[#This Row],[S10 5 min]]*$Y$26)</f>
        <v>0.79455629423137331</v>
      </c>
      <c r="Z45" s="6">
        <f>1*$Y$27/(Table2841[[#This Row],[S 10]]*$Y$26)</f>
        <v>0.53471871756911094</v>
      </c>
      <c r="AA45" s="6">
        <f>1*$Y$27/(Table2841[[#This Row],[S 15]]*$Y$26)</f>
        <v>0.68819636848252419</v>
      </c>
      <c r="AB45" s="6">
        <f>1*$Y$27/(Table2841[[#This Row],[S 20]]*$Y$26)</f>
        <v>0.93558454687878712</v>
      </c>
      <c r="AC45" s="6" t="e">
        <f>-$Y$29/LN((Table13172739[[#This Row],[G Pre]]-1)/(Table13172739[[#This Row],[G Pre]]*$Z$26-$Z$27))</f>
        <v>#DIV/0!</v>
      </c>
      <c r="AD45" s="6">
        <f>-$Y$29/LN((Table13172739[[#This Row],[G 5min]]-1)/(Table13172739[[#This Row],[G 5min]]*$Z$26-$Z$27))</f>
        <v>-2.1808046855953802</v>
      </c>
      <c r="AE45" s="6">
        <f>-$Y$29/LN((Table13172739[[#This Row],[G 10min]]-1)/(Table13172739[[#This Row],[G 10min]]*$Z$26-$Z$27))</f>
        <v>-4.9887202326016462</v>
      </c>
      <c r="AF45" s="6">
        <f>-$Y$29/LN((Table13172739[[#This Row],[G 15min]]-1)/(Table13172739[[#This Row],[G 15min]]*$Z$26-$Z$27))</f>
        <v>-3.3375644410944281</v>
      </c>
      <c r="AG45" s="6">
        <f>-$Y$29/LN((Table13172739[[#This Row],[G 20min]]-1)/(Table13172739[[#This Row],[G 20min]]*$Z$26-$Z$27))</f>
        <v>-0.62918398378085472</v>
      </c>
    </row>
    <row r="46" spans="1:33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L46" s="5"/>
      <c r="M46" s="5">
        <f>Table413162638[[#This Row],[10 - pre]]/$M$25</f>
        <v>0.6989058913455074</v>
      </c>
      <c r="N46" s="5">
        <f>Table413162638[[#This Row],[10 - pre]]/$M$32</f>
        <v>4.0585877336078306</v>
      </c>
      <c r="O46" s="5">
        <f>Table413162638[[#This Row],[10 - Post 5min]]/$M$26</f>
        <v>1.5437882336908255</v>
      </c>
      <c r="P46" s="5">
        <f>Table413162638[[#This Row],[10 - Post 5min]]/$O$32</f>
        <v>4.1386028969733042</v>
      </c>
      <c r="Q46" s="5">
        <f>Table413162638[[#This Row],[10 - Post 10min]]/$M$26</f>
        <v>1.5734022930370055</v>
      </c>
      <c r="R46" s="5">
        <f>Table413162638[[#This Row],[10 - Post 10min]]/$Q$32</f>
        <v>4.5590478226834703</v>
      </c>
      <c r="S46" s="5">
        <f>Table413162638[[#This Row],[10 - Post 15min]]/$M$26</f>
        <v>1.6412686020274672</v>
      </c>
      <c r="T46" s="5">
        <f>Table413162638[[#This Row],[10 - Post 15min]]/$S$32</f>
        <v>4.0465678313262199</v>
      </c>
      <c r="U46" s="5">
        <f>Table413162638[[#This Row],[10 - Post 20min]]/$M$26</f>
        <v>1.6634564126219555</v>
      </c>
      <c r="V46" s="5">
        <f>Table413162638[[#This Row],[10 - Post 20min]]/$U$32</f>
        <v>3.267231805623354</v>
      </c>
      <c r="X46" s="6">
        <f>1*$Y$27/(Table2841[[#This Row],[S10 pre]]*$Y$26)</f>
        <v>1.2259595121724114</v>
      </c>
      <c r="Y46" s="6">
        <f>1*$Y$27/(Table2841[[#This Row],[S10 5 min]]*$Y$26)</f>
        <v>1.2022569842691733</v>
      </c>
      <c r="Z46" s="6">
        <f>1*$Y$27/(Table2841[[#This Row],[S 10]]*$Y$26)</f>
        <v>1.091382330592465</v>
      </c>
      <c r="AA46" s="6">
        <f>1*$Y$27/(Table2841[[#This Row],[S 15]]*$Y$26)</f>
        <v>1.2296010953984349</v>
      </c>
      <c r="AB46" s="6">
        <f>1*$Y$27/(Table2841[[#This Row],[S 20]]*$Y$26)</f>
        <v>1.5228990576790384</v>
      </c>
      <c r="AC46" s="6">
        <f>-$Y$29/LN((Table13172739[[#This Row],[G Pre]]-1)/(Table13172739[[#This Row],[G Pre]]*$Z$26-$Z$27))</f>
        <v>2.6142141854549124</v>
      </c>
      <c r="AD46" s="6">
        <f>-$Y$29/LN((Table13172739[[#This Row],[G 5min]]-1)/(Table13172739[[#This Row],[G 5min]]*$Z$26-$Z$27))</f>
        <v>2.346038711726083</v>
      </c>
      <c r="AE46" s="6">
        <f>-$Y$29/LN((Table13172739[[#This Row],[G 10min]]-1)/(Table13172739[[#This Row],[G 10min]]*$Z$26-$Z$27))</f>
        <v>1.0980441377166734</v>
      </c>
      <c r="AF46" s="6">
        <f>-$Y$29/LN((Table13172739[[#This Row],[G 15min]]-1)/(Table13172739[[#This Row],[G 15min]]*$Z$26-$Z$27))</f>
        <v>2.6554616413862129</v>
      </c>
      <c r="AG46" s="6">
        <f>-$Y$29/LN((Table13172739[[#This Row],[G 20min]]-1)/(Table13172739[[#This Row],[G 20min]]*$Z$26-$Z$27))</f>
        <v>6.019114807555983</v>
      </c>
    </row>
    <row r="47" spans="1:33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L47" s="5"/>
      <c r="M47" s="5">
        <f>Table413162638[[#This Row],[10 - pre]]/$M$25</f>
        <v>0.67267418180721517</v>
      </c>
      <c r="N47" s="5">
        <f>Table413162638[[#This Row],[10 - pre]]/$M$32</f>
        <v>3.9062586491316407</v>
      </c>
      <c r="O47" s="5">
        <f>Table413162638[[#This Row],[10 - Post 5min]]/$M$26</f>
        <v>1.235364638076712</v>
      </c>
      <c r="P47" s="5">
        <f>Table413162638[[#This Row],[10 - Post 5min]]/$O$32</f>
        <v>3.3117778451643356</v>
      </c>
      <c r="Q47" s="5">
        <f>Table413162638[[#This Row],[10 - Post 10min]]/$M$26</f>
        <v>1.294871683514967</v>
      </c>
      <c r="R47" s="5">
        <f>Table413162638[[#This Row],[10 - Post 10min]]/$Q$32</f>
        <v>3.7519850806805359</v>
      </c>
      <c r="S47" s="5">
        <f>Table413162638[[#This Row],[10 - Post 15min]]/$M$26</f>
        <v>1.9330016212722545</v>
      </c>
      <c r="T47" s="5">
        <f>Table413162638[[#This Row],[10 - Post 15min]]/$S$32</f>
        <v>4.7658391617795841</v>
      </c>
      <c r="U47" s="5">
        <f>Table413162638[[#This Row],[10 - Post 20min]]/$M$26</f>
        <v>2.0881168602073417</v>
      </c>
      <c r="V47" s="5">
        <f>Table413162638[[#This Row],[10 - Post 20min]]/$U$32</f>
        <v>4.1013168531265158</v>
      </c>
      <c r="X47" s="6">
        <f>1*$Y$27/(Table2841[[#This Row],[S10 pre]]*$Y$26)</f>
        <v>1.2737672245817304</v>
      </c>
      <c r="Y47" s="6">
        <f>1*$Y$27/(Table2841[[#This Row],[S10 5 min]]*$Y$26)</f>
        <v>1.5024148571040061</v>
      </c>
      <c r="Z47" s="6">
        <f>1*$Y$27/(Table2841[[#This Row],[S 10]]*$Y$26)</f>
        <v>1.326141797211065</v>
      </c>
      <c r="AA47" s="6">
        <f>1*$Y$27/(Table2841[[#This Row],[S 15]]*$Y$26)</f>
        <v>1.0440268899349208</v>
      </c>
      <c r="AB47" s="6">
        <f>1*$Y$27/(Table2841[[#This Row],[S 20]]*$Y$26)</f>
        <v>1.2131869875427306</v>
      </c>
      <c r="AC47" s="6">
        <f>-$Y$29/LN((Table13172739[[#This Row],[G Pre]]-1)/(Table13172739[[#This Row],[G Pre]]*$Z$26-$Z$27))</f>
        <v>3.1567056689488244</v>
      </c>
      <c r="AD47" s="6">
        <f>-$Y$29/LN((Table13172739[[#This Row],[G 5min]]-1)/(Table13172739[[#This Row],[G 5min]]*$Z$26-$Z$27))</f>
        <v>5.7814771644691323</v>
      </c>
      <c r="AE47" s="6">
        <f>-$Y$29/LN((Table13172739[[#This Row],[G 10min]]-1)/(Table13172739[[#This Row],[G 10min]]*$Z$26-$Z$27))</f>
        <v>3.7534924490373807</v>
      </c>
      <c r="AF47" s="6">
        <f>-$Y$29/LN((Table13172739[[#This Row],[G 15min]]-1)/(Table13172739[[#This Row],[G 15min]]*$Z$26-$Z$27))</f>
        <v>0.56713469728227961</v>
      </c>
      <c r="AG47" s="6">
        <f>-$Y$29/LN((Table13172739[[#This Row],[G 20min]]-1)/(Table13172739[[#This Row],[G 20min]]*$Z$26-$Z$27))</f>
        <v>2.4696391151475052</v>
      </c>
    </row>
    <row r="48" spans="1:33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L48" s="5"/>
      <c r="M48" s="5" t="e">
        <f>Table413162638[[#This Row],[10 - pre]]/$M$25</f>
        <v>#DIV/0!</v>
      </c>
      <c r="N48" s="5" t="e">
        <f>Table413162638[[#This Row],[10 - pre]]/$M$32</f>
        <v>#DIV/0!</v>
      </c>
      <c r="O48" s="5" t="e">
        <f>Table413162638[[#This Row],[10 - Post 5min]]/$M$26</f>
        <v>#DIV/0!</v>
      </c>
      <c r="P48" s="5" t="e">
        <f>Table413162638[[#This Row],[10 - Post 5min]]/$O$32</f>
        <v>#DIV/0!</v>
      </c>
      <c r="Q48" s="5" t="e">
        <f>Table413162638[[#This Row],[10 - Post 10min]]/$M$26</f>
        <v>#DIV/0!</v>
      </c>
      <c r="R48" s="5" t="e">
        <f>Table413162638[[#This Row],[10 - Post 10min]]/$Q$32</f>
        <v>#DIV/0!</v>
      </c>
      <c r="S48" s="5" t="e">
        <f>Table413162638[[#This Row],[10 - Post 15min]]/$M$26</f>
        <v>#DIV/0!</v>
      </c>
      <c r="T48" s="5" t="e">
        <f>Table413162638[[#This Row],[10 - Post 15min]]/$S$32</f>
        <v>#DIV/0!</v>
      </c>
      <c r="U48" s="5" t="e">
        <f>Table413162638[[#This Row],[10 - Post 20min]]/$M$26</f>
        <v>#DIV/0!</v>
      </c>
      <c r="V48" s="5" t="e">
        <f>Table413162638[[#This Row],[10 - Post 20min]]/$U$32</f>
        <v>#DIV/0!</v>
      </c>
      <c r="X48" s="6" t="e">
        <f>1*$Y$27/(Table2841[[#This Row],[S10 pre]]*$Y$26)</f>
        <v>#DIV/0!</v>
      </c>
      <c r="Y48" s="6" t="e">
        <f>1*$Y$27/(Table2841[[#This Row],[S10 5 min]]*$Y$26)</f>
        <v>#DIV/0!</v>
      </c>
      <c r="Z48" s="6" t="e">
        <f>1*$Y$27/(Table2841[[#This Row],[S 10]]*$Y$26)</f>
        <v>#DIV/0!</v>
      </c>
      <c r="AA48" s="6" t="e">
        <f>1*$Y$27/(Table2841[[#This Row],[S 15]]*$Y$26)</f>
        <v>#DIV/0!</v>
      </c>
      <c r="AB48" s="6" t="e">
        <f>1*$Y$27/(Table2841[[#This Row],[S 20]]*$Y$26)</f>
        <v>#DIV/0!</v>
      </c>
      <c r="AC48" s="6" t="e">
        <f>-$Y$29/LN((Table13172739[[#This Row],[G Pre]]-1)/(Table13172739[[#This Row],[G Pre]]*$Z$26-$Z$27))</f>
        <v>#DIV/0!</v>
      </c>
      <c r="AD48" s="6" t="e">
        <f>-$Y$29/LN((Table13172739[[#This Row],[G 5min]]-1)/(Table13172739[[#This Row],[G 5min]]*$Z$26-$Z$27))</f>
        <v>#DIV/0!</v>
      </c>
      <c r="AE48" s="6" t="e">
        <f>-$Y$29/LN((Table13172739[[#This Row],[G 10min]]-1)/(Table13172739[[#This Row],[G 10min]]*$Z$26-$Z$27))</f>
        <v>#DIV/0!</v>
      </c>
      <c r="AF48" s="6" t="e">
        <f>-$Y$29/LN((Table13172739[[#This Row],[G 15min]]-1)/(Table13172739[[#This Row],[G 15min]]*$Z$26-$Z$27))</f>
        <v>#DIV/0!</v>
      </c>
      <c r="AG48" s="6" t="e">
        <f>-$Y$29/LN((Table13172739[[#This Row],[G 20min]]-1)/(Table13172739[[#This Row],[G 20min]]*$Z$26-$Z$27))</f>
        <v>#DIV/0!</v>
      </c>
    </row>
    <row r="49" spans="1:33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L49" s="5"/>
      <c r="M49" s="5">
        <f>Table413162638[[#This Row],[10 - pre]]/$M$25</f>
        <v>0.76844105318327793</v>
      </c>
      <c r="N49" s="5">
        <f>Table413162638[[#This Row],[10 - pre]]/$M$32</f>
        <v>4.4623825196925528</v>
      </c>
      <c r="O49" s="5">
        <f>Table413162638[[#This Row],[10 - Post 5min]]/$M$26</f>
        <v>1.2913040658698385</v>
      </c>
      <c r="P49" s="5">
        <f>Table413162638[[#This Row],[10 - Post 5min]]/$O$32</f>
        <v>3.461740821217195</v>
      </c>
      <c r="Q49" s="5">
        <f>Table413162638[[#This Row],[10 - Post 10min]]/$M$26</f>
        <v>1.5397626794067494</v>
      </c>
      <c r="R49" s="5">
        <f>Table413162638[[#This Row],[10 - Post 10min]]/$Q$32</f>
        <v>4.4615745903412787</v>
      </c>
      <c r="S49" s="5">
        <f>Table413162638[[#This Row],[10 - Post 15min]]/$M$26</f>
        <v>1.6027530453689129</v>
      </c>
      <c r="T49" s="5">
        <f>Table413162638[[#This Row],[10 - Post 15min]]/$S$32</f>
        <v>3.951607254862624</v>
      </c>
      <c r="U49" s="5">
        <f>Table413162638[[#This Row],[10 - Post 20min]]/$M$26</f>
        <v>1.5887250977951117</v>
      </c>
      <c r="V49" s="5">
        <f>Table413162638[[#This Row],[10 - Post 20min]]/$U$32</f>
        <v>3.120450364988272</v>
      </c>
      <c r="X49" s="6">
        <f>1*$Y$27/(Table2841[[#This Row],[S10 pre]]*$Y$26)</f>
        <v>1.1150241414861046</v>
      </c>
      <c r="Y49" s="6">
        <f>1*$Y$27/(Table2841[[#This Row],[S10 5 min]]*$Y$26)</f>
        <v>1.4373300876560939</v>
      </c>
      <c r="Z49" s="6">
        <f>1*$Y$27/(Table2841[[#This Row],[S 10]]*$Y$26)</f>
        <v>1.1152260569114876</v>
      </c>
      <c r="AA49" s="6">
        <f>1*$Y$27/(Table2841[[#This Row],[S 15]]*$Y$26)</f>
        <v>1.2591494845243079</v>
      </c>
      <c r="AB49" s="6">
        <f>1*$Y$27/(Table2841[[#This Row],[S 20]]*$Y$26)</f>
        <v>1.5945340114459694</v>
      </c>
      <c r="AC49" s="6">
        <f>-$Y$29/LN((Table13172739[[#This Row],[G Pre]]-1)/(Table13172739[[#This Row],[G Pre]]*$Z$26-$Z$27))</f>
        <v>1.3633420218839076</v>
      </c>
      <c r="AD49" s="6">
        <f>-$Y$29/LN((Table13172739[[#This Row],[G 5min]]-1)/(Table13172739[[#This Row],[G 5min]]*$Z$26-$Z$27))</f>
        <v>5.0291671753464193</v>
      </c>
      <c r="AE49" s="6">
        <f>-$Y$29/LN((Table13172739[[#This Row],[G 10min]]-1)/(Table13172739[[#This Row],[G 10min]]*$Z$26-$Z$27))</f>
        <v>1.3656094457505408</v>
      </c>
      <c r="AF49" s="6">
        <f>-$Y$29/LN((Table13172739[[#This Row],[G 15min]]-1)/(Table13172739[[#This Row],[G 15min]]*$Z$26-$Z$27))</f>
        <v>2.990605913055572</v>
      </c>
      <c r="AG49" s="6">
        <f>-$Y$29/LN((Table13172739[[#This Row],[G 20min]]-1)/(Table13172739[[#This Row],[G 20min]]*$Z$26-$Z$27))</f>
        <v>6.8534245434591003</v>
      </c>
    </row>
    <row r="50" spans="1:33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L50" s="5"/>
      <c r="M50" s="5">
        <f>Table413162638[[#This Row],[10 - pre]]/$M$25</f>
        <v>0.91572882041581627</v>
      </c>
      <c r="N50" s="5">
        <f>Table413162638[[#This Row],[10 - pre]]/$M$32</f>
        <v>5.3176912712751738</v>
      </c>
      <c r="O50" s="5">
        <f>Table413162638[[#This Row],[10 - Post 5min]]/$M$26</f>
        <v>0.75842482147942003</v>
      </c>
      <c r="P50" s="5">
        <f>Table413162638[[#This Row],[10 - Post 5min]]/$O$32</f>
        <v>2.0331928271062338</v>
      </c>
      <c r="Q50" s="5">
        <f>Table413162638[[#This Row],[10 - Post 10min]]/$M$26</f>
        <v>1.6029089986258933</v>
      </c>
      <c r="R50" s="5">
        <f>Table413162638[[#This Row],[10 - Post 10min]]/$Q$32</f>
        <v>4.6445456527456876</v>
      </c>
      <c r="S50" s="5">
        <f>Table413162638[[#This Row],[10 - Post 15min]]/$M$26</f>
        <v>1.6298785500281527</v>
      </c>
      <c r="T50" s="5">
        <f>Table413162638[[#This Row],[10 - Post 15min]]/$S$32</f>
        <v>4.0184855186806097</v>
      </c>
      <c r="U50" s="5">
        <f>Table413162638[[#This Row],[10 - Post 20min]]/$M$26</f>
        <v>1.8436663239748374</v>
      </c>
      <c r="V50" s="5">
        <f>Table413162638[[#This Row],[10 - Post 20min]]/$U$32</f>
        <v>3.6211861079982799</v>
      </c>
      <c r="X50" s="6">
        <f>1*$Y$27/(Table2841[[#This Row],[S10 pre]]*$Y$26)</f>
        <v>0.9356812917816556</v>
      </c>
      <c r="Y50" s="6">
        <f>1*$Y$27/(Table2841[[#This Row],[S10 5 min]]*$Y$26)</f>
        <v>2.447217092086865</v>
      </c>
      <c r="Z50" s="6">
        <f>1*$Y$27/(Table2841[[#This Row],[S 10]]*$Y$26)</f>
        <v>1.0712919217537147</v>
      </c>
      <c r="AA50" s="6">
        <f>1*$Y$27/(Table2841[[#This Row],[S 15]]*$Y$26)</f>
        <v>1.2381938954047669</v>
      </c>
      <c r="AB50" s="6">
        <f>1*$Y$27/(Table2841[[#This Row],[S 20]]*$Y$26)</f>
        <v>1.3740426726515964</v>
      </c>
      <c r="AC50" s="6">
        <f>-$Y$29/LN((Table13172739[[#This Row],[G Pre]]-1)/(Table13172739[[#This Row],[G Pre]]*$Z$26-$Z$27))</f>
        <v>-0.62810909443934482</v>
      </c>
      <c r="AD50" s="6">
        <f>-$Y$29/LN((Table13172739[[#This Row],[G 5min]]-1)/(Table13172739[[#This Row],[G 5min]]*$Z$26-$Z$27))</f>
        <v>17.192116717298813</v>
      </c>
      <c r="AE50" s="6">
        <f>-$Y$29/LN((Table13172739[[#This Row],[G 10min]]-1)/(Table13172739[[#This Row],[G 10min]]*$Z$26-$Z$27))</f>
        <v>0.87282683085194557</v>
      </c>
      <c r="AF50" s="6">
        <f>-$Y$29/LN((Table13172739[[#This Row],[G 15min]]-1)/(Table13172739[[#This Row],[G 15min]]*$Z$26-$Z$27))</f>
        <v>2.7528391963895058</v>
      </c>
      <c r="AG50" s="6">
        <f>-$Y$29/LN((Table13172739[[#This Row],[G 20min]]-1)/(Table13172739[[#This Row],[G 20min]]*$Z$26-$Z$27))</f>
        <v>4.3015989214719417</v>
      </c>
    </row>
    <row r="51" spans="1:33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L51" s="5"/>
      <c r="M51" s="5" t="e">
        <f>Table413162638[[#This Row],[10 - pre]]/$M$25</f>
        <v>#DIV/0!</v>
      </c>
      <c r="N51" s="5" t="e">
        <f>Table413162638[[#This Row],[10 - pre]]/$M$32</f>
        <v>#DIV/0!</v>
      </c>
      <c r="O51" s="5" t="e">
        <f>Table413162638[[#This Row],[10 - Post 5min]]/$M$26</f>
        <v>#DIV/0!</v>
      </c>
      <c r="P51" s="5" t="e">
        <f>Table413162638[[#This Row],[10 - Post 5min]]/$O$32</f>
        <v>#DIV/0!</v>
      </c>
      <c r="Q51" s="5" t="e">
        <f>Table413162638[[#This Row],[10 - Post 10min]]/$M$26</f>
        <v>#DIV/0!</v>
      </c>
      <c r="R51" s="5" t="e">
        <f>Table413162638[[#This Row],[10 - Post 10min]]/$Q$32</f>
        <v>#DIV/0!</v>
      </c>
      <c r="S51" s="5" t="e">
        <f>Table413162638[[#This Row],[10 - Post 15min]]/$M$26</f>
        <v>#DIV/0!</v>
      </c>
      <c r="T51" s="5" t="e">
        <f>Table413162638[[#This Row],[10 - Post 15min]]/$S$32</f>
        <v>#DIV/0!</v>
      </c>
      <c r="U51" s="5" t="e">
        <f>Table413162638[[#This Row],[10 - Post 20min]]/$M$26</f>
        <v>#DIV/0!</v>
      </c>
      <c r="V51" s="5" t="e">
        <f>Table413162638[[#This Row],[10 - Post 20min]]/$U$32</f>
        <v>#DIV/0!</v>
      </c>
      <c r="X51" s="6" t="e">
        <f>1*$Y$27/(Table2841[[#This Row],[S10 pre]]*$Y$26)</f>
        <v>#DIV/0!</v>
      </c>
      <c r="Y51" s="6" t="e">
        <f>1*$Y$27/(Table2841[[#This Row],[S10 5 min]]*$Y$26)</f>
        <v>#DIV/0!</v>
      </c>
      <c r="Z51" s="6" t="e">
        <f>1*$Y$27/(Table2841[[#This Row],[S 10]]*$Y$26)</f>
        <v>#DIV/0!</v>
      </c>
      <c r="AA51" s="6" t="e">
        <f>1*$Y$27/(Table2841[[#This Row],[S 15]]*$Y$26)</f>
        <v>#DIV/0!</v>
      </c>
      <c r="AB51" s="6" t="e">
        <f>1*$Y$27/(Table2841[[#This Row],[S 20]]*$Y$26)</f>
        <v>#DIV/0!</v>
      </c>
      <c r="AC51" s="6" t="e">
        <f>-$Y$29/LN((Table13172739[[#This Row],[G Pre]]-1)/(Table13172739[[#This Row],[G Pre]]*$Z$26-$Z$27))</f>
        <v>#DIV/0!</v>
      </c>
      <c r="AD51" s="6" t="e">
        <f>-$Y$29/LN((Table13172739[[#This Row],[G 5min]]-1)/(Table13172739[[#This Row],[G 5min]]*$Z$26-$Z$27))</f>
        <v>#DIV/0!</v>
      </c>
      <c r="AE51" s="6" t="e">
        <f>-$Y$29/LN((Table13172739[[#This Row],[G 10min]]-1)/(Table13172739[[#This Row],[G 10min]]*$Z$26-$Z$27))</f>
        <v>#DIV/0!</v>
      </c>
      <c r="AF51" s="6" t="e">
        <f>-$Y$29/LN((Table13172739[[#This Row],[G 15min]]-1)/(Table13172739[[#This Row],[G 15min]]*$Z$26-$Z$27))</f>
        <v>#DIV/0!</v>
      </c>
      <c r="AG51" s="6" t="e">
        <f>-$Y$29/LN((Table13172739[[#This Row],[G 20min]]-1)/(Table13172739[[#This Row],[G 20min]]*$Z$26-$Z$27))</f>
        <v>#DIV/0!</v>
      </c>
    </row>
    <row r="52" spans="1:33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L52" s="5"/>
      <c r="M52" s="5">
        <f>Table413162638[[#This Row],[10 - pre]]/$M$25</f>
        <v>0.78899572182901623</v>
      </c>
      <c r="N52" s="5">
        <f>Table413162638[[#This Row],[10 - pre]]/$M$32</f>
        <v>4.5817446928649144</v>
      </c>
      <c r="O52" s="5">
        <f>Table413162638[[#This Row],[10 - Post 5min]]/$M$26</f>
        <v>1.6429501468308274</v>
      </c>
      <c r="P52" s="5">
        <f>Table413162638[[#This Row],[10 - Post 5min]]/$O$32</f>
        <v>4.404437142910961</v>
      </c>
      <c r="Q52" s="5">
        <f>Table413162638[[#This Row],[10 - Post 10min]]/$M$26</f>
        <v>1.7316766547566114</v>
      </c>
      <c r="R52" s="5">
        <f>Table413162638[[#This Row],[10 - Post 10min]]/$Q$32</f>
        <v>5.0176593217118457</v>
      </c>
      <c r="S52" s="5">
        <f>Table413162638[[#This Row],[10 - Post 15min]]/$M$26</f>
        <v>2.3979704364960215</v>
      </c>
      <c r="T52" s="5">
        <f>Table413162638[[#This Row],[10 - Post 15min]]/$S$32</f>
        <v>5.9122254680368895</v>
      </c>
      <c r="U52" s="5">
        <f>Table413162638[[#This Row],[10 - Post 20min]]/$M$26</f>
        <v>2.1461673782247561</v>
      </c>
      <c r="V52" s="5">
        <f>Table413162638[[#This Row],[10 - Post 20min]]/$U$32</f>
        <v>4.2153351690621035</v>
      </c>
      <c r="X52" s="6">
        <f>1*$Y$27/(Table2841[[#This Row],[S10 pre]]*$Y$26)</f>
        <v>1.0859758828883068</v>
      </c>
      <c r="Y52" s="6">
        <f>1*$Y$27/(Table2841[[#This Row],[S10 5 min]]*$Y$26)</f>
        <v>1.129693551424892</v>
      </c>
      <c r="Z52" s="6">
        <f>1*$Y$27/(Table2841[[#This Row],[S 10]]*$Y$26)</f>
        <v>0.99163054304477383</v>
      </c>
      <c r="AA52" s="6">
        <f>1*$Y$27/(Table2841[[#This Row],[S 15]]*$Y$26)</f>
        <v>0.84158905388547722</v>
      </c>
      <c r="AB52" s="6">
        <f>1*$Y$27/(Table2841[[#This Row],[S 20]]*$Y$26)</f>
        <v>1.1803721503620923</v>
      </c>
      <c r="AC52" s="6">
        <f>-$Y$29/LN((Table13172739[[#This Row],[G Pre]]-1)/(Table13172739[[#This Row],[G Pre]]*$Z$26-$Z$27))</f>
        <v>1.0374214598363083</v>
      </c>
      <c r="AD52" s="6">
        <f>-$Y$29/LN((Table13172739[[#This Row],[G 5min]]-1)/(Table13172739[[#This Row],[G 5min]]*$Z$26-$Z$27))</f>
        <v>1.5281527285626186</v>
      </c>
      <c r="AE52" s="6" t="e">
        <f>-$Y$29/LN((Table13172739[[#This Row],[G 10min]]-1)/(Table13172739[[#This Row],[G 10min]]*$Z$26-$Z$27))</f>
        <v>#NUM!</v>
      </c>
      <c r="AF52" s="6">
        <f>-$Y$29/LN((Table13172739[[#This Row],[G 15min]]-1)/(Table13172739[[#This Row],[G 15min]]*$Z$26-$Z$27))</f>
        <v>-1.6658698427199303</v>
      </c>
      <c r="AG52" s="6">
        <f>-$Y$29/LN((Table13172739[[#This Row],[G 20min]]-1)/(Table13172739[[#This Row],[G 20min]]*$Z$26-$Z$27))</f>
        <v>2.0988824839241067</v>
      </c>
    </row>
  </sheetData>
  <conditionalFormatting sqref="AC2:AG23">
    <cfRule type="cellIs" dxfId="67" priority="6" operator="lessThan">
      <formula>0</formula>
    </cfRule>
  </conditionalFormatting>
  <conditionalFormatting sqref="AC31:AG52">
    <cfRule type="cellIs" dxfId="66" priority="5" operator="lessThan">
      <formula>0</formula>
    </cfRule>
  </conditionalFormatting>
  <conditionalFormatting sqref="E31:E52">
    <cfRule type="cellIs" dxfId="65" priority="4" operator="lessThan">
      <formula>$C31</formula>
    </cfRule>
  </conditionalFormatting>
  <conditionalFormatting sqref="G31:G52">
    <cfRule type="cellIs" dxfId="64" priority="3" operator="greaterThan">
      <formula>$E31</formula>
    </cfRule>
  </conditionalFormatting>
  <conditionalFormatting sqref="I31:I52">
    <cfRule type="cellIs" dxfId="63" priority="2" operator="greaterThan">
      <formula>$E31</formula>
    </cfRule>
  </conditionalFormatting>
  <conditionalFormatting sqref="K31:K52">
    <cfRule type="cellIs" dxfId="62" priority="1" operator="greaterThan">
      <formula>$E31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topLeftCell="D1" workbookViewId="0">
      <selection activeCell="H12" sqref="H12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2">
        <v>1</v>
      </c>
      <c r="N2" s="2">
        <f>$T$2*M2</f>
        <v>4.74</v>
      </c>
      <c r="O2" s="2">
        <f>M2*$T$3</f>
        <v>8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16</v>
      </c>
      <c r="S3" s="7" t="s">
        <v>31</v>
      </c>
      <c r="T3" s="8">
        <v>8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24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32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40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48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56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64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72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80</v>
      </c>
      <c r="S11" s="3"/>
      <c r="T11" s="3"/>
    </row>
    <row r="12" spans="1:23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2">
        <v>11</v>
      </c>
      <c r="N12" s="2">
        <f t="shared" si="0"/>
        <v>52.14</v>
      </c>
      <c r="O12" s="2">
        <f t="shared" si="1"/>
        <v>88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96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112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120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128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136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144</v>
      </c>
      <c r="S18" s="3"/>
    </row>
    <row r="19" spans="1:21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2">
        <v>19</v>
      </c>
      <c r="N19" s="2">
        <f t="shared" si="0"/>
        <v>90.06</v>
      </c>
      <c r="O19" s="2">
        <f t="shared" si="1"/>
        <v>152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160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168</v>
      </c>
      <c r="S21" s="3"/>
    </row>
    <row r="22" spans="1:21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2">
        <v>22</v>
      </c>
      <c r="N22" s="2">
        <f>$T$2*M22</f>
        <v>104.28</v>
      </c>
      <c r="O22" s="2">
        <f>M22*$T$3</f>
        <v>176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184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192</v>
      </c>
    </row>
    <row r="25" spans="1:21">
      <c r="M25" s="2">
        <v>25</v>
      </c>
      <c r="N25" s="2">
        <f t="shared" si="2"/>
        <v>118.5</v>
      </c>
      <c r="O25" s="2">
        <f t="shared" si="3"/>
        <v>200</v>
      </c>
    </row>
    <row r="26" spans="1:21">
      <c r="M26" s="2">
        <v>26</v>
      </c>
      <c r="N26" s="2">
        <f t="shared" si="2"/>
        <v>123.24000000000001</v>
      </c>
      <c r="O26" s="2">
        <f t="shared" si="3"/>
        <v>208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240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SLOPE(Table4[10 - pre],Table4[2 - Pre])</f>
        <v>7.4236375471311087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SLOPE(Table4[10 - Post 5min],Table4[2 - Post 5min])</f>
        <v>5.408838173608312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SLOPE(Table4[10 - Post 10min],Table4[2 - Post 10min])</f>
        <v>7.8498401523425319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SLOPE(Table4[10 - Post 15min],Table4[2 - Post 15min])</f>
        <v>8.3054900198661699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SLOPE(Table4[10 - Post 20min],Table4[2 - Post 20min])</f>
        <v>11.130267112418675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T52"/>
  <sheetViews>
    <sheetView tabSelected="1" topLeftCell="F1" zoomScaleNormal="100" workbookViewId="0">
      <selection activeCell="O30" sqref="O30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M2" s="6">
        <f>Table413[[#This Row],[2 - Pre]]*$N$27/(Table413[[#This Row],[10 - pre]]*$N$26)</f>
        <v>0.43056809531501028</v>
      </c>
      <c r="N2" s="6">
        <f>Table413[[#This Row],[2 - Post 5min]]*$N$27/(Table413[[#This Row],[10 - Post 5min]]*$N$26)</f>
        <v>0.51533021648041122</v>
      </c>
      <c r="O2" s="6">
        <f>Table413[[#This Row],[2 - Post 10min]]*$N$27/(Table413[[#This Row],[10 - Post 10min]]*$N$26)</f>
        <v>0.53913209174758681</v>
      </c>
      <c r="P2" s="6">
        <f>Table413[[#This Row],[2 - Post 15min]]*$N$27/(Table413[[#This Row],[10 - Post 15min]]*$N$26)</f>
        <v>0.152664781197621</v>
      </c>
      <c r="Q2" s="6">
        <f>Table413[[#This Row],[2 - Post 20min]]*$N$27/(Table413[[#This Row],[10 - Post 20min]]*$N$26)</f>
        <v>0.35603467738903677</v>
      </c>
      <c r="R2" s="6">
        <f>-$N$29/LN((Table13[[#This Row],[G Pre]]-1)/(Table13[[#This Row],[G Pre]]*$O$26-$O$27))</f>
        <v>-6.0973578078776187</v>
      </c>
      <c r="S2" s="6">
        <f>-$N$29/LN((Table13[[#This Row],[G 5min]]-1)/(Table13[[#This Row],[G 5min]]*$O$26-$O$27))</f>
        <v>-5.1958211275931987</v>
      </c>
      <c r="T2" s="6">
        <f>-$N$29/LN((Table13[[#This Row],[G 10min]]-1)/(Table13[[#This Row],[G 10min]]*$O$26-$O$27))</f>
        <v>-4.941531988469074</v>
      </c>
      <c r="U2" s="6">
        <f>-$N$29/LN((Table13[[#This Row],[G 15min]]-1)/(Table13[[#This Row],[G 15min]]*$O$26-$O$27))</f>
        <v>-9.0098264321081043</v>
      </c>
      <c r="V2" s="6">
        <f>-$N$29/LN((Table13[[#This Row],[G 20min]]-1)/(Table13[[#This Row],[G 20min]]*$O$26-$O$27))</f>
        <v>-6.884950964051213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Table413[[#This Row],[2 - Pre]]*$N$27/(Table413[[#This Row],[10 - pre]]*$N$26)</f>
        <v>1.3008056773482592</v>
      </c>
      <c r="N3" s="6">
        <f>Table413[[#This Row],[2 - Post 5min]]*$N$27/(Table413[[#This Row],[10 - Post 5min]]*$N$26)</f>
        <v>0.56103467402957685</v>
      </c>
      <c r="O3" s="6">
        <f>Table413[[#This Row],[2 - Post 10min]]*$N$27/(Table413[[#This Row],[10 - Post 10min]]*$N$26)</f>
        <v>0.60639839238045834</v>
      </c>
      <c r="P3" s="6">
        <f>Table413[[#This Row],[2 - Post 15min]]*$N$27/(Table413[[#This Row],[10 - Post 15min]]*$N$26)</f>
        <v>0.51597758507578595</v>
      </c>
      <c r="Q3" s="6">
        <f>Table413[[#This Row],[2 - Post 20min]]*$N$27/(Table413[[#This Row],[10 - Post 20min]]*$N$26)</f>
        <v>0.41104767381925511</v>
      </c>
      <c r="R3" s="6">
        <f>-$N$29/LN((Table13[[#This Row],[G Pre]]-1)/(Table13[[#This Row],[G Pre]]*$O$26-$O$27))</f>
        <v>3.4644722702092752</v>
      </c>
      <c r="S3" s="6">
        <f>-$N$29/LN((Table13[[#This Row],[G 5min]]-1)/(Table13[[#This Row],[G 5min]]*$O$26-$O$27))</f>
        <v>-4.7070933135798345</v>
      </c>
      <c r="T3" s="6">
        <f>-$N$29/LN((Table13[[#This Row],[G 10min]]-1)/(Table13[[#This Row],[G 10min]]*$O$26-$O$27))</f>
        <v>-4.2201835475697465</v>
      </c>
      <c r="U3" s="6">
        <f>-$N$29/LN((Table13[[#This Row],[G 15min]]-1)/(Table13[[#This Row],[G 15min]]*$O$26-$O$27))</f>
        <v>-5.1889115011302795</v>
      </c>
      <c r="V3" s="6">
        <f>-$N$29/LN((Table13[[#This Row],[G 20min]]-1)/(Table13[[#This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Table413[[#This Row],[2 - Pre]]*$N$27/(Table413[[#This Row],[10 - pre]]*$N$26)</f>
        <v>0.97902842296696546</v>
      </c>
      <c r="N4" s="6">
        <f>Table413[[#This Row],[2 - Post 5min]]*$N$27/(Table413[[#This Row],[10 - Post 5min]]*$N$26)</f>
        <v>1.2990717943440793</v>
      </c>
      <c r="O4" s="6">
        <f>Table413[[#This Row],[2 - Post 10min]]*$N$27/(Table413[[#This Row],[10 - Post 10min]]*$N$26)</f>
        <v>0.39924877543847787</v>
      </c>
      <c r="P4" s="6">
        <f>Table413[[#This Row],[2 - Post 15min]]*$N$27/(Table413[[#This Row],[10 - Post 15min]]*$N$26)</f>
        <v>0.3771897486051955</v>
      </c>
      <c r="Q4" s="6">
        <f>Table413[[#This Row],[2 - Post 20min]]*$N$27/(Table413[[#This Row],[10 - Post 20min]]*$N$26)</f>
        <v>0.44304003225359107</v>
      </c>
      <c r="R4" s="6">
        <f>-$N$29/LN((Table13[[#This Row],[G Pre]]-1)/(Table13[[#This Row],[G Pre]]*$O$26-$O$27))</f>
        <v>-0.13605787131971925</v>
      </c>
      <c r="S4" s="6">
        <f>-$N$29/LN((Table13[[#This Row],[G 5min]]-1)/(Table13[[#This Row],[G 5min]]*$O$26-$O$27))</f>
        <v>3.4447154610100181</v>
      </c>
      <c r="T4" s="6">
        <f>-$N$29/LN((Table13[[#This Row],[G 10min]]-1)/(Table13[[#This Row],[G 10min]]*$O$26-$O$27))</f>
        <v>-6.4288924635165543</v>
      </c>
      <c r="U4" s="6">
        <f>-$N$29/LN((Table13[[#This Row],[G 15min]]-1)/(Table13[[#This Row],[G 15min]]*$O$26-$O$27))</f>
        <v>-6.6618925402236338</v>
      </c>
      <c r="V4" s="6">
        <f>-$N$29/LN((Table13[[#This Row],[G 20min]]-1)/(Table13[[#This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Table413[[#This Row],[2 - Pre]]*$N$27/(Table413[[#This Row],[10 - pre]]*$N$26)</f>
        <v>1.1074198196834613</v>
      </c>
      <c r="N5" s="6">
        <f>Table413[[#This Row],[2 - Post 5min]]*$N$27/(Table413[[#This Row],[10 - Post 5min]]*$N$26)</f>
        <v>0.4421009458263927</v>
      </c>
      <c r="O5" s="6">
        <f>Table413[[#This Row],[2 - Post 10min]]*$N$27/(Table413[[#This Row],[10 - Post 10min]]*$N$26)</f>
        <v>0.47264535167549732</v>
      </c>
      <c r="P5" s="6">
        <f>Table413[[#This Row],[2 - Post 15min]]*$N$27/(Table413[[#This Row],[10 - Post 15min]]*$N$26)</f>
        <v>0.3440991045096678</v>
      </c>
      <c r="Q5" s="6">
        <f>Table413[[#This Row],[2 - Post 20min]]*$N$27/(Table413[[#This Row],[10 - Post 20min]]*$N$26)</f>
        <v>0.40296532360130377</v>
      </c>
      <c r="R5" s="6">
        <f>-$N$29/LN((Table13[[#This Row],[G Pre]]-1)/(Table13[[#This Row],[G Pre]]*$O$26-$O$27))</f>
        <v>1.2779698364201741</v>
      </c>
      <c r="S5" s="6">
        <f>-$N$29/LN((Table13[[#This Row],[G 5min]]-1)/(Table13[[#This Row],[G 5min]]*$O$26-$O$27))</f>
        <v>-5.9750612730185466</v>
      </c>
      <c r="T5" s="6">
        <f>-$N$29/LN((Table13[[#This Row],[G 10min]]-1)/(Table13[[#This Row],[G 10min]]*$O$26-$O$27))</f>
        <v>-5.6506040204239643</v>
      </c>
      <c r="U5" s="6">
        <f>-$N$29/LN((Table13[[#This Row],[G 15min]]-1)/(Table13[[#This Row],[G 15min]]*$O$26-$O$27))</f>
        <v>-7.0106296625269557</v>
      </c>
      <c r="V5" s="6">
        <f>-$N$29/LN((Table13[[#This Row],[G 20min]]-1)/(Table13[[#This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Table413[[#This Row],[2 - Pre]]*$N$27/(Table413[[#This Row],[10 - pre]]*$N$26)</f>
        <v>1.0399483775522547</v>
      </c>
      <c r="N6" s="6">
        <f>Table413[[#This Row],[2 - Post 5min]]*$N$27/(Table413[[#This Row],[10 - Post 5min]]*$N$26)</f>
        <v>0.79633604859056917</v>
      </c>
      <c r="O6" s="6">
        <f>Table413[[#This Row],[2 - Post 10min]]*$N$27/(Table413[[#This Row],[10 - Post 10min]]*$N$26)</f>
        <v>0.66146699308703216</v>
      </c>
      <c r="P6" s="6">
        <f>Table413[[#This Row],[2 - Post 15min]]*$N$27/(Table413[[#This Row],[10 - Post 15min]]*$N$26)</f>
        <v>0.45624239362697377</v>
      </c>
      <c r="Q6" s="6">
        <f>Table413[[#This Row],[2 - Post 20min]]*$N$27/(Table413[[#This Row],[10 - Post 20min]]*$N$26)</f>
        <v>0.35595801038228686</v>
      </c>
      <c r="R6" s="6">
        <f>-$N$29/LN((Table13[[#This Row],[G Pre]]-1)/(Table13[[#This Row],[G Pre]]*$O$26-$O$27))</f>
        <v>0.52133078970952551</v>
      </c>
      <c r="S6" s="6">
        <f>-$N$29/LN((Table13[[#This Row],[G 5min]]-1)/(Table13[[#This Row],[G 5min]]*$O$26-$O$27))</f>
        <v>-2.1613583778036585</v>
      </c>
      <c r="T6" s="6">
        <f>-$N$29/LN((Table13[[#This Row],[G 10min]]-1)/(Table13[[#This Row],[G 10min]]*$O$26-$O$27))</f>
        <v>-3.6266421470097399</v>
      </c>
      <c r="U6" s="6">
        <f>-$N$29/LN((Table13[[#This Row],[G 15min]]-1)/(Table13[[#This Row],[G 15min]]*$O$26-$O$27))</f>
        <v>-5.8249450001689276</v>
      </c>
      <c r="V6" s="6">
        <f>-$N$29/LN((Table13[[#This Row],[G 20min]]-1)/(Table13[[#This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Table413[[#This Row],[2 - Pre]]*$N$27/(Table413[[#This Row],[10 - pre]]*$N$26)</f>
        <v>1.1379642365071603</v>
      </c>
      <c r="N7" s="6">
        <f>Table413[[#This Row],[2 - Post 5min]]*$N$27/(Table413[[#This Row],[10 - Post 5min]]*$N$26)</f>
        <v>0.65204943247125058</v>
      </c>
      <c r="O7" s="6">
        <f>Table413[[#This Row],[2 - Post 10min]]*$N$27/(Table413[[#This Row],[10 - Post 10min]]*$N$26)</f>
        <v>0.65833812880257114</v>
      </c>
      <c r="P7" s="6">
        <f>Table413[[#This Row],[2 - Post 15min]]*$N$27/(Table413[[#This Row],[10 - Post 15min]]*$N$26)</f>
        <v>0.59399743368513858</v>
      </c>
      <c r="Q7" s="6">
        <f>Table413[[#This Row],[2 - Post 20min]]*$N$27/(Table413[[#This Row],[10 - Post 20min]]*$N$26)</f>
        <v>0.73587045587573263</v>
      </c>
      <c r="R7" s="6">
        <f>-$N$29/LN((Table13[[#This Row],[G Pre]]-1)/(Table13[[#This Row],[G Pre]]*$O$26-$O$27))</f>
        <v>1.6211478483778388</v>
      </c>
      <c r="S7" s="6">
        <f>-$N$29/LN((Table13[[#This Row],[G 5min]]-1)/(Table13[[#This Row],[G 5min]]*$O$26-$O$27))</f>
        <v>-3.7283393805079239</v>
      </c>
      <c r="T7" s="6">
        <f>-$N$29/LN((Table13[[#This Row],[G 10min]]-1)/(Table13[[#This Row],[G 10min]]*$O$26-$O$27))</f>
        <v>-3.6604386068588015</v>
      </c>
      <c r="U7" s="6">
        <f>-$N$29/LN((Table13[[#This Row],[G 15min]]-1)/(Table13[[#This Row],[G 15min]]*$O$26-$O$27))</f>
        <v>-4.3534701850085877</v>
      </c>
      <c r="V7" s="6">
        <f>-$N$29/LN((Table13[[#This Row],[G 20min]]-1)/(Table13[[#This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Table413[[#This Row],[2 - Pre]]*$N$27/(Table413[[#This Row],[10 - pre]]*$N$26)</f>
        <v>1.8651689214168614</v>
      </c>
      <c r="N8" s="6">
        <f>Table413[[#This Row],[2 - Post 5min]]*$N$27/(Table413[[#This Row],[10 - Post 5min]]*$N$26)</f>
        <v>0.82829105162858296</v>
      </c>
      <c r="O8" s="6">
        <f>Table413[[#This Row],[2 - Post 10min]]*$N$27/(Table413[[#This Row],[10 - Post 10min]]*$N$26)</f>
        <v>0.59669625133427107</v>
      </c>
      <c r="P8" s="6">
        <f>Table413[[#This Row],[2 - Post 15min]]*$N$27/(Table413[[#This Row],[10 - Post 15min]]*$N$26)</f>
        <v>0.70885848591152933</v>
      </c>
      <c r="Q8" s="6">
        <f>Table413[[#This Row],[2 - Post 20min]]*$N$27/(Table413[[#This Row],[10 - Post 20min]]*$N$26)</f>
        <v>0.60113595203938008</v>
      </c>
      <c r="R8" s="6">
        <f>-$N$29/LN((Table13[[#This Row],[G Pre]]-1)/(Table13[[#This Row],[G Pre]]*$O$26-$O$27))</f>
        <v>10.05211151516966</v>
      </c>
      <c r="S8" s="6">
        <f>-$N$29/LN((Table13[[#This Row],[G 5min]]-1)/(Table13[[#This Row],[G 5min]]*$O$26-$O$27))</f>
        <v>-1.8116836674520544</v>
      </c>
      <c r="T8" s="6">
        <f>-$N$29/LN((Table13[[#This Row],[G 10min]]-1)/(Table13[[#This Row],[G 10min]]*$O$26-$O$27))</f>
        <v>-4.3244746908411296</v>
      </c>
      <c r="U8" s="6">
        <f>-$N$29/LN((Table13[[#This Row],[G 15min]]-1)/(Table13[[#This Row],[G 15min]]*$O$26-$O$27))</f>
        <v>-3.1136602927528765</v>
      </c>
      <c r="V8" s="6">
        <f>-$N$29/LN((Table13[[#This Row],[G 20min]]-1)/(Table13[[#This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Table413[[#This Row],[2 - Pre]]*$N$27/(Table413[[#This Row],[10 - pre]]*$N$26)</f>
        <v>1.0761081462020172</v>
      </c>
      <c r="N9" s="6">
        <f>Table413[[#This Row],[2 - Post 5min]]*$N$27/(Table413[[#This Row],[10 - Post 5min]]*$N$26)</f>
        <v>0.61644117321386094</v>
      </c>
      <c r="O9" s="6">
        <f>Table413[[#This Row],[2 - Post 10min]]*$N$27/(Table413[[#This Row],[10 - Post 10min]]*$N$26)</f>
        <v>0.57876429367182092</v>
      </c>
      <c r="P9" s="6">
        <f>Table413[[#This Row],[2 - Post 15min]]*$N$27/(Table413[[#This Row],[10 - Post 15min]]*$N$26)</f>
        <v>0.4506114909274691</v>
      </c>
      <c r="Q9" s="6">
        <f>Table413[[#This Row],[2 - Post 20min]]*$N$27/(Table413[[#This Row],[10 - Post 20min]]*$N$26)</f>
        <v>0.40317239375980818</v>
      </c>
      <c r="R9" s="6">
        <f>-$N$29/LN((Table13[[#This Row],[G Pre]]-1)/(Table13[[#This Row],[G Pre]]*$O$26-$O$27))</f>
        <v>0.92680581004725049</v>
      </c>
      <c r="S9" s="6">
        <f>-$N$29/LN((Table13[[#This Row],[G 5min]]-1)/(Table13[[#This Row],[G 5min]]*$O$26-$O$27))</f>
        <v>-4.1121424643846982</v>
      </c>
      <c r="T9" s="6">
        <f>-$N$29/LN((Table13[[#This Row],[G 10min]]-1)/(Table13[[#This Row],[G 10min]]*$O$26-$O$27))</f>
        <v>-4.5170103568036657</v>
      </c>
      <c r="U9" s="6">
        <f>-$N$29/LN((Table13[[#This Row],[G 15min]]-1)/(Table13[[#This Row],[G 15min]]*$O$26-$O$27))</f>
        <v>-5.8847397764055129</v>
      </c>
      <c r="V9" s="6">
        <f>-$N$29/LN((Table13[[#This Row],[G 20min]]-1)/(Table13[[#This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Table413[[#This Row],[2 - Pre]]*$N$27/(Table413[[#This Row],[10 - pre]]*$N$26)</f>
        <v>1.2250269361684927</v>
      </c>
      <c r="N10" s="6">
        <f>Table413[[#This Row],[2 - Post 5min]]*$N$27/(Table413[[#This Row],[10 - Post 5min]]*$N$26)</f>
        <v>1.6892170134301183</v>
      </c>
      <c r="O10" s="6">
        <f>Table413[[#This Row],[2 - Post 10min]]*$N$27/(Table413[[#This Row],[10 - Post 10min]]*$N$26)</f>
        <v>0.4857926927804932</v>
      </c>
      <c r="P10" s="6">
        <f>Table413[[#This Row],[2 - Post 15min]]*$N$27/(Table413[[#This Row],[10 - Post 15min]]*$N$26)</f>
        <v>0.37583082315974381</v>
      </c>
      <c r="Q10" s="6">
        <f>Table413[[#This Row],[2 - Post 20min]]*$N$27/(Table413[[#This Row],[10 - Post 20min]]*$N$26)</f>
        <v>0.26131536205187744</v>
      </c>
      <c r="R10" s="6">
        <f>-$N$29/LN((Table13[[#This Row],[G Pre]]-1)/(Table13[[#This Row],[G Pre]]*$O$26-$O$27))</f>
        <v>2.6036530622777003</v>
      </c>
      <c r="S10" s="6">
        <f>-$N$29/LN((Table13[[#This Row],[G 5min]]-1)/(Table13[[#This Row],[G 5min]]*$O$26-$O$27))</f>
        <v>7.9640417126435494</v>
      </c>
      <c r="T10" s="6">
        <f>-$N$29/LN((Table13[[#This Row],[G 10min]]-1)/(Table13[[#This Row],[G 10min]]*$O$26-$O$27))</f>
        <v>-5.5106963953124328</v>
      </c>
      <c r="U10" s="6">
        <f>-$N$29/LN((Table13[[#This Row],[G 15min]]-1)/(Table13[[#This Row],[G 15min]]*$O$26-$O$27))</f>
        <v>-6.6762325775811577</v>
      </c>
      <c r="V10" s="6">
        <f>-$N$29/LN((Table13[[#This Row],[G 20min]]-1)/(Table13[[#This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Table413[[#This Row],[2 - Pre]]*$N$27/(Table413[[#This Row],[10 - pre]]*$N$26)</f>
        <v>1.4182390032924583</v>
      </c>
      <c r="N11" s="6">
        <f>Table413[[#This Row],[2 - Post 5min]]*$N$27/(Table413[[#This Row],[10 - Post 5min]]*$N$26)</f>
        <v>0.65854463265290519</v>
      </c>
      <c r="O11" s="6">
        <f>Table413[[#This Row],[2 - Post 10min]]*$N$27/(Table413[[#This Row],[10 - Post 10min]]*$N$26)</f>
        <v>0.67073776993719925</v>
      </c>
      <c r="P11" s="6">
        <f>Table413[[#This Row],[2 - Post 15min]]*$N$27/(Table413[[#This Row],[10 - Post 15min]]*$N$26)</f>
        <v>0.38841007277136252</v>
      </c>
      <c r="Q11" s="6">
        <f>Table413[[#This Row],[2 - Post 20min]]*$N$27/(Table413[[#This Row],[10 - Post 20min]]*$N$26)</f>
        <v>0.36575173776984826</v>
      </c>
      <c r="R11" s="6">
        <f>-$N$29/LN((Table13[[#This Row],[G Pre]]-1)/(Table13[[#This Row],[G Pre]]*$O$26-$O$27))</f>
        <v>4.8092811493515999</v>
      </c>
      <c r="S11" s="6">
        <f>-$N$29/LN((Table13[[#This Row],[G 5min]]-1)/(Table13[[#This Row],[G 5min]]*$O$26-$O$27))</f>
        <v>-3.6582083250239772</v>
      </c>
      <c r="T11" s="6">
        <f>-$N$29/LN((Table13[[#This Row],[G 10min]]-1)/(Table13[[#This Row],[G 10min]]*$O$26-$O$27))</f>
        <v>-3.5264519636177609</v>
      </c>
      <c r="U11" s="6">
        <f>-$N$29/LN((Table13[[#This Row],[G 15min]]-1)/(Table13[[#This Row],[G 15min]]*$O$26-$O$27))</f>
        <v>-6.5434294777774351</v>
      </c>
      <c r="V11" s="6">
        <f>-$N$29/LN((Table13[[#This Row],[G 20min]]-1)/(Table13[[#This Row],[G 20min]]*$O$26-$O$27))</f>
        <v>-6.7825423531739863</v>
      </c>
    </row>
    <row r="12" spans="1:46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M12" s="6">
        <f>Table413[[#This Row],[2 - Pre]]*$N$27/(Table413[[#This Row],[10 - pre]]*$N$26)</f>
        <v>0.76326489569050726</v>
      </c>
      <c r="N12" s="6">
        <f>Table413[[#This Row],[2 - Post 5min]]*$N$27/(Table413[[#This Row],[10 - Post 5min]]*$N$26)</f>
        <v>0.74404277966755383</v>
      </c>
      <c r="O12" s="6">
        <f>Table413[[#This Row],[2 - Post 10min]]*$N$27/(Table413[[#This Row],[10 - Post 10min]]*$N$26)</f>
        <v>0.6021386123676804</v>
      </c>
      <c r="P12" s="6">
        <f>Table413[[#This Row],[2 - Post 15min]]*$N$27/(Table413[[#This Row],[10 - Post 15min]]*$N$26)</f>
        <v>0.67908948174011297</v>
      </c>
      <c r="Q12" s="6">
        <f>Table413[[#This Row],[2 - Post 20min]]*$N$27/(Table413[[#This Row],[10 - Post 20min]]*$N$26)</f>
        <v>0.73997889552078777</v>
      </c>
      <c r="R12" s="6">
        <f>-$N$29/LN((Table13[[#This Row],[G Pre]]-1)/(Table13[[#This Row],[G Pre]]*$O$26-$O$27))</f>
        <v>-2.5222166532319452</v>
      </c>
      <c r="S12" s="6">
        <f>-$N$29/LN((Table13[[#This Row],[G 5min]]-1)/(Table13[[#This Row],[G 5min]]*$O$26-$O$27))</f>
        <v>-2.7314893163376026</v>
      </c>
      <c r="T12" s="6">
        <f>-$N$29/LN((Table13[[#This Row],[G 10min]]-1)/(Table13[[#This Row],[G 10min]]*$O$26-$O$27))</f>
        <v>-4.2659834800427978</v>
      </c>
      <c r="U12" s="6">
        <f>-$N$29/LN((Table13[[#This Row],[G 15min]]-1)/(Table13[[#This Row],[G 15min]]*$O$26-$O$27))</f>
        <v>-3.4361277856573356</v>
      </c>
      <c r="V12" s="6">
        <f>-$N$29/LN((Table13[[#This Row],[G 20min]]-1)/(Table13[[#This Row],[G 20min]]*$O$26-$O$27))</f>
        <v>-2.7756892816919012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Table413[[#This Row],[2 - Pre]]*$N$27/(Table413[[#This Row],[10 - pre]]*$N$26)</f>
        <v>1.2363071881879082</v>
      </c>
      <c r="N13" s="6">
        <f>Table413[[#This Row],[2 - Post 5min]]*$N$27/(Table413[[#This Row],[10 - Post 5min]]*$N$26)</f>
        <v>0.77638274420849485</v>
      </c>
      <c r="O13" s="6">
        <f>Table413[[#This Row],[2 - Post 10min]]*$N$27/(Table413[[#This Row],[10 - Post 10min]]*$N$26)</f>
        <v>0.78245123658299054</v>
      </c>
      <c r="P13" s="6">
        <f>Table413[[#This Row],[2 - Post 15min]]*$N$27/(Table413[[#This Row],[10 - Post 15min]]*$N$26)</f>
        <v>0.63805596687220767</v>
      </c>
      <c r="Q13" s="6">
        <f>Table413[[#This Row],[2 - Post 20min]]*$N$27/(Table413[[#This Row],[10 - Post 20min]]*$N$26)</f>
        <v>0.58844490689280748</v>
      </c>
      <c r="R13" s="6">
        <f>-$N$29/LN((Table13[[#This Row],[G Pre]]-1)/(Table13[[#This Row],[G Pre]]*$O$26-$O$27))</f>
        <v>2.7314522927350668</v>
      </c>
      <c r="S13" s="6">
        <f>-$N$29/LN((Table13[[#This Row],[G 5min]]-1)/(Table13[[#This Row],[G 5min]]*$O$26-$O$27))</f>
        <v>-2.3792037540345978</v>
      </c>
      <c r="T13" s="6">
        <f>-$N$29/LN((Table13[[#This Row],[G 10min]]-1)/(Table13[[#This Row],[G 10min]]*$O$26-$O$27))</f>
        <v>-2.3129893421672998</v>
      </c>
      <c r="U13" s="6">
        <f>-$N$29/LN((Table13[[#This Row],[G 15min]]-1)/(Table13[[#This Row],[G 15min]]*$O$26-$O$27))</f>
        <v>-3.879303185844166</v>
      </c>
      <c r="V13" s="6">
        <f>-$N$29/LN((Table13[[#This Row],[G 20min]]-1)/(Table13[[#This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Table413[[#This Row],[2 - Pre]]*$N$27/(Table413[[#This Row],[10 - pre]]*$N$26)</f>
        <v>1.0619232192284132</v>
      </c>
      <c r="N14" s="6">
        <f>Table413[[#This Row],[2 - Post 5min]]*$N$27/(Table413[[#This Row],[10 - Post 5min]]*$N$26)</f>
        <v>0.57048080817198843</v>
      </c>
      <c r="O14" s="6">
        <f>Table413[[#This Row],[2 - Post 10min]]*$N$27/(Table413[[#This Row],[10 - Post 10min]]*$N$26)</f>
        <v>0.66189947040426877</v>
      </c>
      <c r="P14" s="6">
        <f>Table413[[#This Row],[2 - Post 15min]]*$N$27/(Table413[[#This Row],[10 - Post 15min]]*$N$26)</f>
        <v>0.45579470559389446</v>
      </c>
      <c r="Q14" s="6">
        <f>Table413[[#This Row],[2 - Post 20min]]*$N$27/(Table413[[#This Row],[10 - Post 20min]]*$N$26)</f>
        <v>0.37011442608903877</v>
      </c>
      <c r="R14" s="6">
        <f>-$N$29/LN((Table13[[#This Row],[G Pre]]-1)/(Table13[[#This Row],[G Pre]]*$O$26-$O$27))</f>
        <v>0.767828532523677</v>
      </c>
      <c r="S14" s="6">
        <f>-$N$29/LN((Table13[[#This Row],[G 5min]]-1)/(Table13[[#This Row],[G 5min]]*$O$26-$O$27))</f>
        <v>-4.605853961975293</v>
      </c>
      <c r="T14" s="6">
        <f>-$N$29/LN((Table13[[#This Row],[G 10min]]-1)/(Table13[[#This Row],[G 10min]]*$O$26-$O$27))</f>
        <v>-3.6219700453603019</v>
      </c>
      <c r="U14" s="6">
        <f>-$N$29/LN((Table13[[#This Row],[G 15min]]-1)/(Table13[[#This Row],[G 15min]]*$O$26-$O$27))</f>
        <v>-5.8297000262282515</v>
      </c>
      <c r="V14" s="6">
        <f>-$N$29/LN((Table13[[#This Row],[G 20min]]-1)/(Table13[[#This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Table413[[#This Row],[2 - Pre]]*$N$27/(Table413[[#This Row],[10 - pre]]*$N$26)</f>
        <v>0.97612846352329496</v>
      </c>
      <c r="N15" s="6">
        <f>Table413[[#This Row],[2 - Post 5min]]*$N$27/(Table413[[#This Row],[10 - Post 5min]]*$N$26)</f>
        <v>0.60100071503119057</v>
      </c>
      <c r="O15" s="6">
        <f>Table413[[#This Row],[2 - Post 10min]]*$N$27/(Table413[[#This Row],[10 - Post 10min]]*$N$26)</f>
        <v>0.49939512723837526</v>
      </c>
      <c r="P15" s="6">
        <f>Table413[[#This Row],[2 - Post 15min]]*$N$27/(Table413[[#This Row],[10 - Post 15min]]*$N$26)</f>
        <v>0.33405324187125984</v>
      </c>
      <c r="Q15" s="6">
        <f>Table413[[#This Row],[2 - Post 20min]]*$N$27/(Table413[[#This Row],[10 - Post 20min]]*$N$26)</f>
        <v>0.30550067794450114</v>
      </c>
      <c r="R15" s="6">
        <f>-$N$29/LN((Table13[[#This Row],[G Pre]]-1)/(Table13[[#This Row],[G Pre]]*$O$26-$O$27))</f>
        <v>-0.17134143476079591</v>
      </c>
      <c r="S15" s="6">
        <f>-$N$29/LN((Table13[[#This Row],[G 5min]]-1)/(Table13[[#This Row],[G 5min]]*$O$26-$O$27))</f>
        <v>-4.278215092246346</v>
      </c>
      <c r="T15" s="6">
        <f>-$N$29/LN((Table13[[#This Row],[G 10min]]-1)/(Table13[[#This Row],[G 10min]]*$O$26-$O$27))</f>
        <v>-5.3657869150485897</v>
      </c>
      <c r="U15" s="6">
        <f>-$N$29/LN((Table13[[#This Row],[G 15min]]-1)/(Table13[[#This Row],[G 15min]]*$O$26-$O$27))</f>
        <v>-7.1163155119789065</v>
      </c>
      <c r="V15" s="6">
        <f>-$N$29/LN((Table13[[#This Row],[G 20min]]-1)/(Table13[[#This Row],[G 20min]]*$O$26-$O$27))</f>
        <v>-7.4162266872750875</v>
      </c>
    </row>
    <row r="16" spans="1:46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Table413[[#This Row],[2 - Pre]]*$N$27/(Table413[[#This Row],[10 - pre]]*$N$26)</f>
        <v>#DIV/0!</v>
      </c>
      <c r="N16" s="6">
        <f>Table413[[#This Row],[2 - Post 5min]]*$N$27/(Table413[[#This Row],[10 - Post 5min]]*$N$26)</f>
        <v>0.43684463488310199</v>
      </c>
      <c r="O16" s="6">
        <f>Table413[[#This Row],[2 - Post 10min]]*$N$27/(Table413[[#This Row],[10 - Post 10min]]*$N$26)</f>
        <v>0.31775768202053734</v>
      </c>
      <c r="P16" s="6">
        <f>Table413[[#This Row],[2 - Post 15min]]*$N$27/(Table413[[#This Row],[10 - Post 15min]]*$N$26)</f>
        <v>0.34798124931346058</v>
      </c>
      <c r="Q16" s="6">
        <f>Table413[[#This Row],[2 - Post 20min]]*$N$27/(Table413[[#This Row],[10 - Post 20min]]*$N$26)</f>
        <v>0.37686678742338203</v>
      </c>
      <c r="R16" s="6" t="e">
        <f>-$N$29/LN((Table13[[#This Row],[G Pre]]-1)/(Table13[[#This Row],[G Pre]]*$O$26-$O$27))</f>
        <v>#DIV/0!</v>
      </c>
      <c r="S16" s="6">
        <f>-$N$29/LN((Table13[[#This Row],[G 5min]]-1)/(Table13[[#This Row],[G 5min]]*$O$26-$O$27))</f>
        <v>-6.0308145065839218</v>
      </c>
      <c r="T16" s="6">
        <f>-$N$29/LN((Table13[[#This Row],[G 10min]]-1)/(Table13[[#This Row],[G 10min]]*$O$26-$O$27))</f>
        <v>-7.2875665789892015</v>
      </c>
      <c r="U16" s="6">
        <f>-$N$29/LN((Table13[[#This Row],[G 15min]]-1)/(Table13[[#This Row],[G 15min]]*$O$26-$O$27))</f>
        <v>-6.9697650255710979</v>
      </c>
      <c r="V16" s="6">
        <f>-$N$29/LN((Table13[[#This Row],[G 20min]]-1)/(Table13[[#This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Table413[[#This Row],[2 - Pre]]*$N$27/(Table413[[#This Row],[10 - pre]]*$N$26)</f>
        <v>1.5105493732650053</v>
      </c>
      <c r="N17" s="6">
        <f>Table413[[#This Row],[2 - Post 5min]]*$N$27/(Table413[[#This Row],[10 - Post 5min]]*$N$26)</f>
        <v>0.66099723473562866</v>
      </c>
      <c r="O17" s="6">
        <f>Table413[[#This Row],[2 - Post 10min]]*$N$27/(Table413[[#This Row],[10 - Post 10min]]*$N$26)</f>
        <v>0.64855616265651139</v>
      </c>
      <c r="P17" s="6">
        <f>Table413[[#This Row],[2 - Post 15min]]*$N$27/(Table413[[#This Row],[10 - Post 15min]]*$N$26)</f>
        <v>0.6217384236964516</v>
      </c>
      <c r="Q17" s="6">
        <f>Table413[[#This Row],[2 - Post 20min]]*$N$27/(Table413[[#This Row],[10 - Post 20min]]*$N$26)</f>
        <v>0.61344544151812763</v>
      </c>
      <c r="R17" s="6">
        <f>-$N$29/LN((Table13[[#This Row],[G Pre]]-1)/(Table13[[#This Row],[G Pre]]*$O$26-$O$27))</f>
        <v>5.8757962590103148</v>
      </c>
      <c r="S17" s="6">
        <f>-$N$29/LN((Table13[[#This Row],[G 5min]]-1)/(Table13[[#This Row],[G 5min]]*$O$26-$O$27))</f>
        <v>-3.631716809050217</v>
      </c>
      <c r="T17" s="6">
        <f>-$N$29/LN((Table13[[#This Row],[G 10min]]-1)/(Table13[[#This Row],[G 10min]]*$O$26-$O$27))</f>
        <v>-3.7660418111737894</v>
      </c>
      <c r="U17" s="6">
        <f>-$N$29/LN((Table13[[#This Row],[G 15min]]-1)/(Table13[[#This Row],[G 15min]]*$O$26-$O$27))</f>
        <v>-4.0551179547737588</v>
      </c>
      <c r="V17" s="6">
        <f>-$N$29/LN((Table13[[#This Row],[G 20min]]-1)/(Table13[[#This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Table413[[#This Row],[2 - Pre]]*$N$27/(Table413[[#This Row],[10 - pre]]*$N$26)</f>
        <v>1.5694549972273848</v>
      </c>
      <c r="N18" s="6">
        <f>Table413[[#This Row],[2 - Post 5min]]*$N$27/(Table413[[#This Row],[10 - Post 5min]]*$N$26)</f>
        <v>0.82602312065182359</v>
      </c>
      <c r="O18" s="6">
        <f>Table413[[#This Row],[2 - Post 10min]]*$N$27/(Table413[[#This Row],[10 - Post 10min]]*$N$26)</f>
        <v>0.78806245165314204</v>
      </c>
      <c r="P18" s="6">
        <f>Table413[[#This Row],[2 - Post 15min]]*$N$27/(Table413[[#This Row],[10 - Post 15min]]*$N$26)</f>
        <v>0.52790424087456678</v>
      </c>
      <c r="Q18" s="6">
        <f>Table413[[#This Row],[2 - Post 20min]]*$N$27/(Table413[[#This Row],[10 - Post 20min]]*$N$26)</f>
        <v>0.48868900631629913</v>
      </c>
      <c r="R18" s="6">
        <f>-$N$29/LN((Table13[[#This Row],[G Pre]]-1)/(Table13[[#This Row],[G Pre]]*$O$26-$O$27))</f>
        <v>6.5607565654040521</v>
      </c>
      <c r="S18" s="6">
        <f>-$N$29/LN((Table13[[#This Row],[G 5min]]-1)/(Table13[[#This Row],[G 5min]]*$O$26-$O$27))</f>
        <v>-1.8365340138800161</v>
      </c>
      <c r="T18" s="6">
        <f>-$N$29/LN((Table13[[#This Row],[G 10min]]-1)/(Table13[[#This Row],[G 10min]]*$O$26-$O$27))</f>
        <v>-2.2517333782076125</v>
      </c>
      <c r="U18" s="6">
        <f>-$N$29/LN((Table13[[#This Row],[G 15min]]-1)/(Table13[[#This Row],[G 15min]]*$O$26-$O$27))</f>
        <v>-5.0615476428904129</v>
      </c>
      <c r="V18" s="6">
        <f>-$N$29/LN((Table13[[#This Row],[G 20min]]-1)/(Table13[[#This Row],[G 20min]]*$O$26-$O$27))</f>
        <v>-5.4798549404960131</v>
      </c>
    </row>
    <row r="19" spans="1:22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M19" s="6">
        <f>Table413[[#This Row],[2 - Pre]]*$N$27/(Table413[[#This Row],[10 - pre]]*$N$26)</f>
        <v>0.42208310233960139</v>
      </c>
      <c r="N19" s="6">
        <f>Table413[[#This Row],[2 - Post 5min]]*$N$27/(Table413[[#This Row],[10 - Post 5min]]*$N$26)</f>
        <v>0.30500112415426045</v>
      </c>
      <c r="O19" s="6">
        <f>Table413[[#This Row],[2 - Post 10min]]*$N$27/(Table413[[#This Row],[10 - Post 10min]]*$N$26)</f>
        <v>0.2771470904365394</v>
      </c>
      <c r="P19" s="6">
        <f>Table413[[#This Row],[2 - Post 15min]]*$N$27/(Table413[[#This Row],[10 - Post 15min]]*$N$26)</f>
        <v>0.38071010511854275</v>
      </c>
      <c r="Q19" s="6">
        <f>Table413[[#This Row],[2 - Post 20min]]*$N$27/(Table413[[#This Row],[10 - Post 20min]]*$N$26)</f>
        <v>0.33897956506419946</v>
      </c>
      <c r="R19" s="6">
        <f>-$N$29/LN((Table13[[#This Row],[G Pre]]-1)/(Table13[[#This Row],[G Pre]]*$O$26-$O$27))</f>
        <v>-6.1872606335067966</v>
      </c>
      <c r="S19" s="6">
        <f>-$N$29/LN((Table13[[#This Row],[G 5min]]-1)/(Table13[[#This Row],[G 5min]]*$O$26-$O$27))</f>
        <v>-7.421467716359734</v>
      </c>
      <c r="T19" s="6">
        <f>-$N$29/LN((Table13[[#This Row],[G 10min]]-1)/(Table13[[#This Row],[G 10min]]*$O$26-$O$27))</f>
        <v>-7.7133596901369756</v>
      </c>
      <c r="U19" s="6">
        <f>-$N$29/LN((Table13[[#This Row],[G 15min]]-1)/(Table13[[#This Row],[G 15min]]*$O$26-$O$27))</f>
        <v>-6.6247366438621968</v>
      </c>
      <c r="V19" s="6">
        <f>-$N$29/LN((Table13[[#This Row],[G 20min]]-1)/(Table13[[#This Row],[G 20min]]*$O$26-$O$27))</f>
        <v>-7.0644997401442806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Table413[[#This Row],[2 - Pre]]*$N$27/(Table413[[#This Row],[10 - pre]]*$N$26)</f>
        <v>1.3738618619733964</v>
      </c>
      <c r="N20" s="6">
        <f>Table413[[#This Row],[2 - Post 5min]]*$N$27/(Table413[[#This Row],[10 - Post 5min]]*$N$26)</f>
        <v>0.79023971228624246</v>
      </c>
      <c r="O20" s="6">
        <f>Table413[[#This Row],[2 - Post 10min]]*$N$27/(Table413[[#This Row],[10 - Post 10min]]*$N$26)</f>
        <v>0.66272534536309091</v>
      </c>
      <c r="P20" s="6">
        <f>Table413[[#This Row],[2 - Post 15min]]*$N$27/(Table413[[#This Row],[10 - Post 15min]]*$N$26)</f>
        <v>0.63667934148405081</v>
      </c>
      <c r="Q20" s="6">
        <f>Table413[[#This Row],[2 - Post 20min]]*$N$27/(Table413[[#This Row],[10 - Post 20min]]*$N$26)</f>
        <v>0.64230102168288161</v>
      </c>
      <c r="R20" s="6">
        <f>-$N$29/LN((Table13[[#This Row],[G Pre]]-1)/(Table13[[#This Row],[G Pre]]*$O$26-$O$27))</f>
        <v>4.2995258386704629</v>
      </c>
      <c r="S20" s="6">
        <f>-$N$29/LN((Table13[[#This Row],[G 5min]]-1)/(Table13[[#This Row],[G 5min]]*$O$26-$O$27))</f>
        <v>-2.227956825430629</v>
      </c>
      <c r="T20" s="6">
        <f>-$N$29/LN((Table13[[#This Row],[G 10min]]-1)/(Table13[[#This Row],[G 10min]]*$O$26-$O$27))</f>
        <v>-3.6130475561858288</v>
      </c>
      <c r="U20" s="6">
        <f>-$N$29/LN((Table13[[#This Row],[G 15min]]-1)/(Table13[[#This Row],[G 15min]]*$O$26-$O$27))</f>
        <v>-3.8941449584110299</v>
      </c>
      <c r="V20" s="6">
        <f>-$N$29/LN((Table13[[#This Row],[G 20min]]-1)/(Table13[[#This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Table413[[#This Row],[2 - Pre]]*$N$27/(Table413[[#This Row],[10 - pre]]*$N$26)</f>
        <v>1.1528870038881018</v>
      </c>
      <c r="N21" s="6">
        <f>Table413[[#This Row],[2 - Post 5min]]*$N$27/(Table413[[#This Row],[10 - Post 5min]]*$N$26)</f>
        <v>1.3454725169681516</v>
      </c>
      <c r="O21" s="6">
        <f>Table413[[#This Row],[2 - Post 10min]]*$N$27/(Table413[[#This Row],[10 - Post 10min]]*$N$26)</f>
        <v>0.6366173964721743</v>
      </c>
      <c r="P21" s="6">
        <f>Table413[[#This Row],[2 - Post 15min]]*$N$27/(Table413[[#This Row],[10 - Post 15min]]*$N$26)</f>
        <v>0.62608330753810471</v>
      </c>
      <c r="Q21" s="6">
        <f>Table413[[#This Row],[2 - Post 20min]]*$N$27/(Table413[[#This Row],[10 - Post 20min]]*$N$26)</f>
        <v>0.55348396844773273</v>
      </c>
      <c r="R21" s="6">
        <f>-$N$29/LN((Table13[[#This Row],[G Pre]]-1)/(Table13[[#This Row],[G Pre]]*$O$26-$O$27))</f>
        <v>1.7890805986638842</v>
      </c>
      <c r="S21" s="6">
        <f>-$N$29/LN((Table13[[#This Row],[G 5min]]-1)/(Table13[[#This Row],[G 5min]]*$O$26-$O$27))</f>
        <v>3.9744191108492002</v>
      </c>
      <c r="T21" s="6">
        <f>-$N$29/LN((Table13[[#This Row],[G 10min]]-1)/(Table13[[#This Row],[G 10min]]*$O$26-$O$27))</f>
        <v>-3.8948127645071087</v>
      </c>
      <c r="U21" s="6">
        <f>-$N$29/LN((Table13[[#This Row],[G 15min]]-1)/(Table13[[#This Row],[G 15min]]*$O$26-$O$27))</f>
        <v>-4.0083268935650134</v>
      </c>
      <c r="V21" s="6">
        <f>-$N$29/LN((Table13[[#This Row],[G 20min]]-1)/(Table13[[#This Row],[G 20min]]*$O$26-$O$27))</f>
        <v>-4.7879616123941267</v>
      </c>
    </row>
    <row r="22" spans="1:22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M22" s="6">
        <f>Table413[[#This Row],[2 - Pre]]*$N$27/(Table413[[#This Row],[10 - pre]]*$N$26)</f>
        <v>0.82283649252523594</v>
      </c>
      <c r="N22" s="6">
        <f>Table413[[#This Row],[2 - Post 5min]]*$N$27/(Table413[[#This Row],[10 - Post 5min]]*$N$26)</f>
        <v>0.83677835213656127</v>
      </c>
      <c r="O22" s="6">
        <f>Table413[[#This Row],[2 - Post 10min]]*$N$27/(Table413[[#This Row],[10 - Post 10min]]*$N$26)</f>
        <v>1.0322733885966608</v>
      </c>
      <c r="P22" s="6">
        <f>Table413[[#This Row],[2 - Post 15min]]*$N$27/(Table413[[#This Row],[10 - Post 15min]]*$N$26)</f>
        <v>0.61360868945056113</v>
      </c>
      <c r="Q22" s="6">
        <f>Table413[[#This Row],[2 - Post 20min]]*$N$27/(Table413[[#This Row],[10 - Post 20min]]*$N$26)</f>
        <v>0.60896468970061512</v>
      </c>
      <c r="R22" s="6">
        <f>-$N$29/LN((Table13[[#This Row],[G Pre]]-1)/(Table13[[#This Row],[G Pre]]*$O$26-$O$27))</f>
        <v>-1.8714421488718875</v>
      </c>
      <c r="S22" s="6">
        <f>-$N$29/LN((Table13[[#This Row],[G 5min]]-1)/(Table13[[#This Row],[G 5min]]*$O$26-$O$27))</f>
        <v>-1.7186402773474219</v>
      </c>
      <c r="T22" s="6">
        <f>-$N$29/LN((Table13[[#This Row],[G 10min]]-1)/(Table13[[#This Row],[G 10min]]*$O$26-$O$27))</f>
        <v>0.43498543322503991</v>
      </c>
      <c r="U22" s="6">
        <f>-$N$29/LN((Table13[[#This Row],[G 15min]]-1)/(Table13[[#This Row],[G 15min]]*$O$26-$O$27))</f>
        <v>-4.1426236677056165</v>
      </c>
      <c r="V22" s="6">
        <f>-$N$29/LN((Table13[[#This Row],[G 20min]]-1)/(Table13[[#This Row],[G 20min]]*$O$26-$O$27))</f>
        <v>-4.192583655171549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Table413[[#This Row],[2 - Pre]]*$N$27/(Table413[[#This Row],[10 - pre]]*$N$26)</f>
        <v>1.3380704444072569</v>
      </c>
      <c r="N23" s="6">
        <f>Table413[[#This Row],[2 - Post 5min]]*$N$27/(Table413[[#This Row],[10 - Post 5min]]*$N$26)</f>
        <v>0.6211020799720649</v>
      </c>
      <c r="O23" s="6">
        <f>Table413[[#This Row],[2 - Post 10min]]*$N$27/(Table413[[#This Row],[10 - Post 10min]]*$N$26)</f>
        <v>0.58927846066646894</v>
      </c>
      <c r="P23" s="6">
        <f>Table413[[#This Row],[2 - Post 15min]]*$N$27/(Table413[[#This Row],[10 - Post 15min]]*$N$26)</f>
        <v>0.4255430917564314</v>
      </c>
      <c r="Q23" s="6">
        <f>Table413[[#This Row],[2 - Post 20min]]*$N$27/(Table413[[#This Row],[10 - Post 20min]]*$N$26)</f>
        <v>0.47547072229339005</v>
      </c>
      <c r="R23" s="6">
        <f>-$N$29/LN((Table13[[#This Row],[G Pre]]-1)/(Table13[[#This Row],[G Pre]]*$O$26-$O$27))</f>
        <v>3.8897800838098955</v>
      </c>
      <c r="S23" s="6">
        <f>-$N$29/LN((Table13[[#This Row],[G 5min]]-1)/(Table13[[#This Row],[G 5min]]*$O$26-$O$27))</f>
        <v>-4.0619694719356172</v>
      </c>
      <c r="T23" s="6">
        <f>-$N$29/LN((Table13[[#This Row],[G 10min]]-1)/(Table13[[#This Row],[G 10min]]*$O$26-$O$27))</f>
        <v>-4.4041542260278446</v>
      </c>
      <c r="U23" s="6">
        <f>-$N$29/LN((Table13[[#This Row],[G 15min]]-1)/(Table13[[#This Row],[G 15min]]*$O$26-$O$27))</f>
        <v>-6.15060781532015</v>
      </c>
      <c r="V23" s="6">
        <f>-$N$29/LN((Table13[[#This Row],[G 20min]]-1)/(Table13[[#This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f>O29*0.001</f>
        <v>0.16200000000000001</v>
      </c>
      <c r="O29" s="2">
        <v>162</v>
      </c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>
        <f t="shared" ref="B31:J52" si="0">B2/B2</f>
        <v>1</v>
      </c>
      <c r="C31" s="5">
        <f t="shared" ref="C31:K52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M31" s="6">
        <f>Table41316[[#This Row],[2 - Pre]]*$N$27/(Table41316[[#This Row],[10 - pre]]*$N$26)</f>
        <v>0.43056809531501034</v>
      </c>
      <c r="N31" s="6">
        <f>Table41316[[#This Row],[2 - Post 5min]]*$N$27/(Table41316[[#This Row],[10 - Post 5min]]*$N$26)</f>
        <v>0.51533021648041133</v>
      </c>
      <c r="O31" s="6">
        <f>Table41316[[#This Row],[2 - Post 10min]]*$N$27/(Table41316[[#This Row],[10 - Post 10min]]*$N$26)</f>
        <v>0.53913209174758681</v>
      </c>
      <c r="P31" s="6">
        <f>Table41316[[#This Row],[2 - Post 15min]]*$N$27/(Table41316[[#This Row],[10 - Post 15min]]*$N$26)</f>
        <v>0.15266478119762097</v>
      </c>
      <c r="Q31" s="6">
        <f>Table41316[[#This Row],[2 - Post 20min]]*$N$27/(Table41316[[#This Row],[10 - Post 20min]]*$N$26)</f>
        <v>0.35603467738903677</v>
      </c>
      <c r="R31" s="6">
        <f>-$N$29/LN((Table1317[[#This Row],[G Pre]]-1)/(Table1317[[#This Row],[G Pre]]*$O$26-$O$27))</f>
        <v>-6.0973578078776693</v>
      </c>
      <c r="S31" s="6">
        <f>-$N$29/LN((Table1317[[#This Row],[G 5min]]-1)/(Table1317[[#This Row],[G 5min]]*$O$26-$O$27))</f>
        <v>-5.1958211275931987</v>
      </c>
      <c r="T31" s="6">
        <f>-$N$29/LN((Table1317[[#This Row],[G 10min]]-1)/(Table1317[[#This Row],[G 10min]]*$O$26-$O$27))</f>
        <v>-4.941531988469074</v>
      </c>
      <c r="U31" s="6">
        <f>-$N$29/LN((Table1317[[#This Row],[G 15min]]-1)/(Table1317[[#This Row],[G 15min]]*$O$26-$O$27))</f>
        <v>-9.0098264321081043</v>
      </c>
      <c r="V31" s="6">
        <f>-$N$29/LN((Table1317[[#This Row],[G 20min]]-1)/(Table1317[[#This Row],[G 20min]]*$O$26-$O$27))</f>
        <v>-6.884950964051213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ref="D32" si="2">D3/D3</f>
        <v>1</v>
      </c>
      <c r="E32" s="5">
        <f t="shared" ref="E32" si="3">E3/D3</f>
        <v>8.8687285622928904</v>
      </c>
      <c r="F32" s="5">
        <f t="shared" ref="F32" si="4">F3/F3</f>
        <v>1</v>
      </c>
      <c r="G32" s="5">
        <f t="shared" ref="G32" si="5">G3/F3</f>
        <v>8.2052728050126902</v>
      </c>
      <c r="H32" s="5">
        <f t="shared" ref="H32" si="6">H3/H3</f>
        <v>1</v>
      </c>
      <c r="I32" s="5">
        <f t="shared" ref="I32" si="7">I3/H3</f>
        <v>9.6431790487022244</v>
      </c>
      <c r="J32" s="5">
        <f t="shared" ref="J32" si="8">J3/J3</f>
        <v>1</v>
      </c>
      <c r="K32" s="5">
        <f t="shared" ref="K32" si="9">K3/J3</f>
        <v>12.104834925280898</v>
      </c>
      <c r="M32" s="6">
        <f>Table41316[[#This Row],[2 - Pre]]*$N$27/(Table41316[[#This Row],[10 - pre]]*$N$26)</f>
        <v>1.3008056773482592</v>
      </c>
      <c r="N32" s="6">
        <f>Table41316[[#This Row],[2 - Post 5min]]*$N$27/(Table41316[[#This Row],[10 - Post 5min]]*$N$26)</f>
        <v>0.56103467402957685</v>
      </c>
      <c r="O32" s="6">
        <f>Table41316[[#This Row],[2 - Post 10min]]*$N$27/(Table41316[[#This Row],[10 - Post 10min]]*$N$26)</f>
        <v>0.60639839238045823</v>
      </c>
      <c r="P32" s="6">
        <f>Table41316[[#This Row],[2 - Post 15min]]*$N$27/(Table41316[[#This Row],[10 - Post 15min]]*$N$26)</f>
        <v>0.51597758507578595</v>
      </c>
      <c r="Q32" s="6">
        <f>Table41316[[#This Row],[2 - Post 20min]]*$N$27/(Table41316[[#This Row],[10 - Post 20min]]*$N$26)</f>
        <v>0.41104767381925505</v>
      </c>
      <c r="R32" s="6">
        <f>-$N$29/LN((Table1317[[#This Row],[G Pre]]-1)/(Table1317[[#This Row],[G Pre]]*$O$26-$O$27))</f>
        <v>3.4644722702092752</v>
      </c>
      <c r="S32" s="6">
        <f>-$N$29/LN((Table1317[[#This Row],[G 5min]]-1)/(Table1317[[#This Row],[G 5min]]*$O$26-$O$27))</f>
        <v>-4.7070933135798345</v>
      </c>
      <c r="T32" s="6">
        <f>-$N$29/LN((Table1317[[#This Row],[G 10min]]-1)/(Table1317[[#This Row],[G 10min]]*$O$26-$O$27))</f>
        <v>-4.2201835475697465</v>
      </c>
      <c r="U32" s="6">
        <f>-$N$29/LN((Table1317[[#This Row],[G 15min]]-1)/(Table1317[[#This Row],[G 15min]]*$O$26-$O$27))</f>
        <v>-5.1889115011302795</v>
      </c>
      <c r="V32" s="6">
        <f>-$N$29/LN((Table1317[[#This Row],[G 20min]]-1)/(Table1317[[#This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ref="D33" si="10">D4/D4</f>
        <v>1</v>
      </c>
      <c r="E33" s="5">
        <f t="shared" ref="E33" si="11">E4/D4</f>
        <v>3.8301687864103586</v>
      </c>
      <c r="F33" s="5">
        <f t="shared" ref="F33" si="12">F4/F4</f>
        <v>1</v>
      </c>
      <c r="G33" s="5">
        <f t="shared" ref="G33" si="13">G4/F4</f>
        <v>12.462566059315348</v>
      </c>
      <c r="H33" s="5">
        <f t="shared" ref="H33" si="14">H4/H4</f>
        <v>1</v>
      </c>
      <c r="I33" s="5">
        <f t="shared" ref="I33" si="15">I4/H4</f>
        <v>13.191408982885205</v>
      </c>
      <c r="J33" s="5">
        <f t="shared" ref="J33" si="16">J4/J4</f>
        <v>1</v>
      </c>
      <c r="K33" s="5">
        <f t="shared" ref="K33" si="17">K4/J4</f>
        <v>11.230732836248025</v>
      </c>
      <c r="M33" s="6">
        <f>Table41316[[#This Row],[2 - Pre]]*$N$27/(Table41316[[#This Row],[10 - pre]]*$N$26)</f>
        <v>0.97902842296696546</v>
      </c>
      <c r="N33" s="6">
        <f>Table41316[[#This Row],[2 - Post 5min]]*$N$27/(Table41316[[#This Row],[10 - Post 5min]]*$N$26)</f>
        <v>1.2990717943440793</v>
      </c>
      <c r="O33" s="6">
        <f>Table41316[[#This Row],[2 - Post 10min]]*$N$27/(Table41316[[#This Row],[10 - Post 10min]]*$N$26)</f>
        <v>0.39924877543847781</v>
      </c>
      <c r="P33" s="6">
        <f>Table41316[[#This Row],[2 - Post 15min]]*$N$27/(Table41316[[#This Row],[10 - Post 15min]]*$N$26)</f>
        <v>0.37718974860519555</v>
      </c>
      <c r="Q33" s="6">
        <f>Table41316[[#This Row],[2 - Post 20min]]*$N$27/(Table41316[[#This Row],[10 - Post 20min]]*$N$26)</f>
        <v>0.44304003225359107</v>
      </c>
      <c r="R33" s="6">
        <f>-$N$29/LN((Table1317[[#This Row],[G Pre]]-1)/(Table1317[[#This Row],[G Pre]]*$O$26-$O$27))</f>
        <v>-0.13605787131971925</v>
      </c>
      <c r="S33" s="6">
        <f>-$N$29/LN((Table1317[[#This Row],[G 5min]]-1)/(Table1317[[#This Row],[G 5min]]*$O$26-$O$27))</f>
        <v>3.4447154610100181</v>
      </c>
      <c r="T33" s="6">
        <f>-$N$29/LN((Table1317[[#This Row],[G 10min]]-1)/(Table1317[[#This Row],[G 10min]]*$O$26-$O$27))</f>
        <v>-6.4288924635164983</v>
      </c>
      <c r="U33" s="6">
        <f>-$N$29/LN((Table1317[[#This Row],[G 15min]]-1)/(Table1317[[#This Row],[G 15min]]*$O$26-$O$27))</f>
        <v>-6.6618925402236338</v>
      </c>
      <c r="V33" s="6">
        <f>-$N$29/LN((Table1317[[#This Row],[G 20min]]-1)/(Table1317[[#This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ref="D34" si="18">D5/D5</f>
        <v>1</v>
      </c>
      <c r="E34" s="5">
        <f t="shared" ref="E34" si="19">E5/D5</f>
        <v>11.254588539054309</v>
      </c>
      <c r="F34" s="5">
        <f t="shared" ref="F34" si="20">F5/F5</f>
        <v>1</v>
      </c>
      <c r="G34" s="5">
        <f t="shared" ref="G34" si="21">G5/F5</f>
        <v>10.527267898360538</v>
      </c>
      <c r="H34" s="5">
        <f t="shared" ref="H34" si="22">H5/H5</f>
        <v>1</v>
      </c>
      <c r="I34" s="5">
        <f t="shared" ref="I34" si="23">I5/H5</f>
        <v>14.459974387590981</v>
      </c>
      <c r="J34" s="5">
        <f t="shared" ref="J34" si="24">J5/J5</f>
        <v>1</v>
      </c>
      <c r="K34" s="5">
        <f t="shared" ref="K34" si="25">K5/J5</f>
        <v>12.34762384399542</v>
      </c>
      <c r="M34" s="6">
        <f>Table41316[[#This Row],[2 - Pre]]*$N$27/(Table41316[[#This Row],[10 - pre]]*$N$26)</f>
        <v>1.1074198196834615</v>
      </c>
      <c r="N34" s="6">
        <f>Table41316[[#This Row],[2 - Post 5min]]*$N$27/(Table41316[[#This Row],[10 - Post 5min]]*$N$26)</f>
        <v>0.4421009458263927</v>
      </c>
      <c r="O34" s="6">
        <f>Table41316[[#This Row],[2 - Post 10min]]*$N$27/(Table41316[[#This Row],[10 - Post 10min]]*$N$26)</f>
        <v>0.47264535167549721</v>
      </c>
      <c r="P34" s="6">
        <f>Table41316[[#This Row],[2 - Post 15min]]*$N$27/(Table41316[[#This Row],[10 - Post 15min]]*$N$26)</f>
        <v>0.34409910450966785</v>
      </c>
      <c r="Q34" s="6">
        <f>Table41316[[#This Row],[2 - Post 20min]]*$N$27/(Table41316[[#This Row],[10 - Post 20min]]*$N$26)</f>
        <v>0.40296532360130377</v>
      </c>
      <c r="R34" s="6">
        <f>-$N$29/LN((Table1317[[#This Row],[G Pre]]-1)/(Table1317[[#This Row],[G Pre]]*$O$26-$O$27))</f>
        <v>1.277969836420177</v>
      </c>
      <c r="S34" s="6">
        <f>-$N$29/LN((Table1317[[#This Row],[G 5min]]-1)/(Table1317[[#This Row],[G 5min]]*$O$26-$O$27))</f>
        <v>-5.9750612730185466</v>
      </c>
      <c r="T34" s="6">
        <f>-$N$29/LN((Table1317[[#This Row],[G 10min]]-1)/(Table1317[[#This Row],[G 10min]]*$O$26-$O$27))</f>
        <v>-5.6506040204239216</v>
      </c>
      <c r="U34" s="6">
        <f>-$N$29/LN((Table1317[[#This Row],[G 15min]]-1)/(Table1317[[#This Row],[G 15min]]*$O$26-$O$27))</f>
        <v>-7.0106296625270215</v>
      </c>
      <c r="V34" s="6">
        <f>-$N$29/LN((Table1317[[#This Row],[G 20min]]-1)/(Table1317[[#This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ref="D35" si="26">D6/D6</f>
        <v>1</v>
      </c>
      <c r="E35" s="5">
        <f t="shared" ref="E35" si="27">E6/D6</f>
        <v>6.2481966586960231</v>
      </c>
      <c r="F35" s="5">
        <f t="shared" ref="F35" si="28">F6/F6</f>
        <v>1</v>
      </c>
      <c r="G35" s="5">
        <f t="shared" ref="G35" si="29">G6/F6</f>
        <v>7.5221655653317212</v>
      </c>
      <c r="H35" s="5">
        <f t="shared" ref="H35" si="30">H6/H6</f>
        <v>1</v>
      </c>
      <c r="I35" s="5">
        <f t="shared" ref="I35" si="31">I6/H6</f>
        <v>10.905747268349899</v>
      </c>
      <c r="J35" s="5">
        <f t="shared" ref="J35" si="32">J6/J6</f>
        <v>1</v>
      </c>
      <c r="K35" s="5">
        <f t="shared" ref="K35" si="33">K6/J6</f>
        <v>13.978233648005546</v>
      </c>
      <c r="M35" s="6">
        <f>Table41316[[#This Row],[2 - Pre]]*$N$27/(Table41316[[#This Row],[10 - pre]]*$N$26)</f>
        <v>1.0399483775522544</v>
      </c>
      <c r="N35" s="6">
        <f>Table41316[[#This Row],[2 - Post 5min]]*$N$27/(Table41316[[#This Row],[10 - Post 5min]]*$N$26)</f>
        <v>0.79633604859056928</v>
      </c>
      <c r="O35" s="6">
        <f>Table41316[[#This Row],[2 - Post 10min]]*$N$27/(Table41316[[#This Row],[10 - Post 10min]]*$N$26)</f>
        <v>0.66146699308703216</v>
      </c>
      <c r="P35" s="6">
        <f>Table41316[[#This Row],[2 - Post 15min]]*$N$27/(Table41316[[#This Row],[10 - Post 15min]]*$N$26)</f>
        <v>0.45624239362697383</v>
      </c>
      <c r="Q35" s="6">
        <f>Table41316[[#This Row],[2 - Post 20min]]*$N$27/(Table41316[[#This Row],[10 - Post 20min]]*$N$26)</f>
        <v>0.3559580103822868</v>
      </c>
      <c r="R35" s="6">
        <f>-$N$29/LN((Table1317[[#This Row],[G Pre]]-1)/(Table1317[[#This Row],[G Pre]]*$O$26-$O$27))</f>
        <v>0.52133078970952307</v>
      </c>
      <c r="S35" s="6">
        <f>-$N$29/LN((Table1317[[#This Row],[G 5min]]-1)/(Table1317[[#This Row],[G 5min]]*$O$26-$O$27))</f>
        <v>-2.1613583778036527</v>
      </c>
      <c r="T35" s="6">
        <f>-$N$29/LN((Table1317[[#This Row],[G 10min]]-1)/(Table1317[[#This Row],[G 10min]]*$O$26-$O$27))</f>
        <v>-3.6266421470097399</v>
      </c>
      <c r="U35" s="6">
        <f>-$N$29/LN((Table1317[[#This Row],[G 15min]]-1)/(Table1317[[#This Row],[G 15min]]*$O$26-$O$27))</f>
        <v>-5.824945000168972</v>
      </c>
      <c r="V35" s="6">
        <f>-$N$29/LN((Table1317[[#This Row],[G 20min]]-1)/(Table1317[[#This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ref="D36" si="34">D7/D7</f>
        <v>1</v>
      </c>
      <c r="E36" s="5">
        <f t="shared" ref="E36" si="35">E7/D7</f>
        <v>7.6308083255975703</v>
      </c>
      <c r="F36" s="5">
        <f t="shared" ref="F36" si="36">F7/F7</f>
        <v>1</v>
      </c>
      <c r="G36" s="5">
        <f t="shared" ref="G36" si="37">G7/F7</f>
        <v>7.5579159406319905</v>
      </c>
      <c r="H36" s="5">
        <f t="shared" ref="H36" si="38">H7/H7</f>
        <v>1</v>
      </c>
      <c r="I36" s="5">
        <f t="shared" ref="I36" si="39">I7/H7</f>
        <v>8.3765753113341717</v>
      </c>
      <c r="J36" s="5">
        <f t="shared" ref="J36" si="40">J7/J7</f>
        <v>1</v>
      </c>
      <c r="K36" s="5">
        <f t="shared" ref="K36" si="41">K7/J7</f>
        <v>6.7616034837020766</v>
      </c>
      <c r="M36" s="6">
        <f>Table41316[[#This Row],[2 - Pre]]*$N$27/(Table41316[[#This Row],[10 - pre]]*$N$26)</f>
        <v>1.1379642365071603</v>
      </c>
      <c r="N36" s="6">
        <f>Table41316[[#This Row],[2 - Post 5min]]*$N$27/(Table41316[[#This Row],[10 - Post 5min]]*$N$26)</f>
        <v>0.65204943247125047</v>
      </c>
      <c r="O36" s="6">
        <f>Table41316[[#This Row],[2 - Post 10min]]*$N$27/(Table41316[[#This Row],[10 - Post 10min]]*$N$26)</f>
        <v>0.65833812880257114</v>
      </c>
      <c r="P36" s="6">
        <f>Table41316[[#This Row],[2 - Post 15min]]*$N$27/(Table41316[[#This Row],[10 - Post 15min]]*$N$26)</f>
        <v>0.59399743368513858</v>
      </c>
      <c r="Q36" s="6">
        <f>Table41316[[#This Row],[2 - Post 20min]]*$N$27/(Table41316[[#This Row],[10 - Post 20min]]*$N$26)</f>
        <v>0.73587045587573263</v>
      </c>
      <c r="R36" s="6">
        <f>-$N$29/LN((Table1317[[#This Row],[G Pre]]-1)/(Table1317[[#This Row],[G Pre]]*$O$26-$O$27))</f>
        <v>1.6211478483778388</v>
      </c>
      <c r="S36" s="6">
        <f>-$N$29/LN((Table1317[[#This Row],[G 5min]]-1)/(Table1317[[#This Row],[G 5min]]*$O$26-$O$27))</f>
        <v>-3.7283393805079239</v>
      </c>
      <c r="T36" s="6">
        <f>-$N$29/LN((Table1317[[#This Row],[G 10min]]-1)/(Table1317[[#This Row],[G 10min]]*$O$26-$O$27))</f>
        <v>-3.6604386068588015</v>
      </c>
      <c r="U36" s="6">
        <f>-$N$29/LN((Table1317[[#This Row],[G 15min]]-1)/(Table1317[[#This Row],[G 15min]]*$O$26-$O$27))</f>
        <v>-4.3534701850085877</v>
      </c>
      <c r="V36" s="6">
        <f>-$N$29/LN((Table1317[[#This Row],[G 20min]]-1)/(Table1317[[#This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ref="D37" si="42">D8/D8</f>
        <v>1</v>
      </c>
      <c r="E37" s="5">
        <f t="shared" ref="E37" si="43">E8/D8</f>
        <v>6.0071447448570829</v>
      </c>
      <c r="F37" s="5">
        <f t="shared" ref="F37" si="44">F8/F8</f>
        <v>1</v>
      </c>
      <c r="G37" s="5">
        <f t="shared" ref="G37" si="45">G8/F8</f>
        <v>8.3386886156511242</v>
      </c>
      <c r="H37" s="5">
        <f t="shared" ref="H37" si="46">H8/H8</f>
        <v>1</v>
      </c>
      <c r="I37" s="5">
        <f t="shared" ref="I37" si="47">I8/H8</f>
        <v>7.0192631348759615</v>
      </c>
      <c r="J37" s="5">
        <f t="shared" ref="J37" si="48">J8/J8</f>
        <v>1</v>
      </c>
      <c r="K37" s="5">
        <f t="shared" ref="K37" si="49">K8/J8</f>
        <v>8.2771030764715192</v>
      </c>
      <c r="M37" s="6">
        <f>Table41316[[#This Row],[2 - Pre]]*$N$27/(Table41316[[#This Row],[10 - pre]]*$N$26)</f>
        <v>1.8651689214168619</v>
      </c>
      <c r="N37" s="6">
        <f>Table41316[[#This Row],[2 - Post 5min]]*$N$27/(Table41316[[#This Row],[10 - Post 5min]]*$N$26)</f>
        <v>0.82829105162858296</v>
      </c>
      <c r="O37" s="6">
        <f>Table41316[[#This Row],[2 - Post 10min]]*$N$27/(Table41316[[#This Row],[10 - Post 10min]]*$N$26)</f>
        <v>0.59669625133427118</v>
      </c>
      <c r="P37" s="6">
        <f>Table41316[[#This Row],[2 - Post 15min]]*$N$27/(Table41316[[#This Row],[10 - Post 15min]]*$N$26)</f>
        <v>0.70885848591152933</v>
      </c>
      <c r="Q37" s="6">
        <f>Table41316[[#This Row],[2 - Post 20min]]*$N$27/(Table41316[[#This Row],[10 - Post 20min]]*$N$26)</f>
        <v>0.60113595203938019</v>
      </c>
      <c r="R37" s="6">
        <f>-$N$29/LN((Table1317[[#This Row],[G Pre]]-1)/(Table1317[[#This Row],[G Pre]]*$O$26-$O$27))</f>
        <v>10.05211151516966</v>
      </c>
      <c r="S37" s="6">
        <f>-$N$29/LN((Table1317[[#This Row],[G 5min]]-1)/(Table1317[[#This Row],[G 5min]]*$O$26-$O$27))</f>
        <v>-1.8116836674520544</v>
      </c>
      <c r="T37" s="6">
        <f>-$N$29/LN((Table1317[[#This Row],[G 10min]]-1)/(Table1317[[#This Row],[G 10min]]*$O$26-$O$27))</f>
        <v>-4.3244746908411296</v>
      </c>
      <c r="U37" s="6">
        <f>-$N$29/LN((Table1317[[#This Row],[G 15min]]-1)/(Table1317[[#This Row],[G 15min]]*$O$26-$O$27))</f>
        <v>-3.1136602927528765</v>
      </c>
      <c r="V37" s="6">
        <f>-$N$29/LN((Table1317[[#This Row],[G 20min]]-1)/(Table1317[[#This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ref="D38" si="50">D9/D9</f>
        <v>1</v>
      </c>
      <c r="E38" s="5">
        <f t="shared" ref="E38" si="51">E9/D9</f>
        <v>8.0715962109763062</v>
      </c>
      <c r="F38" s="5">
        <f t="shared" ref="F38" si="52">F9/F9</f>
        <v>1</v>
      </c>
      <c r="G38" s="5">
        <f t="shared" ref="G38" si="53">G9/F9</f>
        <v>8.597047696975169</v>
      </c>
      <c r="H38" s="5">
        <f t="shared" ref="H38" si="54">H9/H9</f>
        <v>1</v>
      </c>
      <c r="I38" s="5">
        <f t="shared" ref="I38" si="55">I9/H9</f>
        <v>11.042026974859541</v>
      </c>
      <c r="J38" s="5">
        <f t="shared" ref="J38" si="56">J9/J9</f>
        <v>1</v>
      </c>
      <c r="K38" s="5">
        <f t="shared" ref="K38" si="57">K9/J9</f>
        <v>12.341282079365445</v>
      </c>
      <c r="M38" s="6">
        <f>Table41316[[#This Row],[2 - Pre]]*$N$27/(Table41316[[#This Row],[10 - pre]]*$N$26)</f>
        <v>1.0761081462020172</v>
      </c>
      <c r="N38" s="6">
        <f>Table41316[[#This Row],[2 - Post 5min]]*$N$27/(Table41316[[#This Row],[10 - Post 5min]]*$N$26)</f>
        <v>0.61644117321386094</v>
      </c>
      <c r="O38" s="6">
        <f>Table41316[[#This Row],[2 - Post 10min]]*$N$27/(Table41316[[#This Row],[10 - Post 10min]]*$N$26)</f>
        <v>0.57876429367182092</v>
      </c>
      <c r="P38" s="6">
        <f>Table41316[[#This Row],[2 - Post 15min]]*$N$27/(Table41316[[#This Row],[10 - Post 15min]]*$N$26)</f>
        <v>0.45061149092746916</v>
      </c>
      <c r="Q38" s="6">
        <f>Table41316[[#This Row],[2 - Post 20min]]*$N$27/(Table41316[[#This Row],[10 - Post 20min]]*$N$26)</f>
        <v>0.40317239375980812</v>
      </c>
      <c r="R38" s="6">
        <f>-$N$29/LN((Table1317[[#This Row],[G Pre]]-1)/(Table1317[[#This Row],[G Pre]]*$O$26-$O$27))</f>
        <v>0.92680581004725049</v>
      </c>
      <c r="S38" s="6">
        <f>-$N$29/LN((Table1317[[#This Row],[G 5min]]-1)/(Table1317[[#This Row],[G 5min]]*$O$26-$O$27))</f>
        <v>-4.1121424643846982</v>
      </c>
      <c r="T38" s="6">
        <f>-$N$29/LN((Table1317[[#This Row],[G 10min]]-1)/(Table1317[[#This Row],[G 10min]]*$O$26-$O$27))</f>
        <v>-4.5170103568036657</v>
      </c>
      <c r="U38" s="6">
        <f>-$N$29/LN((Table1317[[#This Row],[G 15min]]-1)/(Table1317[[#This Row],[G 15min]]*$O$26-$O$27))</f>
        <v>-5.8847397764054667</v>
      </c>
      <c r="V38" s="6">
        <f>-$N$29/LN((Table1317[[#This Row],[G 20min]]-1)/(Table1317[[#This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ref="D39" si="58">D10/D10</f>
        <v>1</v>
      </c>
      <c r="E39" s="5">
        <f t="shared" ref="E39" si="59">E10/D10</f>
        <v>2.9455447100306089</v>
      </c>
      <c r="F39" s="5">
        <f t="shared" ref="F39" si="60">F10/F10</f>
        <v>1</v>
      </c>
      <c r="G39" s="5">
        <f t="shared" ref="G39" si="61">G10/F10</f>
        <v>10.242361221046725</v>
      </c>
      <c r="H39" s="5">
        <f t="shared" ref="H39" si="62">H10/H10</f>
        <v>1</v>
      </c>
      <c r="I39" s="5">
        <f t="shared" ref="I39" si="63">I10/H10</f>
        <v>13.239106351550957</v>
      </c>
      <c r="J39" s="5">
        <f t="shared" ref="J39" si="64">J10/J10</f>
        <v>1</v>
      </c>
      <c r="K39" s="5">
        <f t="shared" ref="K39" si="65">K10/J10</f>
        <v>19.040840917018105</v>
      </c>
      <c r="M39" s="6">
        <f>Table41316[[#This Row],[2 - Pre]]*$N$27/(Table41316[[#This Row],[10 - pre]]*$N$26)</f>
        <v>1.2250269361684929</v>
      </c>
      <c r="N39" s="6">
        <f>Table41316[[#This Row],[2 - Post 5min]]*$N$27/(Table41316[[#This Row],[10 - Post 5min]]*$N$26)</f>
        <v>1.6892170134301181</v>
      </c>
      <c r="O39" s="6">
        <f>Table41316[[#This Row],[2 - Post 10min]]*$N$27/(Table41316[[#This Row],[10 - Post 10min]]*$N$26)</f>
        <v>0.48579269278049325</v>
      </c>
      <c r="P39" s="6">
        <f>Table41316[[#This Row],[2 - Post 15min]]*$N$27/(Table41316[[#This Row],[10 - Post 15min]]*$N$26)</f>
        <v>0.37583082315974387</v>
      </c>
      <c r="Q39" s="6">
        <f>Table41316[[#This Row],[2 - Post 20min]]*$N$27/(Table41316[[#This Row],[10 - Post 20min]]*$N$26)</f>
        <v>0.2613153620518775</v>
      </c>
      <c r="R39" s="6">
        <f>-$N$29/LN((Table1317[[#This Row],[G Pre]]-1)/(Table1317[[#This Row],[G Pre]]*$O$26-$O$27))</f>
        <v>2.6036530622777052</v>
      </c>
      <c r="S39" s="6">
        <f>-$N$29/LN((Table1317[[#This Row],[G 5min]]-1)/(Table1317[[#This Row],[G 5min]]*$O$26-$O$27))</f>
        <v>7.9640417126435494</v>
      </c>
      <c r="T39" s="6">
        <f>-$N$29/LN((Table1317[[#This Row],[G 10min]]-1)/(Table1317[[#This Row],[G 10min]]*$O$26-$O$27))</f>
        <v>-5.5106963953123929</v>
      </c>
      <c r="U39" s="6">
        <f>-$N$29/LN((Table1317[[#This Row],[G 15min]]-1)/(Table1317[[#This Row],[G 15min]]*$O$26-$O$27))</f>
        <v>-6.6762325775810973</v>
      </c>
      <c r="V39" s="6">
        <f>-$N$29/LN((Table1317[[#This Row],[G 20min]]-1)/(Table1317[[#This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ref="D40" si="66">D11/D11</f>
        <v>1</v>
      </c>
      <c r="E40" s="5">
        <f t="shared" ref="E40" si="67">E11/D11</f>
        <v>7.5555459589103959</v>
      </c>
      <c r="F40" s="5">
        <f t="shared" ref="F40" si="68">F11/F11</f>
        <v>1</v>
      </c>
      <c r="G40" s="5">
        <f t="shared" ref="G40" si="69">G11/F11</f>
        <v>7.4181959940449715</v>
      </c>
      <c r="H40" s="5">
        <f t="shared" ref="H40" si="70">H11/H11</f>
        <v>1</v>
      </c>
      <c r="I40" s="5">
        <f t="shared" ref="I40" si="71">I11/H11</f>
        <v>12.810337802263206</v>
      </c>
      <c r="J40" s="5">
        <f t="shared" ref="J40" si="72">J11/J11</f>
        <v>1</v>
      </c>
      <c r="K40" s="5">
        <f t="shared" ref="K40" si="73">K11/J11</f>
        <v>13.603938749113365</v>
      </c>
      <c r="M40" s="6">
        <f>Table41316[[#This Row],[2 - Pre]]*$N$27/(Table41316[[#This Row],[10 - pre]]*$N$26)</f>
        <v>1.4182390032924583</v>
      </c>
      <c r="N40" s="6">
        <f>Table41316[[#This Row],[2 - Post 5min]]*$N$27/(Table41316[[#This Row],[10 - Post 5min]]*$N$26)</f>
        <v>0.65854463265290519</v>
      </c>
      <c r="O40" s="6">
        <f>Table41316[[#This Row],[2 - Post 10min]]*$N$27/(Table41316[[#This Row],[10 - Post 10min]]*$N$26)</f>
        <v>0.67073776993719914</v>
      </c>
      <c r="P40" s="6">
        <f>Table41316[[#This Row],[2 - Post 15min]]*$N$27/(Table41316[[#This Row],[10 - Post 15min]]*$N$26)</f>
        <v>0.38841007277136258</v>
      </c>
      <c r="Q40" s="6">
        <f>Table41316[[#This Row],[2 - Post 20min]]*$N$27/(Table41316[[#This Row],[10 - Post 20min]]*$N$26)</f>
        <v>0.36575173776984826</v>
      </c>
      <c r="R40" s="6">
        <f>-$N$29/LN((Table1317[[#This Row],[G Pre]]-1)/(Table1317[[#This Row],[G Pre]]*$O$26-$O$27))</f>
        <v>4.8092811493515999</v>
      </c>
      <c r="S40" s="6">
        <f>-$N$29/LN((Table1317[[#This Row],[G 5min]]-1)/(Table1317[[#This Row],[G 5min]]*$O$26-$O$27))</f>
        <v>-3.6582083250239772</v>
      </c>
      <c r="T40" s="6">
        <f>-$N$29/LN((Table1317[[#This Row],[G 10min]]-1)/(Table1317[[#This Row],[G 10min]]*$O$26-$O$27))</f>
        <v>-3.5264519636177609</v>
      </c>
      <c r="U40" s="6">
        <f>-$N$29/LN((Table1317[[#This Row],[G 15min]]-1)/(Table1317[[#This Row],[G 15min]]*$O$26-$O$27))</f>
        <v>-6.5434294777774928</v>
      </c>
      <c r="V40" s="6">
        <f>-$N$29/LN((Table1317[[#This Row],[G 20min]]-1)/(Table1317[[#This Row],[G 20min]]*$O$26-$O$27))</f>
        <v>-6.7825423531739863</v>
      </c>
    </row>
    <row r="41" spans="1:22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ref="D41" si="74">D12/D12</f>
        <v>1</v>
      </c>
      <c r="E41" s="5">
        <f t="shared" ref="E41" si="75">E12/D12</f>
        <v>6.6873362311586018</v>
      </c>
      <c r="F41" s="5">
        <f t="shared" ref="F41" si="76">F12/F12</f>
        <v>1</v>
      </c>
      <c r="G41" s="5">
        <f t="shared" ref="G41" si="77">G12/F12</f>
        <v>8.263320331572638</v>
      </c>
      <c r="H41" s="5">
        <f t="shared" ref="H41" si="78">H12/H12</f>
        <v>1</v>
      </c>
      <c r="I41" s="5">
        <f t="shared" ref="I41" si="79">I12/H12</f>
        <v>7.3269640773304925</v>
      </c>
      <c r="J41" s="5">
        <f t="shared" ref="J41" si="80">J12/J12</f>
        <v>1</v>
      </c>
      <c r="K41" s="5">
        <f t="shared" ref="K41" si="81">K12/J12</f>
        <v>6.7240623592392845</v>
      </c>
      <c r="M41" s="6">
        <f>Table41316[[#This Row],[2 - Pre]]*$N$27/(Table41316[[#This Row],[10 - pre]]*$N$26)</f>
        <v>0.76326489569050726</v>
      </c>
      <c r="N41" s="6">
        <f>Table41316[[#This Row],[2 - Post 5min]]*$N$27/(Table41316[[#This Row],[10 - Post 5min]]*$N$26)</f>
        <v>0.74404277966755372</v>
      </c>
      <c r="O41" s="6">
        <f>Table41316[[#This Row],[2 - Post 10min]]*$N$27/(Table41316[[#This Row],[10 - Post 10min]]*$N$26)</f>
        <v>0.6021386123676804</v>
      </c>
      <c r="P41" s="6">
        <f>Table41316[[#This Row],[2 - Post 15min]]*$N$27/(Table41316[[#This Row],[10 - Post 15min]]*$N$26)</f>
        <v>0.67908948174011297</v>
      </c>
      <c r="Q41" s="6">
        <f>Table41316[[#This Row],[2 - Post 20min]]*$N$27/(Table41316[[#This Row],[10 - Post 20min]]*$N$26)</f>
        <v>0.73997889552078788</v>
      </c>
      <c r="R41" s="6">
        <f>-$N$29/LN((Table1317[[#This Row],[G Pre]]-1)/(Table1317[[#This Row],[G Pre]]*$O$26-$O$27))</f>
        <v>-2.5222166532319452</v>
      </c>
      <c r="S41" s="6">
        <f>-$N$29/LN((Table1317[[#This Row],[G 5min]]-1)/(Table1317[[#This Row],[G 5min]]*$O$26-$O$27))</f>
        <v>-2.7314893163376026</v>
      </c>
      <c r="T41" s="6">
        <f>-$N$29/LN((Table1317[[#This Row],[G 10min]]-1)/(Table1317[[#This Row],[G 10min]]*$O$26-$O$27))</f>
        <v>-4.2659834800427978</v>
      </c>
      <c r="U41" s="6">
        <f>-$N$29/LN((Table1317[[#This Row],[G 15min]]-1)/(Table1317[[#This Row],[G 15min]]*$O$26-$O$27))</f>
        <v>-3.4361277856573356</v>
      </c>
      <c r="V41" s="6">
        <f>-$N$29/LN((Table1317[[#This Row],[G 20min]]-1)/(Table1317[[#This Row],[G 20min]]*$O$26-$O$27))</f>
        <v>-2.7756892816919012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ref="D42" si="82">D13/D13</f>
        <v>1</v>
      </c>
      <c r="E42" s="5">
        <f t="shared" ref="E42" si="83">E13/D13</f>
        <v>6.4087774684834979</v>
      </c>
      <c r="F42" s="5">
        <f t="shared" ref="F42" si="84">F13/F13</f>
        <v>1</v>
      </c>
      <c r="G42" s="5">
        <f t="shared" ref="G42" si="85">G13/F13</f>
        <v>6.3590726237864992</v>
      </c>
      <c r="H42" s="5">
        <f t="shared" ref="H42" si="86">H13/H13</f>
        <v>1</v>
      </c>
      <c r="I42" s="5">
        <f t="shared" ref="I42" si="87">I13/H13</f>
        <v>7.7981626947144189</v>
      </c>
      <c r="J42" s="5">
        <f t="shared" ref="J42" si="88">J13/J13</f>
        <v>1</v>
      </c>
      <c r="K42" s="5">
        <f t="shared" ref="K42" si="89">K13/J13</f>
        <v>8.4556161158331982</v>
      </c>
      <c r="M42" s="6">
        <f>Table41316[[#This Row],[2 - Pre]]*$N$27/(Table41316[[#This Row],[10 - pre]]*$N$26)</f>
        <v>1.236307188187908</v>
      </c>
      <c r="N42" s="6">
        <f>Table41316[[#This Row],[2 - Post 5min]]*$N$27/(Table41316[[#This Row],[10 - Post 5min]]*$N$26)</f>
        <v>0.77638274420849485</v>
      </c>
      <c r="O42" s="6">
        <f>Table41316[[#This Row],[2 - Post 10min]]*$N$27/(Table41316[[#This Row],[10 - Post 10min]]*$N$26)</f>
        <v>0.78245123658299065</v>
      </c>
      <c r="P42" s="6">
        <f>Table41316[[#This Row],[2 - Post 15min]]*$N$27/(Table41316[[#This Row],[10 - Post 15min]]*$N$26)</f>
        <v>0.63805596687220767</v>
      </c>
      <c r="Q42" s="6">
        <f>Table41316[[#This Row],[2 - Post 20min]]*$N$27/(Table41316[[#This Row],[10 - Post 20min]]*$N$26)</f>
        <v>0.58844490689280748</v>
      </c>
      <c r="R42" s="6">
        <f>-$N$29/LN((Table1317[[#This Row],[G Pre]]-1)/(Table1317[[#This Row],[G Pre]]*$O$26-$O$27))</f>
        <v>2.7314522927350611</v>
      </c>
      <c r="S42" s="6">
        <f>-$N$29/LN((Table1317[[#This Row],[G 5min]]-1)/(Table1317[[#This Row],[G 5min]]*$O$26-$O$27))</f>
        <v>-2.3792037540345978</v>
      </c>
      <c r="T42" s="6">
        <f>-$N$29/LN((Table1317[[#This Row],[G 10min]]-1)/(Table1317[[#This Row],[G 10min]]*$O$26-$O$27))</f>
        <v>-2.3129893421672998</v>
      </c>
      <c r="U42" s="6">
        <f>-$N$29/LN((Table1317[[#This Row],[G 15min]]-1)/(Table1317[[#This Row],[G 15min]]*$O$26-$O$27))</f>
        <v>-3.879303185844166</v>
      </c>
      <c r="V42" s="6">
        <f>-$N$29/LN((Table1317[[#This Row],[G 20min]]-1)/(Table1317[[#This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ref="D43" si="90">D14/D14</f>
        <v>1</v>
      </c>
      <c r="E43" s="5">
        <f t="shared" ref="E43" si="91">E14/D14</f>
        <v>8.7218783992865312</v>
      </c>
      <c r="F43" s="5">
        <f t="shared" ref="F43" si="92">F14/F14</f>
        <v>1</v>
      </c>
      <c r="G43" s="5">
        <f t="shared" ref="G43" si="93">G14/F14</f>
        <v>7.5172506709573268</v>
      </c>
      <c r="H43" s="5">
        <f t="shared" ref="H43" si="94">H14/H14</f>
        <v>1</v>
      </c>
      <c r="I43" s="5">
        <f t="shared" ref="I43" si="95">I14/H14</f>
        <v>10.916459048201459</v>
      </c>
      <c r="J43" s="5">
        <f t="shared" ref="J43" si="96">J14/J14</f>
        <v>1</v>
      </c>
      <c r="K43" s="5">
        <f t="shared" ref="K43" si="97">K14/J14</f>
        <v>13.443583625151073</v>
      </c>
      <c r="M43" s="6">
        <f>Table41316[[#This Row],[2 - Pre]]*$N$27/(Table41316[[#This Row],[10 - pre]]*$N$26)</f>
        <v>1.0619232192284132</v>
      </c>
      <c r="N43" s="6">
        <f>Table41316[[#This Row],[2 - Post 5min]]*$N$27/(Table41316[[#This Row],[10 - Post 5min]]*$N$26)</f>
        <v>0.57048080817198843</v>
      </c>
      <c r="O43" s="6">
        <f>Table41316[[#This Row],[2 - Post 10min]]*$N$27/(Table41316[[#This Row],[10 - Post 10min]]*$N$26)</f>
        <v>0.66189947040426877</v>
      </c>
      <c r="P43" s="6">
        <f>Table41316[[#This Row],[2 - Post 15min]]*$N$27/(Table41316[[#This Row],[10 - Post 15min]]*$N$26)</f>
        <v>0.45579470559389446</v>
      </c>
      <c r="Q43" s="6">
        <f>Table41316[[#This Row],[2 - Post 20min]]*$N$27/(Table41316[[#This Row],[10 - Post 20min]]*$N$26)</f>
        <v>0.37011442608903883</v>
      </c>
      <c r="R43" s="6">
        <f>-$N$29/LN((Table1317[[#This Row],[G Pre]]-1)/(Table1317[[#This Row],[G Pre]]*$O$26-$O$27))</f>
        <v>0.767828532523677</v>
      </c>
      <c r="S43" s="6">
        <f>-$N$29/LN((Table1317[[#This Row],[G 5min]]-1)/(Table1317[[#This Row],[G 5min]]*$O$26-$O$27))</f>
        <v>-4.605853961975293</v>
      </c>
      <c r="T43" s="6">
        <f>-$N$29/LN((Table1317[[#This Row],[G 10min]]-1)/(Table1317[[#This Row],[G 10min]]*$O$26-$O$27))</f>
        <v>-3.6219700453603019</v>
      </c>
      <c r="U43" s="6">
        <f>-$N$29/LN((Table1317[[#This Row],[G 15min]]-1)/(Table1317[[#This Row],[G 15min]]*$O$26-$O$27))</f>
        <v>-5.8297000262282515</v>
      </c>
      <c r="V43" s="6">
        <f>-$N$29/LN((Table1317[[#This Row],[G 20min]]-1)/(Table1317[[#This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ref="D44" si="98">D15/D15</f>
        <v>1</v>
      </c>
      <c r="E44" s="5">
        <f t="shared" ref="E44" si="99">E15/D15</f>
        <v>8.2789655878272335</v>
      </c>
      <c r="F44" s="5">
        <f t="shared" ref="F44" si="100">F15/F15</f>
        <v>1</v>
      </c>
      <c r="G44" s="5">
        <f t="shared" ref="G44" si="101">G15/F15</f>
        <v>9.9633816323317177</v>
      </c>
      <c r="H44" s="5">
        <f t="shared" ref="H44" si="102">H15/H15</f>
        <v>1</v>
      </c>
      <c r="I44" s="5">
        <f t="shared" ref="I44" si="103">I15/H15</f>
        <v>14.894823981143555</v>
      </c>
      <c r="J44" s="5">
        <f t="shared" ref="J44" si="104">J15/J15</f>
        <v>1</v>
      </c>
      <c r="K44" s="5">
        <f t="shared" ref="K44" si="105">K15/J15</f>
        <v>16.28691717308298</v>
      </c>
      <c r="M44" s="6">
        <f>Table41316[[#This Row],[2 - Pre]]*$N$27/(Table41316[[#This Row],[10 - pre]]*$N$26)</f>
        <v>0.97612846352329496</v>
      </c>
      <c r="N44" s="6">
        <f>Table41316[[#This Row],[2 - Post 5min]]*$N$27/(Table41316[[#This Row],[10 - Post 5min]]*$N$26)</f>
        <v>0.60100071503119068</v>
      </c>
      <c r="O44" s="6">
        <f>Table41316[[#This Row],[2 - Post 10min]]*$N$27/(Table41316[[#This Row],[10 - Post 10min]]*$N$26)</f>
        <v>0.49939512723837526</v>
      </c>
      <c r="P44" s="6">
        <f>Table41316[[#This Row],[2 - Post 15min]]*$N$27/(Table41316[[#This Row],[10 - Post 15min]]*$N$26)</f>
        <v>0.33405324187125984</v>
      </c>
      <c r="Q44" s="6">
        <f>Table41316[[#This Row],[2 - Post 20min]]*$N$27/(Table41316[[#This Row],[10 - Post 20min]]*$N$26)</f>
        <v>0.30550067794450114</v>
      </c>
      <c r="R44" s="6">
        <f>-$N$29/LN((Table1317[[#This Row],[G Pre]]-1)/(Table1317[[#This Row],[G Pre]]*$O$26-$O$27))</f>
        <v>-0.17134143476079591</v>
      </c>
      <c r="S44" s="6">
        <f>-$N$29/LN((Table1317[[#This Row],[G 5min]]-1)/(Table1317[[#This Row],[G 5min]]*$O$26-$O$27))</f>
        <v>-4.278215092246346</v>
      </c>
      <c r="T44" s="6">
        <f>-$N$29/LN((Table1317[[#This Row],[G 10min]]-1)/(Table1317[[#This Row],[G 10min]]*$O$26-$O$27))</f>
        <v>-5.3657869150485897</v>
      </c>
      <c r="U44" s="6">
        <f>-$N$29/LN((Table1317[[#This Row],[G 15min]]-1)/(Table1317[[#This Row],[G 15min]]*$O$26-$O$27))</f>
        <v>-7.1163155119789065</v>
      </c>
      <c r="V44" s="6">
        <f>-$N$29/LN((Table1317[[#This Row],[G 20min]]-1)/(Table1317[[#This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ref="D45" si="106">D16/D16</f>
        <v>1</v>
      </c>
      <c r="E45" s="5">
        <f t="shared" ref="E45" si="107">E16/D16</f>
        <v>11.390008805611766</v>
      </c>
      <c r="F45" s="5">
        <f t="shared" ref="F45" si="108">F16/F16</f>
        <v>1</v>
      </c>
      <c r="G45" s="5">
        <f t="shared" ref="G45" si="109">G16/F16</f>
        <v>15.658674894541813</v>
      </c>
      <c r="H45" s="5">
        <f t="shared" ref="H45" si="110">H16/H16</f>
        <v>1</v>
      </c>
      <c r="I45" s="5">
        <f t="shared" ref="I45" si="111">I16/H16</f>
        <v>14.29865617132929</v>
      </c>
      <c r="J45" s="5">
        <f t="shared" ref="J45" si="112">J16/J16</f>
        <v>1</v>
      </c>
      <c r="K45" s="5">
        <f t="shared" ref="K45" si="113">K16/J16</f>
        <v>13.202713542419426</v>
      </c>
      <c r="M45" s="6" t="e">
        <f>Table41316[[#This Row],[2 - Pre]]*$N$27/(Table41316[[#This Row],[10 - pre]]*$N$26)</f>
        <v>#DIV/0!</v>
      </c>
      <c r="N45" s="6">
        <f>Table41316[[#This Row],[2 - Post 5min]]*$N$27/(Table41316[[#This Row],[10 - Post 5min]]*$N$26)</f>
        <v>0.43684463488310205</v>
      </c>
      <c r="O45" s="6">
        <f>Table41316[[#This Row],[2 - Post 10min]]*$N$27/(Table41316[[#This Row],[10 - Post 10min]]*$N$26)</f>
        <v>0.31775768202053739</v>
      </c>
      <c r="P45" s="6">
        <f>Table41316[[#This Row],[2 - Post 15min]]*$N$27/(Table41316[[#This Row],[10 - Post 15min]]*$N$26)</f>
        <v>0.34798124931346053</v>
      </c>
      <c r="Q45" s="6">
        <f>Table41316[[#This Row],[2 - Post 20min]]*$N$27/(Table41316[[#This Row],[10 - Post 20min]]*$N$26)</f>
        <v>0.37686678742338203</v>
      </c>
      <c r="R45" s="6" t="e">
        <f>-$N$29/LN((Table1317[[#This Row],[G Pre]]-1)/(Table1317[[#This Row],[G Pre]]*$O$26-$O$27))</f>
        <v>#DIV/0!</v>
      </c>
      <c r="S45" s="6">
        <f>-$N$29/LN((Table1317[[#This Row],[G 5min]]-1)/(Table1317[[#This Row],[G 5min]]*$O$26-$O$27))</f>
        <v>-6.0308145065839716</v>
      </c>
      <c r="T45" s="6">
        <f>-$N$29/LN((Table1317[[#This Row],[G 10min]]-1)/(Table1317[[#This Row],[G 10min]]*$O$26-$O$27))</f>
        <v>-7.2875665789892015</v>
      </c>
      <c r="U45" s="6">
        <f>-$N$29/LN((Table1317[[#This Row],[G 15min]]-1)/(Table1317[[#This Row],[G 15min]]*$O$26-$O$27))</f>
        <v>-6.9697650255710339</v>
      </c>
      <c r="V45" s="6">
        <f>-$N$29/LN((Table1317[[#This Row],[G 20min]]-1)/(Table1317[[#This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ref="D46" si="114">D17/D17</f>
        <v>1</v>
      </c>
      <c r="E46" s="5">
        <f t="shared" ref="E46" si="115">E17/D17</f>
        <v>7.5275114274764654</v>
      </c>
      <c r="F46" s="5">
        <f t="shared" ref="F46" si="116">F17/F17</f>
        <v>1</v>
      </c>
      <c r="G46" s="5">
        <f t="shared" ref="G46" si="117">G17/F17</f>
        <v>7.6719095808484399</v>
      </c>
      <c r="H46" s="5">
        <f t="shared" ref="H46" si="118">H17/H17</f>
        <v>1</v>
      </c>
      <c r="I46" s="5">
        <f t="shared" ref="I46" si="119">I17/H17</f>
        <v>8.0028257034859305</v>
      </c>
      <c r="J46" s="5">
        <f t="shared" ref="J46" si="120">J17/J17</f>
        <v>1</v>
      </c>
      <c r="K46" s="5">
        <f t="shared" ref="K46" si="121">K17/J17</f>
        <v>8.1110134679446553</v>
      </c>
      <c r="M46" s="6">
        <f>Table41316[[#This Row],[2 - Pre]]*$N$27/(Table41316[[#This Row],[10 - pre]]*$N$26)</f>
        <v>1.5105493732650053</v>
      </c>
      <c r="N46" s="6">
        <f>Table41316[[#This Row],[2 - Post 5min]]*$N$27/(Table41316[[#This Row],[10 - Post 5min]]*$N$26)</f>
        <v>0.66099723473562877</v>
      </c>
      <c r="O46" s="6">
        <f>Table41316[[#This Row],[2 - Post 10min]]*$N$27/(Table41316[[#This Row],[10 - Post 10min]]*$N$26)</f>
        <v>0.64855616265651139</v>
      </c>
      <c r="P46" s="6">
        <f>Table41316[[#This Row],[2 - Post 15min]]*$N$27/(Table41316[[#This Row],[10 - Post 15min]]*$N$26)</f>
        <v>0.6217384236964516</v>
      </c>
      <c r="Q46" s="6">
        <f>Table41316[[#This Row],[2 - Post 20min]]*$N$27/(Table41316[[#This Row],[10 - Post 20min]]*$N$26)</f>
        <v>0.61344544151812774</v>
      </c>
      <c r="R46" s="6">
        <f>-$N$29/LN((Table1317[[#This Row],[G Pre]]-1)/(Table1317[[#This Row],[G Pre]]*$O$26-$O$27))</f>
        <v>5.8757962590103148</v>
      </c>
      <c r="S46" s="6">
        <f>-$N$29/LN((Table1317[[#This Row],[G 5min]]-1)/(Table1317[[#This Row],[G 5min]]*$O$26-$O$27))</f>
        <v>-3.631716809050217</v>
      </c>
      <c r="T46" s="6">
        <f>-$N$29/LN((Table1317[[#This Row],[G 10min]]-1)/(Table1317[[#This Row],[G 10min]]*$O$26-$O$27))</f>
        <v>-3.7660418111737894</v>
      </c>
      <c r="U46" s="6">
        <f>-$N$29/LN((Table1317[[#This Row],[G 15min]]-1)/(Table1317[[#This Row],[G 15min]]*$O$26-$O$27))</f>
        <v>-4.0551179547737588</v>
      </c>
      <c r="V46" s="6">
        <f>-$N$29/LN((Table1317[[#This Row],[G 20min]]-1)/(Table1317[[#This Row],[G 20min]]*$O$26-$O$27))</f>
        <v>-4.1443802093380615</v>
      </c>
    </row>
    <row r="47" spans="1:22">
      <c r="A47" s="2" t="s">
        <v>17</v>
      </c>
      <c r="B47" s="5">
        <f t="shared" si="0"/>
        <v>1</v>
      </c>
      <c r="C47" s="5">
        <f t="shared" si="1"/>
        <v>3.1703134188574049</v>
      </c>
      <c r="D47" s="5">
        <f t="shared" ref="D47" si="122">D18/D18</f>
        <v>1</v>
      </c>
      <c r="E47" s="5">
        <f t="shared" ref="E47" si="123">E18/D18</f>
        <v>6.0236379752620479</v>
      </c>
      <c r="F47" s="5">
        <f t="shared" ref="F47" si="124">F18/F18</f>
        <v>1</v>
      </c>
      <c r="G47" s="5">
        <f t="shared" ref="G47" si="125">G18/F18</f>
        <v>6.3137943288189788</v>
      </c>
      <c r="H47" s="5">
        <f t="shared" ref="H47" si="126">H18/H18</f>
        <v>1</v>
      </c>
      <c r="I47" s="5">
        <f t="shared" ref="I47" si="127">I18/H18</f>
        <v>9.4253159053235134</v>
      </c>
      <c r="J47" s="5">
        <f t="shared" ref="J47" si="128">J18/J18</f>
        <v>1</v>
      </c>
      <c r="K47" s="5">
        <f t="shared" ref="K47" si="129">K18/J18</f>
        <v>10.181657810370998</v>
      </c>
      <c r="M47" s="6">
        <f>Table41316[[#This Row],[2 - Pre]]*$N$27/(Table41316[[#This Row],[10 - pre]]*$N$26)</f>
        <v>1.5694549972273848</v>
      </c>
      <c r="N47" s="6">
        <f>Table41316[[#This Row],[2 - Post 5min]]*$N$27/(Table41316[[#This Row],[10 - Post 5min]]*$N$26)</f>
        <v>0.82602312065182359</v>
      </c>
      <c r="O47" s="6">
        <f>Table41316[[#This Row],[2 - Post 10min]]*$N$27/(Table41316[[#This Row],[10 - Post 10min]]*$N$26)</f>
        <v>0.78806245165314204</v>
      </c>
      <c r="P47" s="6">
        <f>Table41316[[#This Row],[2 - Post 15min]]*$N$27/(Table41316[[#This Row],[10 - Post 15min]]*$N$26)</f>
        <v>0.52790424087456667</v>
      </c>
      <c r="Q47" s="6">
        <f>Table41316[[#This Row],[2 - Post 20min]]*$N$27/(Table41316[[#This Row],[10 - Post 20min]]*$N$26)</f>
        <v>0.48868900631629908</v>
      </c>
      <c r="R47" s="6">
        <f>-$N$29/LN((Table1317[[#This Row],[G Pre]]-1)/(Table1317[[#This Row],[G Pre]]*$O$26-$O$27))</f>
        <v>6.5607565654040521</v>
      </c>
      <c r="S47" s="6">
        <f>-$N$29/LN((Table1317[[#This Row],[G 5min]]-1)/(Table1317[[#This Row],[G 5min]]*$O$26-$O$27))</f>
        <v>-1.8365340138800161</v>
      </c>
      <c r="T47" s="6">
        <f>-$N$29/LN((Table1317[[#This Row],[G 10min]]-1)/(Table1317[[#This Row],[G 10min]]*$O$26-$O$27))</f>
        <v>-2.2517333782076125</v>
      </c>
      <c r="U47" s="6">
        <f>-$N$29/LN((Table1317[[#This Row],[G 15min]]-1)/(Table1317[[#This Row],[G 15min]]*$O$26-$O$27))</f>
        <v>-5.0615476428904129</v>
      </c>
      <c r="V47" s="6">
        <f>-$N$29/LN((Table1317[[#This Row],[G 20min]]-1)/(Table1317[[#This Row],[G 20min]]*$O$26-$O$27))</f>
        <v>-5.4798549404960131</v>
      </c>
    </row>
    <row r="48" spans="1:22">
      <c r="A48" s="2" t="s">
        <v>18</v>
      </c>
      <c r="B48" s="5">
        <f t="shared" si="0"/>
        <v>1</v>
      </c>
      <c r="C48" s="5">
        <f t="shared" si="1"/>
        <v>11.788352128817154</v>
      </c>
      <c r="D48" s="5">
        <f t="shared" ref="D48" si="130">D19/D19</f>
        <v>1</v>
      </c>
      <c r="E48" s="5">
        <f t="shared" ref="E48" si="131">E19/D19</f>
        <v>16.313593111500293</v>
      </c>
      <c r="F48" s="5">
        <f t="shared" ref="F48" si="132">F19/F19</f>
        <v>1</v>
      </c>
      <c r="G48" s="5">
        <f t="shared" ref="G48" si="133">G19/F19</f>
        <v>17.95315343258892</v>
      </c>
      <c r="H48" s="5">
        <f t="shared" ref="H48" si="134">H19/H19</f>
        <v>1</v>
      </c>
      <c r="I48" s="5">
        <f t="shared" ref="I48" si="135">I19/H19</f>
        <v>13.069430443548386</v>
      </c>
      <c r="J48" s="5">
        <f t="shared" ref="J48" si="136">J19/J19</f>
        <v>1</v>
      </c>
      <c r="K48" s="5">
        <f t="shared" ref="K48" si="137">K19/J19</f>
        <v>14.678360440578317</v>
      </c>
      <c r="M48" s="6">
        <f>Table41316[[#This Row],[2 - Pre]]*$N$27/(Table41316[[#This Row],[10 - pre]]*$N$26)</f>
        <v>0.42208310233960145</v>
      </c>
      <c r="N48" s="6">
        <f>Table41316[[#This Row],[2 - Post 5min]]*$N$27/(Table41316[[#This Row],[10 - Post 5min]]*$N$26)</f>
        <v>0.30500112415426045</v>
      </c>
      <c r="O48" s="6">
        <f>Table41316[[#This Row],[2 - Post 10min]]*$N$27/(Table41316[[#This Row],[10 - Post 10min]]*$N$26)</f>
        <v>0.2771470904365394</v>
      </c>
      <c r="P48" s="6">
        <f>Table41316[[#This Row],[2 - Post 15min]]*$N$27/(Table41316[[#This Row],[10 - Post 15min]]*$N$26)</f>
        <v>0.38071010511854275</v>
      </c>
      <c r="Q48" s="6">
        <f>Table41316[[#This Row],[2 - Post 20min]]*$N$27/(Table41316[[#This Row],[10 - Post 20min]]*$N$26)</f>
        <v>0.33897956506419946</v>
      </c>
      <c r="R48" s="6">
        <f>-$N$29/LN((Table1317[[#This Row],[G Pre]]-1)/(Table1317[[#This Row],[G Pre]]*$O$26-$O$27))</f>
        <v>-6.187260633506745</v>
      </c>
      <c r="S48" s="6">
        <f>-$N$29/LN((Table1317[[#This Row],[G 5min]]-1)/(Table1317[[#This Row],[G 5min]]*$O$26-$O$27))</f>
        <v>-7.421467716359734</v>
      </c>
      <c r="T48" s="6">
        <f>-$N$29/LN((Table1317[[#This Row],[G 10min]]-1)/(Table1317[[#This Row],[G 10min]]*$O$26-$O$27))</f>
        <v>-7.7133596901369756</v>
      </c>
      <c r="U48" s="6">
        <f>-$N$29/LN((Table1317[[#This Row],[G 15min]]-1)/(Table1317[[#This Row],[G 15min]]*$O$26-$O$27))</f>
        <v>-6.6247366438621968</v>
      </c>
      <c r="V48" s="6">
        <f>-$N$29/LN((Table1317[[#This Row],[G 20min]]-1)/(Table1317[[#This Row],[G 20min]]*$O$26-$O$27))</f>
        <v>-7.0644997401442806</v>
      </c>
    </row>
    <row r="49" spans="1:22">
      <c r="A49" s="2" t="s">
        <v>19</v>
      </c>
      <c r="B49" s="5">
        <f t="shared" si="0"/>
        <v>1</v>
      </c>
      <c r="C49" s="5">
        <f t="shared" si="1"/>
        <v>3.6216626836527892</v>
      </c>
      <c r="D49" s="5">
        <f t="shared" ref="D49" si="138">D20/D20</f>
        <v>1</v>
      </c>
      <c r="E49" s="5">
        <f t="shared" ref="E49" si="139">E20/D20</f>
        <v>6.2963986251813333</v>
      </c>
      <c r="F49" s="5">
        <f t="shared" ref="F49" si="140">F20/F20</f>
        <v>1</v>
      </c>
      <c r="G49" s="5">
        <f t="shared" ref="G49" si="141">G20/F20</f>
        <v>7.5078828247873099</v>
      </c>
      <c r="H49" s="5">
        <f t="shared" ref="H49" si="142">H20/H20</f>
        <v>1</v>
      </c>
      <c r="I49" s="5">
        <f t="shared" ref="I49" si="143">I20/H20</f>
        <v>7.8150238492188198</v>
      </c>
      <c r="J49" s="5">
        <f t="shared" ref="J49" si="144">J20/J20</f>
        <v>1</v>
      </c>
      <c r="K49" s="5">
        <f t="shared" ref="K49" si="145">K20/J20</f>
        <v>7.7466235768489655</v>
      </c>
      <c r="M49" s="6">
        <f>Table41316[[#This Row],[2 - Pre]]*$N$27/(Table41316[[#This Row],[10 - pre]]*$N$26)</f>
        <v>1.3738618619733967</v>
      </c>
      <c r="N49" s="6">
        <f>Table41316[[#This Row],[2 - Post 5min]]*$N$27/(Table41316[[#This Row],[10 - Post 5min]]*$N$26)</f>
        <v>0.79023971228624246</v>
      </c>
      <c r="O49" s="6">
        <f>Table41316[[#This Row],[2 - Post 10min]]*$N$27/(Table41316[[#This Row],[10 - Post 10min]]*$N$26)</f>
        <v>0.66272534536309091</v>
      </c>
      <c r="P49" s="6">
        <f>Table41316[[#This Row],[2 - Post 15min]]*$N$27/(Table41316[[#This Row],[10 - Post 15min]]*$N$26)</f>
        <v>0.6366793414840507</v>
      </c>
      <c r="Q49" s="6">
        <f>Table41316[[#This Row],[2 - Post 20min]]*$N$27/(Table41316[[#This Row],[10 - Post 20min]]*$N$26)</f>
        <v>0.64230102168288161</v>
      </c>
      <c r="R49" s="6">
        <f>-$N$29/LN((Table1317[[#This Row],[G Pre]]-1)/(Table1317[[#This Row],[G Pre]]*$O$26-$O$27))</f>
        <v>4.2995258386704629</v>
      </c>
      <c r="S49" s="6">
        <f>-$N$29/LN((Table1317[[#This Row],[G 5min]]-1)/(Table1317[[#This Row],[G 5min]]*$O$26-$O$27))</f>
        <v>-2.227956825430629</v>
      </c>
      <c r="T49" s="6">
        <f>-$N$29/LN((Table1317[[#This Row],[G 10min]]-1)/(Table1317[[#This Row],[G 10min]]*$O$26-$O$27))</f>
        <v>-3.6130475561858288</v>
      </c>
      <c r="U49" s="6">
        <f>-$N$29/LN((Table1317[[#This Row],[G 15min]]-1)/(Table1317[[#This Row],[G 15min]]*$O$26-$O$27))</f>
        <v>-3.8941449584110299</v>
      </c>
      <c r="V49" s="6">
        <f>-$N$29/LN((Table1317[[#This Row],[G 20min]]-1)/(Table1317[[#This Row],[G 20min]]*$O$26-$O$27))</f>
        <v>-3.8335254016901299</v>
      </c>
    </row>
    <row r="50" spans="1:22">
      <c r="A50" s="2" t="s">
        <v>20</v>
      </c>
      <c r="B50" s="5">
        <f t="shared" si="0"/>
        <v>1</v>
      </c>
      <c r="C50" s="5">
        <f t="shared" si="1"/>
        <v>4.3158299306197421</v>
      </c>
      <c r="D50" s="5">
        <f t="shared" ref="D50" si="146">D21/D21</f>
        <v>1</v>
      </c>
      <c r="E50" s="5">
        <f t="shared" ref="E50" si="147">E21/D21</f>
        <v>3.6980794295336521</v>
      </c>
      <c r="F50" s="5">
        <f t="shared" ref="F50" si="148">F21/F21</f>
        <v>1</v>
      </c>
      <c r="G50" s="5">
        <f t="shared" ref="G50" si="149">G21/F21</f>
        <v>7.8157842772998567</v>
      </c>
      <c r="H50" s="5">
        <f t="shared" ref="H50" si="150">H21/H21</f>
        <v>1</v>
      </c>
      <c r="I50" s="5">
        <f t="shared" ref="I50" si="151">I21/H21</f>
        <v>7.947287809937273</v>
      </c>
      <c r="J50" s="5">
        <f t="shared" ref="J50" si="152">J21/J21</f>
        <v>1</v>
      </c>
      <c r="K50" s="5">
        <f t="shared" ref="K50" si="153">K21/J21</f>
        <v>8.9897169957013077</v>
      </c>
      <c r="M50" s="6">
        <f>Table41316[[#This Row],[2 - Pre]]*$N$27/(Table41316[[#This Row],[10 - pre]]*$N$26)</f>
        <v>1.1528870038881018</v>
      </c>
      <c r="N50" s="6">
        <f>Table41316[[#This Row],[2 - Post 5min]]*$N$27/(Table41316[[#This Row],[10 - Post 5min]]*$N$26)</f>
        <v>1.3454725169681516</v>
      </c>
      <c r="O50" s="6">
        <f>Table41316[[#This Row],[2 - Post 10min]]*$N$27/(Table41316[[#This Row],[10 - Post 10min]]*$N$26)</f>
        <v>0.63661739647217419</v>
      </c>
      <c r="P50" s="6">
        <f>Table41316[[#This Row],[2 - Post 15min]]*$N$27/(Table41316[[#This Row],[10 - Post 15min]]*$N$26)</f>
        <v>0.62608330753810482</v>
      </c>
      <c r="Q50" s="6">
        <f>Table41316[[#This Row],[2 - Post 20min]]*$N$27/(Table41316[[#This Row],[10 - Post 20min]]*$N$26)</f>
        <v>0.55348396844773273</v>
      </c>
      <c r="R50" s="6">
        <f>-$N$29/LN((Table1317[[#This Row],[G Pre]]-1)/(Table1317[[#This Row],[G Pre]]*$O$26-$O$27))</f>
        <v>1.7890805986638842</v>
      </c>
      <c r="S50" s="6">
        <f>-$N$29/LN((Table1317[[#This Row],[G 5min]]-1)/(Table1317[[#This Row],[G 5min]]*$O$26-$O$27))</f>
        <v>3.9744191108492002</v>
      </c>
      <c r="T50" s="6">
        <f>-$N$29/LN((Table1317[[#This Row],[G 10min]]-1)/(Table1317[[#This Row],[G 10min]]*$O$26-$O$27))</f>
        <v>-3.8948127645071087</v>
      </c>
      <c r="U50" s="6">
        <f>-$N$29/LN((Table1317[[#This Row],[G 15min]]-1)/(Table1317[[#This Row],[G 15min]]*$O$26-$O$27))</f>
        <v>-4.0083268935650134</v>
      </c>
      <c r="V50" s="6">
        <f>-$N$29/LN((Table1317[[#This Row],[G 20min]]-1)/(Table1317[[#This Row],[G 20min]]*$O$26-$O$27))</f>
        <v>-4.7879616123941267</v>
      </c>
    </row>
    <row r="51" spans="1:22">
      <c r="A51" s="2" t="s">
        <v>21</v>
      </c>
      <c r="B51" s="5">
        <f t="shared" si="0"/>
        <v>1</v>
      </c>
      <c r="C51" s="5">
        <f t="shared" si="1"/>
        <v>6.0469659321170521</v>
      </c>
      <c r="D51" s="5">
        <f t="shared" ref="D51" si="154">D22/D22</f>
        <v>1</v>
      </c>
      <c r="E51" s="5">
        <f t="shared" ref="E51" si="155">E22/D22</f>
        <v>5.9462152973942697</v>
      </c>
      <c r="F51" s="5">
        <f t="shared" ref="F51" si="156">F22/F22</f>
        <v>1</v>
      </c>
      <c r="G51" s="5">
        <f t="shared" ref="G51" si="157">G22/F22</f>
        <v>4.8201031751550127</v>
      </c>
      <c r="H51" s="5">
        <f t="shared" ref="H51" si="158">H22/H22</f>
        <v>1</v>
      </c>
      <c r="I51" s="5">
        <f t="shared" ref="I51" si="159">I22/H22</f>
        <v>8.108855567964838</v>
      </c>
      <c r="J51" s="5">
        <f t="shared" ref="J51" si="160">J22/J22</f>
        <v>1</v>
      </c>
      <c r="K51" s="5">
        <f t="shared" ref="K51" si="161">K22/J22</f>
        <v>8.1706941669294011</v>
      </c>
      <c r="M51" s="6">
        <f>Table41316[[#This Row],[2 - Pre]]*$N$27/(Table41316[[#This Row],[10 - pre]]*$N$26)</f>
        <v>0.82283649252523583</v>
      </c>
      <c r="N51" s="6">
        <f>Table41316[[#This Row],[2 - Post 5min]]*$N$27/(Table41316[[#This Row],[10 - Post 5min]]*$N$26)</f>
        <v>0.83677835213656115</v>
      </c>
      <c r="O51" s="6">
        <f>Table41316[[#This Row],[2 - Post 10min]]*$N$27/(Table41316[[#This Row],[10 - Post 10min]]*$N$26)</f>
        <v>1.0322733885966606</v>
      </c>
      <c r="P51" s="6">
        <f>Table41316[[#This Row],[2 - Post 15min]]*$N$27/(Table41316[[#This Row],[10 - Post 15min]]*$N$26)</f>
        <v>0.61360868945056102</v>
      </c>
      <c r="Q51" s="6">
        <f>Table41316[[#This Row],[2 - Post 20min]]*$N$27/(Table41316[[#This Row],[10 - Post 20min]]*$N$26)</f>
        <v>0.60896468970061512</v>
      </c>
      <c r="R51" s="6">
        <f>-$N$29/LN((Table1317[[#This Row],[G Pre]]-1)/(Table1317[[#This Row],[G Pre]]*$O$26-$O$27))</f>
        <v>-1.8714421488718875</v>
      </c>
      <c r="S51" s="6">
        <f>-$N$29/LN((Table1317[[#This Row],[G 5min]]-1)/(Table1317[[#This Row],[G 5min]]*$O$26-$O$27))</f>
        <v>-1.7186402773474219</v>
      </c>
      <c r="T51" s="6">
        <f>-$N$29/LN((Table1317[[#This Row],[G 10min]]-1)/(Table1317[[#This Row],[G 10min]]*$O$26-$O$27))</f>
        <v>0.43498543322503747</v>
      </c>
      <c r="U51" s="6">
        <f>-$N$29/LN((Table1317[[#This Row],[G 15min]]-1)/(Table1317[[#This Row],[G 15min]]*$O$26-$O$27))</f>
        <v>-4.1426236677056165</v>
      </c>
      <c r="V51" s="6">
        <f>-$N$29/LN((Table1317[[#This Row],[G 20min]]-1)/(Table1317[[#This Row],[G 20min]]*$O$26-$O$27))</f>
        <v>-4.192583655171549</v>
      </c>
    </row>
    <row r="52" spans="1:22">
      <c r="A52" s="2" t="s">
        <v>22</v>
      </c>
      <c r="B52" s="5">
        <f t="shared" si="0"/>
        <v>1</v>
      </c>
      <c r="C52" s="5">
        <f t="shared" si="1"/>
        <v>3.7185368369801535</v>
      </c>
      <c r="D52" s="5">
        <f t="shared" ref="D52" si="162">D23/D23</f>
        <v>1</v>
      </c>
      <c r="E52" s="5">
        <f t="shared" ref="E52" si="163">E23/D23</f>
        <v>8.0110249159471145</v>
      </c>
      <c r="F52" s="5">
        <f t="shared" ref="F52" si="164">F23/F23</f>
        <v>1</v>
      </c>
      <c r="G52" s="5">
        <f t="shared" ref="G52" si="165">G23/F23</f>
        <v>8.4436553685932374</v>
      </c>
      <c r="H52" s="5">
        <f t="shared" ref="H52" si="166">H23/H23</f>
        <v>1</v>
      </c>
      <c r="I52" s="5">
        <f t="shared" ref="I52" si="167">I23/H23</f>
        <v>11.692503848354601</v>
      </c>
      <c r="J52" s="5">
        <f t="shared" ref="J52" si="168">J23/J23</f>
        <v>1</v>
      </c>
      <c r="K52" s="5">
        <f t="shared" ref="K52" si="169">K23/J23</f>
        <v>10.464712136223913</v>
      </c>
      <c r="M52" s="6">
        <f>Table41316[[#This Row],[2 - Pre]]*$N$27/(Table41316[[#This Row],[10 - pre]]*$N$26)</f>
        <v>1.3380704444072569</v>
      </c>
      <c r="N52" s="6">
        <f>Table41316[[#This Row],[2 - Post 5min]]*$N$27/(Table41316[[#This Row],[10 - Post 5min]]*$N$26)</f>
        <v>0.6211020799720649</v>
      </c>
      <c r="O52" s="6">
        <f>Table41316[[#This Row],[2 - Post 10min]]*$N$27/(Table41316[[#This Row],[10 - Post 10min]]*$N$26)</f>
        <v>0.58927846066646894</v>
      </c>
      <c r="P52" s="6">
        <f>Table41316[[#This Row],[2 - Post 15min]]*$N$27/(Table41316[[#This Row],[10 - Post 15min]]*$N$26)</f>
        <v>0.42554309175643135</v>
      </c>
      <c r="Q52" s="6">
        <f>Table41316[[#This Row],[2 - Post 20min]]*$N$27/(Table41316[[#This Row],[10 - Post 20min]]*$N$26)</f>
        <v>0.4754707222933901</v>
      </c>
      <c r="R52" s="6">
        <f>-$N$29/LN((Table1317[[#This Row],[G Pre]]-1)/(Table1317[[#This Row],[G Pre]]*$O$26-$O$27))</f>
        <v>3.8897800838098955</v>
      </c>
      <c r="S52" s="6">
        <f>-$N$29/LN((Table1317[[#This Row],[G 5min]]-1)/(Table1317[[#This Row],[G 5min]]*$O$26-$O$27))</f>
        <v>-4.0619694719356172</v>
      </c>
      <c r="T52" s="6">
        <f>-$N$29/LN((Table1317[[#This Row],[G 10min]]-1)/(Table1317[[#This Row],[G 10min]]*$O$26-$O$27))</f>
        <v>-4.4041542260278446</v>
      </c>
      <c r="U52" s="6">
        <f>-$N$29/LN((Table1317[[#This Row],[G 15min]]-1)/(Table1317[[#This Row],[G 15min]]*$O$26-$O$27))</f>
        <v>-6.1506078153202006</v>
      </c>
      <c r="V52" s="6">
        <f>-$N$29/LN((Table1317[[#This Row],[G 20min]]-1)/(Table1317[[#This Row],[G 20min]]*$O$26-$O$27))</f>
        <v>-5.6205505242602429</v>
      </c>
    </row>
  </sheetData>
  <conditionalFormatting sqref="R2:V23">
    <cfRule type="cellIs" dxfId="392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51"/>
  <sheetViews>
    <sheetView topLeftCell="A7" workbookViewId="0">
      <selection activeCell="D3" sqref="D3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SLOPE(Table43[10 - pre],Table43[2 - Pre])</f>
        <v>3.7661736576299178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SLOPE(Table43[10 - Post 5min],Table43[2 - Post 5min])</f>
        <v>4.5308904733547495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SLOPE(Table43[10 - Post 10min],Table43[2 - Post 10min])</f>
        <v>7.7305555097199097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SLOPE(Table43[10 - Post 15min],Table43[2 - Post 15min])</f>
        <v>10.559978063589892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SLOPE(Table43[10 - Post 20min],Table43[2 - Post 20min])</f>
        <v>12.007833287358419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T52"/>
  <sheetViews>
    <sheetView topLeftCell="A13" zoomScaleNormal="100" workbookViewId="0">
      <selection activeCell="C16" sqref="C16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Table4136[[#This Row],[2 - Pre]]*$N$27/(Table4136[[#This Row],[10 - pre]]*$N$26)</f>
        <v>#DIV/0!</v>
      </c>
      <c r="N2" s="6" t="e">
        <f>Table4136[[#This Row],[2 - Post 5min]]*$N$27/(Table4136[[#This Row],[10 - Post 5min]]*$N$26)</f>
        <v>#DIV/0!</v>
      </c>
      <c r="O2" s="6" t="e">
        <f>Table4136[[#This Row],[2 - Post 10min]]*$N$27/(Table4136[[#This Row],[10 - Post 10min]]*$N$26)</f>
        <v>#DIV/0!</v>
      </c>
      <c r="P2" s="6" t="e">
        <f>Table4136[[#This Row],[2 - Post 15min]]*$N$27/(Table4136[[#This Row],[10 - Post 15min]]*$N$26)</f>
        <v>#DIV/0!</v>
      </c>
      <c r="Q2" s="6" t="e">
        <f>Table4136[[#This Row],[2 - Post 20min]]*$N$27/(Table4136[[#This Row],[10 - Post 20min]]*$N$26)</f>
        <v>#DIV/0!</v>
      </c>
      <c r="R2" s="6" t="e">
        <f>-$N$29/LN((Table137[[#This Row],[G Pre]]-1)/(Table137[[#This Row],[G Pre]]*$O$26-$O$27))</f>
        <v>#DIV/0!</v>
      </c>
      <c r="S2" s="6" t="e">
        <f>-$N$29/LN((Table137[[#This Row],[G 5min]]-1)/(Table137[[#This Row],[G 5min]]*$O$26-$O$27))</f>
        <v>#DIV/0!</v>
      </c>
      <c r="T2" s="6" t="e">
        <f>-$N$29/LN((Table137[[#This Row],[G 10min]]-1)/(Table137[[#This Row],[G 10min]]*$O$26-$O$27))</f>
        <v>#DIV/0!</v>
      </c>
      <c r="U2" s="6" t="e">
        <f>-$N$29/LN((Table137[[#This Row],[G 15min]]-1)/(Table137[[#This Row],[G 15min]]*$O$26-$O$27))</f>
        <v>#DIV/0!</v>
      </c>
      <c r="V2" s="6" t="e">
        <f>-$N$29/LN((Table137[[#This Row],[G 20min]]-1)/(Table137[[#This Row],[G 20min]]*$O$26-$O$27))</f>
        <v>#DIV/0!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Table4136[[#This Row],[2 - Pre]]*$N$27/(Table4136[[#This Row],[10 - pre]]*$N$26)</f>
        <v>1.3008056773482592</v>
      </c>
      <c r="N3" s="6">
        <f>Table4136[[#This Row],[2 - Post 5min]]*$N$27/(Table4136[[#This Row],[10 - Post 5min]]*$N$26)</f>
        <v>0.56103467402957685</v>
      </c>
      <c r="O3" s="6">
        <f>Table4136[[#This Row],[2 - Post 10min]]*$N$27/(Table4136[[#This Row],[10 - Post 10min]]*$N$26)</f>
        <v>0.60639839238045834</v>
      </c>
      <c r="P3" s="6">
        <f>Table4136[[#This Row],[2 - Post 15min]]*$N$27/(Table4136[[#This Row],[10 - Post 15min]]*$N$26)</f>
        <v>0.51597758507578595</v>
      </c>
      <c r="Q3" s="6">
        <f>Table4136[[#This Row],[2 - Post 20min]]*$N$27/(Table4136[[#This Row],[10 - Post 20min]]*$N$26)</f>
        <v>0.41104767381925511</v>
      </c>
      <c r="R3" s="6">
        <f>-$N$29/LN((Table137[[#This Row],[G Pre]]-1)/(Table137[[#This Row],[G Pre]]*$O$26-$O$27))</f>
        <v>3.4644722702092752</v>
      </c>
      <c r="S3" s="6">
        <f>-$N$29/LN((Table137[[#This Row],[G 5min]]-1)/(Table137[[#This Row],[G 5min]]*$O$26-$O$27))</f>
        <v>-4.7070933135798345</v>
      </c>
      <c r="T3" s="6">
        <f>-$N$29/LN((Table137[[#This Row],[G 10min]]-1)/(Table137[[#This Row],[G 10min]]*$O$26-$O$27))</f>
        <v>-4.2201835475697465</v>
      </c>
      <c r="U3" s="6">
        <f>-$N$29/LN((Table137[[#This Row],[G 15min]]-1)/(Table137[[#This Row],[G 15min]]*$O$26-$O$27))</f>
        <v>-5.1889115011302795</v>
      </c>
      <c r="V3" s="6">
        <f>-$N$29/LN((Table137[[#This Row],[G 20min]]-1)/(Table137[[#This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Table4136[[#This Row],[2 - Pre]]*$N$27/(Table4136[[#This Row],[10 - pre]]*$N$26)</f>
        <v>0.97902842296696546</v>
      </c>
      <c r="N4" s="6">
        <f>Table4136[[#This Row],[2 - Post 5min]]*$N$27/(Table4136[[#This Row],[10 - Post 5min]]*$N$26)</f>
        <v>1.2990717943440793</v>
      </c>
      <c r="O4" s="6">
        <f>Table4136[[#This Row],[2 - Post 10min]]*$N$27/(Table4136[[#This Row],[10 - Post 10min]]*$N$26)</f>
        <v>0.39924877543847787</v>
      </c>
      <c r="P4" s="6">
        <f>Table4136[[#This Row],[2 - Post 15min]]*$N$27/(Table4136[[#This Row],[10 - Post 15min]]*$N$26)</f>
        <v>0.3771897486051955</v>
      </c>
      <c r="Q4" s="6">
        <f>Table4136[[#This Row],[2 - Post 20min]]*$N$27/(Table4136[[#This Row],[10 - Post 20min]]*$N$26)</f>
        <v>0.44304003225359107</v>
      </c>
      <c r="R4" s="6">
        <f>-$N$29/LN((Table137[[#This Row],[G Pre]]-1)/(Table137[[#This Row],[G Pre]]*$O$26-$O$27))</f>
        <v>-0.13605787131971925</v>
      </c>
      <c r="S4" s="6">
        <f>-$N$29/LN((Table137[[#This Row],[G 5min]]-1)/(Table137[[#This Row],[G 5min]]*$O$26-$O$27))</f>
        <v>3.4447154610100181</v>
      </c>
      <c r="T4" s="6">
        <f>-$N$29/LN((Table137[[#This Row],[G 10min]]-1)/(Table137[[#This Row],[G 10min]]*$O$26-$O$27))</f>
        <v>-6.4288924635165543</v>
      </c>
      <c r="U4" s="6">
        <f>-$N$29/LN((Table137[[#This Row],[G 15min]]-1)/(Table137[[#This Row],[G 15min]]*$O$26-$O$27))</f>
        <v>-6.6618925402236338</v>
      </c>
      <c r="V4" s="6">
        <f>-$N$29/LN((Table137[[#This Row],[G 20min]]-1)/(Table137[[#This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Table4136[[#This Row],[2 - Pre]]*$N$27/(Table4136[[#This Row],[10 - pre]]*$N$26)</f>
        <v>1.1074198196834613</v>
      </c>
      <c r="N5" s="6">
        <f>Table4136[[#This Row],[2 - Post 5min]]*$N$27/(Table4136[[#This Row],[10 - Post 5min]]*$N$26)</f>
        <v>0.4421009458263927</v>
      </c>
      <c r="O5" s="6">
        <f>Table4136[[#This Row],[2 - Post 10min]]*$N$27/(Table4136[[#This Row],[10 - Post 10min]]*$N$26)</f>
        <v>0.47264535167549732</v>
      </c>
      <c r="P5" s="6">
        <f>Table4136[[#This Row],[2 - Post 15min]]*$N$27/(Table4136[[#This Row],[10 - Post 15min]]*$N$26)</f>
        <v>0.3440991045096678</v>
      </c>
      <c r="Q5" s="6">
        <f>Table4136[[#This Row],[2 - Post 20min]]*$N$27/(Table4136[[#This Row],[10 - Post 20min]]*$N$26)</f>
        <v>0.40296532360130377</v>
      </c>
      <c r="R5" s="6">
        <f>-$N$29/LN((Table137[[#This Row],[G Pre]]-1)/(Table137[[#This Row],[G Pre]]*$O$26-$O$27))</f>
        <v>1.2779698364201741</v>
      </c>
      <c r="S5" s="6">
        <f>-$N$29/LN((Table137[[#This Row],[G 5min]]-1)/(Table137[[#This Row],[G 5min]]*$O$26-$O$27))</f>
        <v>-5.9750612730185466</v>
      </c>
      <c r="T5" s="6">
        <f>-$N$29/LN((Table137[[#This Row],[G 10min]]-1)/(Table137[[#This Row],[G 10min]]*$O$26-$O$27))</f>
        <v>-5.6506040204239643</v>
      </c>
      <c r="U5" s="6">
        <f>-$N$29/LN((Table137[[#This Row],[G 15min]]-1)/(Table137[[#This Row],[G 15min]]*$O$26-$O$27))</f>
        <v>-7.0106296625269557</v>
      </c>
      <c r="V5" s="6">
        <f>-$N$29/LN((Table137[[#This Row],[G 20min]]-1)/(Table137[[#This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Table4136[[#This Row],[2 - Pre]]*$N$27/(Table4136[[#This Row],[10 - pre]]*$N$26)</f>
        <v>1.0399483775522547</v>
      </c>
      <c r="N6" s="6">
        <f>Table4136[[#This Row],[2 - Post 5min]]*$N$27/(Table4136[[#This Row],[10 - Post 5min]]*$N$26)</f>
        <v>0.79633604859056917</v>
      </c>
      <c r="O6" s="6">
        <f>Table4136[[#This Row],[2 - Post 10min]]*$N$27/(Table4136[[#This Row],[10 - Post 10min]]*$N$26)</f>
        <v>0.66146699308703216</v>
      </c>
      <c r="P6" s="6">
        <f>Table4136[[#This Row],[2 - Post 15min]]*$N$27/(Table4136[[#This Row],[10 - Post 15min]]*$N$26)</f>
        <v>0.45624239362697377</v>
      </c>
      <c r="Q6" s="6">
        <f>Table4136[[#This Row],[2 - Post 20min]]*$N$27/(Table4136[[#This Row],[10 - Post 20min]]*$N$26)</f>
        <v>0.35595801038228686</v>
      </c>
      <c r="R6" s="6">
        <f>-$N$29/LN((Table137[[#This Row],[G Pre]]-1)/(Table137[[#This Row],[G Pre]]*$O$26-$O$27))</f>
        <v>0.52133078970952551</v>
      </c>
      <c r="S6" s="6">
        <f>-$N$29/LN((Table137[[#This Row],[G 5min]]-1)/(Table137[[#This Row],[G 5min]]*$O$26-$O$27))</f>
        <v>-2.1613583778036585</v>
      </c>
      <c r="T6" s="6">
        <f>-$N$29/LN((Table137[[#This Row],[G 10min]]-1)/(Table137[[#This Row],[G 10min]]*$O$26-$O$27))</f>
        <v>-3.6266421470097399</v>
      </c>
      <c r="U6" s="6">
        <f>-$N$29/LN((Table137[[#This Row],[G 15min]]-1)/(Table137[[#This Row],[G 15min]]*$O$26-$O$27))</f>
        <v>-5.8249450001689276</v>
      </c>
      <c r="V6" s="6">
        <f>-$N$29/LN((Table137[[#This Row],[G 20min]]-1)/(Table137[[#This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Table4136[[#This Row],[2 - Pre]]*$N$27/(Table4136[[#This Row],[10 - pre]]*$N$26)</f>
        <v>1.1379642365071603</v>
      </c>
      <c r="N7" s="6">
        <f>Table4136[[#This Row],[2 - Post 5min]]*$N$27/(Table4136[[#This Row],[10 - Post 5min]]*$N$26)</f>
        <v>0.65204943247125058</v>
      </c>
      <c r="O7" s="6">
        <f>Table4136[[#This Row],[2 - Post 10min]]*$N$27/(Table4136[[#This Row],[10 - Post 10min]]*$N$26)</f>
        <v>0.65833812880257114</v>
      </c>
      <c r="P7" s="6">
        <f>Table4136[[#This Row],[2 - Post 15min]]*$N$27/(Table4136[[#This Row],[10 - Post 15min]]*$N$26)</f>
        <v>0.59399743368513858</v>
      </c>
      <c r="Q7" s="6">
        <f>Table4136[[#This Row],[2 - Post 20min]]*$N$27/(Table4136[[#This Row],[10 - Post 20min]]*$N$26)</f>
        <v>0.73587045587573263</v>
      </c>
      <c r="R7" s="6">
        <f>-$N$29/LN((Table137[[#This Row],[G Pre]]-1)/(Table137[[#This Row],[G Pre]]*$O$26-$O$27))</f>
        <v>1.6211478483778388</v>
      </c>
      <c r="S7" s="6">
        <f>-$N$29/LN((Table137[[#This Row],[G 5min]]-1)/(Table137[[#This Row],[G 5min]]*$O$26-$O$27))</f>
        <v>-3.7283393805079239</v>
      </c>
      <c r="T7" s="6">
        <f>-$N$29/LN((Table137[[#This Row],[G 10min]]-1)/(Table137[[#This Row],[G 10min]]*$O$26-$O$27))</f>
        <v>-3.6604386068588015</v>
      </c>
      <c r="U7" s="6">
        <f>-$N$29/LN((Table137[[#This Row],[G 15min]]-1)/(Table137[[#This Row],[G 15min]]*$O$26-$O$27))</f>
        <v>-4.3534701850085877</v>
      </c>
      <c r="V7" s="6">
        <f>-$N$29/LN((Table137[[#This Row],[G 20min]]-1)/(Table137[[#This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Table4136[[#This Row],[2 - Pre]]*$N$27/(Table4136[[#This Row],[10 - pre]]*$N$26)</f>
        <v>1.8651689214168614</v>
      </c>
      <c r="N8" s="6">
        <f>Table4136[[#This Row],[2 - Post 5min]]*$N$27/(Table4136[[#This Row],[10 - Post 5min]]*$N$26)</f>
        <v>0.82829105162858296</v>
      </c>
      <c r="O8" s="6">
        <f>Table4136[[#This Row],[2 - Post 10min]]*$N$27/(Table4136[[#This Row],[10 - Post 10min]]*$N$26)</f>
        <v>0.59669625133427107</v>
      </c>
      <c r="P8" s="6">
        <f>Table4136[[#This Row],[2 - Post 15min]]*$N$27/(Table4136[[#This Row],[10 - Post 15min]]*$N$26)</f>
        <v>0.70885848591152933</v>
      </c>
      <c r="Q8" s="6">
        <f>Table4136[[#This Row],[2 - Post 20min]]*$N$27/(Table4136[[#This Row],[10 - Post 20min]]*$N$26)</f>
        <v>0.60113595203938008</v>
      </c>
      <c r="R8" s="6">
        <f>-$N$29/LN((Table137[[#This Row],[G Pre]]-1)/(Table137[[#This Row],[G Pre]]*$O$26-$O$27))</f>
        <v>10.05211151516966</v>
      </c>
      <c r="S8" s="6">
        <f>-$N$29/LN((Table137[[#This Row],[G 5min]]-1)/(Table137[[#This Row],[G 5min]]*$O$26-$O$27))</f>
        <v>-1.8116836674520544</v>
      </c>
      <c r="T8" s="6">
        <f>-$N$29/LN((Table137[[#This Row],[G 10min]]-1)/(Table137[[#This Row],[G 10min]]*$O$26-$O$27))</f>
        <v>-4.3244746908411296</v>
      </c>
      <c r="U8" s="6">
        <f>-$N$29/LN((Table137[[#This Row],[G 15min]]-1)/(Table137[[#This Row],[G 15min]]*$O$26-$O$27))</f>
        <v>-3.1136602927528765</v>
      </c>
      <c r="V8" s="6">
        <f>-$N$29/LN((Table137[[#This Row],[G 20min]]-1)/(Table137[[#This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Table4136[[#This Row],[2 - Pre]]*$N$27/(Table4136[[#This Row],[10 - pre]]*$N$26)</f>
        <v>1.0761081462020172</v>
      </c>
      <c r="N9" s="6">
        <f>Table4136[[#This Row],[2 - Post 5min]]*$N$27/(Table4136[[#This Row],[10 - Post 5min]]*$N$26)</f>
        <v>0.61644117321386094</v>
      </c>
      <c r="O9" s="6">
        <f>Table4136[[#This Row],[2 - Post 10min]]*$N$27/(Table4136[[#This Row],[10 - Post 10min]]*$N$26)</f>
        <v>0.57876429367182092</v>
      </c>
      <c r="P9" s="6">
        <f>Table4136[[#This Row],[2 - Post 15min]]*$N$27/(Table4136[[#This Row],[10 - Post 15min]]*$N$26)</f>
        <v>0.4506114909274691</v>
      </c>
      <c r="Q9" s="6">
        <f>Table4136[[#This Row],[2 - Post 20min]]*$N$27/(Table4136[[#This Row],[10 - Post 20min]]*$N$26)</f>
        <v>0.40317239375980818</v>
      </c>
      <c r="R9" s="6">
        <f>-$N$29/LN((Table137[[#This Row],[G Pre]]-1)/(Table137[[#This Row],[G Pre]]*$O$26-$O$27))</f>
        <v>0.92680581004725049</v>
      </c>
      <c r="S9" s="6">
        <f>-$N$29/LN((Table137[[#This Row],[G 5min]]-1)/(Table137[[#This Row],[G 5min]]*$O$26-$O$27))</f>
        <v>-4.1121424643846982</v>
      </c>
      <c r="T9" s="6">
        <f>-$N$29/LN((Table137[[#This Row],[G 10min]]-1)/(Table137[[#This Row],[G 10min]]*$O$26-$O$27))</f>
        <v>-4.5170103568036657</v>
      </c>
      <c r="U9" s="6">
        <f>-$N$29/LN((Table137[[#This Row],[G 15min]]-1)/(Table137[[#This Row],[G 15min]]*$O$26-$O$27))</f>
        <v>-5.8847397764055129</v>
      </c>
      <c r="V9" s="6">
        <f>-$N$29/LN((Table137[[#This Row],[G 20min]]-1)/(Table137[[#This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Table4136[[#This Row],[2 - Pre]]*$N$27/(Table4136[[#This Row],[10 - pre]]*$N$26)</f>
        <v>1.2250269361684927</v>
      </c>
      <c r="N10" s="6">
        <f>Table4136[[#This Row],[2 - Post 5min]]*$N$27/(Table4136[[#This Row],[10 - Post 5min]]*$N$26)</f>
        <v>1.6892170134301183</v>
      </c>
      <c r="O10" s="6">
        <f>Table4136[[#This Row],[2 - Post 10min]]*$N$27/(Table4136[[#This Row],[10 - Post 10min]]*$N$26)</f>
        <v>0.4857926927804932</v>
      </c>
      <c r="P10" s="6">
        <f>Table4136[[#This Row],[2 - Post 15min]]*$N$27/(Table4136[[#This Row],[10 - Post 15min]]*$N$26)</f>
        <v>0.37583082315974381</v>
      </c>
      <c r="Q10" s="6">
        <f>Table4136[[#This Row],[2 - Post 20min]]*$N$27/(Table4136[[#This Row],[10 - Post 20min]]*$N$26)</f>
        <v>0.26131536205187744</v>
      </c>
      <c r="R10" s="6">
        <f>-$N$29/LN((Table137[[#This Row],[G Pre]]-1)/(Table137[[#This Row],[G Pre]]*$O$26-$O$27))</f>
        <v>2.6036530622777003</v>
      </c>
      <c r="S10" s="6">
        <f>-$N$29/LN((Table137[[#This Row],[G 5min]]-1)/(Table137[[#This Row],[G 5min]]*$O$26-$O$27))</f>
        <v>7.9640417126435494</v>
      </c>
      <c r="T10" s="6">
        <f>-$N$29/LN((Table137[[#This Row],[G 10min]]-1)/(Table137[[#This Row],[G 10min]]*$O$26-$O$27))</f>
        <v>-5.5106963953124328</v>
      </c>
      <c r="U10" s="6">
        <f>-$N$29/LN((Table137[[#This Row],[G 15min]]-1)/(Table137[[#This Row],[G 15min]]*$O$26-$O$27))</f>
        <v>-6.6762325775811577</v>
      </c>
      <c r="V10" s="6">
        <f>-$N$29/LN((Table137[[#This Row],[G 20min]]-1)/(Table137[[#This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Table4136[[#This Row],[2 - Pre]]*$N$27/(Table4136[[#This Row],[10 - pre]]*$N$26)</f>
        <v>1.4182390032924583</v>
      </c>
      <c r="N11" s="6">
        <f>Table4136[[#This Row],[2 - Post 5min]]*$N$27/(Table4136[[#This Row],[10 - Post 5min]]*$N$26)</f>
        <v>0.65854463265290519</v>
      </c>
      <c r="O11" s="6">
        <f>Table4136[[#This Row],[2 - Post 10min]]*$N$27/(Table4136[[#This Row],[10 - Post 10min]]*$N$26)</f>
        <v>0.67073776993719925</v>
      </c>
      <c r="P11" s="6">
        <f>Table4136[[#This Row],[2 - Post 15min]]*$N$27/(Table4136[[#This Row],[10 - Post 15min]]*$N$26)</f>
        <v>0.38841007277136252</v>
      </c>
      <c r="Q11" s="6">
        <f>Table4136[[#This Row],[2 - Post 20min]]*$N$27/(Table4136[[#This Row],[10 - Post 20min]]*$N$26)</f>
        <v>0.36575173776984826</v>
      </c>
      <c r="R11" s="6">
        <f>-$N$29/LN((Table137[[#This Row],[G Pre]]-1)/(Table137[[#This Row],[G Pre]]*$O$26-$O$27))</f>
        <v>4.8092811493515999</v>
      </c>
      <c r="S11" s="6">
        <f>-$N$29/LN((Table137[[#This Row],[G 5min]]-1)/(Table137[[#This Row],[G 5min]]*$O$26-$O$27))</f>
        <v>-3.6582083250239772</v>
      </c>
      <c r="T11" s="6">
        <f>-$N$29/LN((Table137[[#This Row],[G 10min]]-1)/(Table137[[#This Row],[G 10min]]*$O$26-$O$27))</f>
        <v>-3.5264519636177609</v>
      </c>
      <c r="U11" s="6">
        <f>-$N$29/LN((Table137[[#This Row],[G 15min]]-1)/(Table137[[#This Row],[G 15min]]*$O$26-$O$27))</f>
        <v>-6.5434294777774351</v>
      </c>
      <c r="V11" s="6">
        <f>-$N$29/LN((Table137[[#This Row],[G 20min]]-1)/(Table137[[#This Row],[G 20min]]*$O$26-$O$27))</f>
        <v>-6.7825423531739863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Table4136[[#This Row],[2 - Pre]]*$N$27/(Table4136[[#This Row],[10 - pre]]*$N$26)</f>
        <v>#DIV/0!</v>
      </c>
      <c r="N12" s="6" t="e">
        <f>Table4136[[#This Row],[2 - Post 5min]]*$N$27/(Table4136[[#This Row],[10 - Post 5min]]*$N$26)</f>
        <v>#DIV/0!</v>
      </c>
      <c r="O12" s="6" t="e">
        <f>Table4136[[#This Row],[2 - Post 10min]]*$N$27/(Table4136[[#This Row],[10 - Post 10min]]*$N$26)</f>
        <v>#DIV/0!</v>
      </c>
      <c r="P12" s="6" t="e">
        <f>Table4136[[#This Row],[2 - Post 15min]]*$N$27/(Table4136[[#This Row],[10 - Post 15min]]*$N$26)</f>
        <v>#DIV/0!</v>
      </c>
      <c r="Q12" s="6" t="e">
        <f>Table4136[[#This Row],[2 - Post 20min]]*$N$27/(Table4136[[#This Row],[10 - Post 20min]]*$N$26)</f>
        <v>#DIV/0!</v>
      </c>
      <c r="R12" s="6" t="e">
        <f>-$N$29/LN((Table137[[#This Row],[G Pre]]-1)/(Table137[[#This Row],[G Pre]]*$O$26-$O$27))</f>
        <v>#DIV/0!</v>
      </c>
      <c r="S12" s="6" t="e">
        <f>-$N$29/LN((Table137[[#This Row],[G 5min]]-1)/(Table137[[#This Row],[G 5min]]*$O$26-$O$27))</f>
        <v>#DIV/0!</v>
      </c>
      <c r="T12" s="6" t="e">
        <f>-$N$29/LN((Table137[[#This Row],[G 10min]]-1)/(Table137[[#This Row],[G 10min]]*$O$26-$O$27))</f>
        <v>#DIV/0!</v>
      </c>
      <c r="U12" s="6" t="e">
        <f>-$N$29/LN((Table137[[#This Row],[G 15min]]-1)/(Table137[[#This Row],[G 15min]]*$O$26-$O$27))</f>
        <v>#DIV/0!</v>
      </c>
      <c r="V12" s="6" t="e">
        <f>-$N$29/LN((Table137[[#This Row],[G 20min]]-1)/(Table137[[#This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Table4136[[#This Row],[2 - Pre]]*$N$27/(Table4136[[#This Row],[10 - pre]]*$N$26)</f>
        <v>1.2363071881879082</v>
      </c>
      <c r="N13" s="6">
        <f>Table4136[[#This Row],[2 - Post 5min]]*$N$27/(Table4136[[#This Row],[10 - Post 5min]]*$N$26)</f>
        <v>0.77638274420849485</v>
      </c>
      <c r="O13" s="6">
        <f>Table4136[[#This Row],[2 - Post 10min]]*$N$27/(Table4136[[#This Row],[10 - Post 10min]]*$N$26)</f>
        <v>0.78245123658299054</v>
      </c>
      <c r="P13" s="6">
        <f>Table4136[[#This Row],[2 - Post 15min]]*$N$27/(Table4136[[#This Row],[10 - Post 15min]]*$N$26)</f>
        <v>0.63805596687220767</v>
      </c>
      <c r="Q13" s="6">
        <f>Table4136[[#This Row],[2 - Post 20min]]*$N$27/(Table4136[[#This Row],[10 - Post 20min]]*$N$26)</f>
        <v>0.58844490689280748</v>
      </c>
      <c r="R13" s="6">
        <f>-$N$29/LN((Table137[[#This Row],[G Pre]]-1)/(Table137[[#This Row],[G Pre]]*$O$26-$O$27))</f>
        <v>2.7314522927350668</v>
      </c>
      <c r="S13" s="6">
        <f>-$N$29/LN((Table137[[#This Row],[G 5min]]-1)/(Table137[[#This Row],[G 5min]]*$O$26-$O$27))</f>
        <v>-2.3792037540345978</v>
      </c>
      <c r="T13" s="6">
        <f>-$N$29/LN((Table137[[#This Row],[G 10min]]-1)/(Table137[[#This Row],[G 10min]]*$O$26-$O$27))</f>
        <v>-2.3129893421672998</v>
      </c>
      <c r="U13" s="6">
        <f>-$N$29/LN((Table137[[#This Row],[G 15min]]-1)/(Table137[[#This Row],[G 15min]]*$O$26-$O$27))</f>
        <v>-3.879303185844166</v>
      </c>
      <c r="V13" s="6">
        <f>-$N$29/LN((Table137[[#This Row],[G 20min]]-1)/(Table137[[#This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Table4136[[#This Row],[2 - Pre]]*$N$27/(Table4136[[#This Row],[10 - pre]]*$N$26)</f>
        <v>1.0619232192284132</v>
      </c>
      <c r="N14" s="6">
        <f>Table4136[[#This Row],[2 - Post 5min]]*$N$27/(Table4136[[#This Row],[10 - Post 5min]]*$N$26)</f>
        <v>0.57048080817198843</v>
      </c>
      <c r="O14" s="6">
        <f>Table4136[[#This Row],[2 - Post 10min]]*$N$27/(Table4136[[#This Row],[10 - Post 10min]]*$N$26)</f>
        <v>0.66189947040426877</v>
      </c>
      <c r="P14" s="6">
        <f>Table4136[[#This Row],[2 - Post 15min]]*$N$27/(Table4136[[#This Row],[10 - Post 15min]]*$N$26)</f>
        <v>0.45579470559389446</v>
      </c>
      <c r="Q14" s="6">
        <f>Table4136[[#This Row],[2 - Post 20min]]*$N$27/(Table4136[[#This Row],[10 - Post 20min]]*$N$26)</f>
        <v>0.37011442608903877</v>
      </c>
      <c r="R14" s="6">
        <f>-$N$29/LN((Table137[[#This Row],[G Pre]]-1)/(Table137[[#This Row],[G Pre]]*$O$26-$O$27))</f>
        <v>0.767828532523677</v>
      </c>
      <c r="S14" s="6">
        <f>-$N$29/LN((Table137[[#This Row],[G 5min]]-1)/(Table137[[#This Row],[G 5min]]*$O$26-$O$27))</f>
        <v>-4.605853961975293</v>
      </c>
      <c r="T14" s="6">
        <f>-$N$29/LN((Table137[[#This Row],[G 10min]]-1)/(Table137[[#This Row],[G 10min]]*$O$26-$O$27))</f>
        <v>-3.6219700453603019</v>
      </c>
      <c r="U14" s="6">
        <f>-$N$29/LN((Table137[[#This Row],[G 15min]]-1)/(Table137[[#This Row],[G 15min]]*$O$26-$O$27))</f>
        <v>-5.8297000262282515</v>
      </c>
      <c r="V14" s="6">
        <f>-$N$29/LN((Table137[[#This Row],[G 20min]]-1)/(Table137[[#This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Table4136[[#This Row],[2 - Pre]]*$N$27/(Table4136[[#This Row],[10 - pre]]*$N$26)</f>
        <v>0.97612846352329496</v>
      </c>
      <c r="N15" s="6">
        <f>Table4136[[#This Row],[2 - Post 5min]]*$N$27/(Table4136[[#This Row],[10 - Post 5min]]*$N$26)</f>
        <v>0.60100071503119057</v>
      </c>
      <c r="O15" s="6">
        <f>Table4136[[#This Row],[2 - Post 10min]]*$N$27/(Table4136[[#This Row],[10 - Post 10min]]*$N$26)</f>
        <v>0.49939512723837526</v>
      </c>
      <c r="P15" s="6">
        <f>Table4136[[#This Row],[2 - Post 15min]]*$N$27/(Table4136[[#This Row],[10 - Post 15min]]*$N$26)</f>
        <v>0.33405324187125984</v>
      </c>
      <c r="Q15" s="6">
        <f>Table4136[[#This Row],[2 - Post 20min]]*$N$27/(Table4136[[#This Row],[10 - Post 20min]]*$N$26)</f>
        <v>0.30550067794450114</v>
      </c>
      <c r="R15" s="6">
        <f>-$N$29/LN((Table137[[#This Row],[G Pre]]-1)/(Table137[[#This Row],[G Pre]]*$O$26-$O$27))</f>
        <v>-0.17134143476079591</v>
      </c>
      <c r="S15" s="6">
        <f>-$N$29/LN((Table137[[#This Row],[G 5min]]-1)/(Table137[[#This Row],[G 5min]]*$O$26-$O$27))</f>
        <v>-4.278215092246346</v>
      </c>
      <c r="T15" s="6">
        <f>-$N$29/LN((Table137[[#This Row],[G 10min]]-1)/(Table137[[#This Row],[G 10min]]*$O$26-$O$27))</f>
        <v>-5.3657869150485897</v>
      </c>
      <c r="U15" s="6">
        <f>-$N$29/LN((Table137[[#This Row],[G 15min]]-1)/(Table137[[#This Row],[G 15min]]*$O$26-$O$27))</f>
        <v>-7.1163155119789065</v>
      </c>
      <c r="V15" s="6">
        <f>-$N$29/LN((Table137[[#This Row],[G 20min]]-1)/(Table137[[#This Row],[G 20min]]*$O$26-$O$27))</f>
        <v>-7.4162266872750875</v>
      </c>
    </row>
    <row r="16" spans="1:46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Table4136[[#This Row],[2 - Pre]]*$N$27/(Table4136[[#This Row],[10 - pre]]*$N$26)</f>
        <v>#DIV/0!</v>
      </c>
      <c r="N16" s="6">
        <f>Table4136[[#This Row],[2 - Post 5min]]*$N$27/(Table4136[[#This Row],[10 - Post 5min]]*$N$26)</f>
        <v>0.43684463488310199</v>
      </c>
      <c r="O16" s="6">
        <f>Table4136[[#This Row],[2 - Post 10min]]*$N$27/(Table4136[[#This Row],[10 - Post 10min]]*$N$26)</f>
        <v>0.31775768202053734</v>
      </c>
      <c r="P16" s="6">
        <f>Table4136[[#This Row],[2 - Post 15min]]*$N$27/(Table4136[[#This Row],[10 - Post 15min]]*$N$26)</f>
        <v>0.34798124931346058</v>
      </c>
      <c r="Q16" s="6">
        <f>Table4136[[#This Row],[2 - Post 20min]]*$N$27/(Table4136[[#This Row],[10 - Post 20min]]*$N$26)</f>
        <v>0.37686678742338203</v>
      </c>
      <c r="R16" s="6" t="e">
        <f>-$N$29/LN((Table137[[#This Row],[G Pre]]-1)/(Table137[[#This Row],[G Pre]]*$O$26-$O$27))</f>
        <v>#DIV/0!</v>
      </c>
      <c r="S16" s="6">
        <f>-$N$29/LN((Table137[[#This Row],[G 5min]]-1)/(Table137[[#This Row],[G 5min]]*$O$26-$O$27))</f>
        <v>-6.0308145065839218</v>
      </c>
      <c r="T16" s="6">
        <f>-$N$29/LN((Table137[[#This Row],[G 10min]]-1)/(Table137[[#This Row],[G 10min]]*$O$26-$O$27))</f>
        <v>-7.2875665789892015</v>
      </c>
      <c r="U16" s="6">
        <f>-$N$29/LN((Table137[[#This Row],[G 15min]]-1)/(Table137[[#This Row],[G 15min]]*$O$26-$O$27))</f>
        <v>-6.9697650255710979</v>
      </c>
      <c r="V16" s="6">
        <f>-$N$29/LN((Table137[[#This Row],[G 20min]]-1)/(Table137[[#This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Table4136[[#This Row],[2 - Pre]]*$N$27/(Table4136[[#This Row],[10 - pre]]*$N$26)</f>
        <v>1.5105493732650053</v>
      </c>
      <c r="N17" s="6">
        <f>Table4136[[#This Row],[2 - Post 5min]]*$N$27/(Table4136[[#This Row],[10 - Post 5min]]*$N$26)</f>
        <v>0.66099723473562866</v>
      </c>
      <c r="O17" s="6">
        <f>Table4136[[#This Row],[2 - Post 10min]]*$N$27/(Table4136[[#This Row],[10 - Post 10min]]*$N$26)</f>
        <v>0.64855616265651139</v>
      </c>
      <c r="P17" s="6">
        <f>Table4136[[#This Row],[2 - Post 15min]]*$N$27/(Table4136[[#This Row],[10 - Post 15min]]*$N$26)</f>
        <v>0.6217384236964516</v>
      </c>
      <c r="Q17" s="6">
        <f>Table4136[[#This Row],[2 - Post 20min]]*$N$27/(Table4136[[#This Row],[10 - Post 20min]]*$N$26)</f>
        <v>0.61344544151812763</v>
      </c>
      <c r="R17" s="6">
        <f>-$N$29/LN((Table137[[#This Row],[G Pre]]-1)/(Table137[[#This Row],[G Pre]]*$O$26-$O$27))</f>
        <v>5.8757962590103148</v>
      </c>
      <c r="S17" s="6">
        <f>-$N$29/LN((Table137[[#This Row],[G 5min]]-1)/(Table137[[#This Row],[G 5min]]*$O$26-$O$27))</f>
        <v>-3.631716809050217</v>
      </c>
      <c r="T17" s="6">
        <f>-$N$29/LN((Table137[[#This Row],[G 10min]]-1)/(Table137[[#This Row],[G 10min]]*$O$26-$O$27))</f>
        <v>-3.7660418111737894</v>
      </c>
      <c r="U17" s="6">
        <f>-$N$29/LN((Table137[[#This Row],[G 15min]]-1)/(Table137[[#This Row],[G 15min]]*$O$26-$O$27))</f>
        <v>-4.0551179547737588</v>
      </c>
      <c r="V17" s="6">
        <f>-$N$29/LN((Table137[[#This Row],[G 20min]]-1)/(Table137[[#This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Table4136[[#This Row],[2 - Pre]]*$N$27/(Table4136[[#This Row],[10 - pre]]*$N$26)</f>
        <v>1.5694549972273848</v>
      </c>
      <c r="N18" s="6">
        <f>Table4136[[#This Row],[2 - Post 5min]]*$N$27/(Table4136[[#This Row],[10 - Post 5min]]*$N$26)</f>
        <v>0.82602312065182359</v>
      </c>
      <c r="O18" s="6">
        <f>Table4136[[#This Row],[2 - Post 10min]]*$N$27/(Table4136[[#This Row],[10 - Post 10min]]*$N$26)</f>
        <v>0.78806245165314204</v>
      </c>
      <c r="P18" s="6">
        <f>Table4136[[#This Row],[2 - Post 15min]]*$N$27/(Table4136[[#This Row],[10 - Post 15min]]*$N$26)</f>
        <v>0.52790424087456678</v>
      </c>
      <c r="Q18" s="6">
        <f>Table4136[[#This Row],[2 - Post 20min]]*$N$27/(Table4136[[#This Row],[10 - Post 20min]]*$N$26)</f>
        <v>0.48868900631629913</v>
      </c>
      <c r="R18" s="6">
        <f>-$N$29/LN((Table137[[#This Row],[G Pre]]-1)/(Table137[[#This Row],[G Pre]]*$O$26-$O$27))</f>
        <v>6.5607565654040521</v>
      </c>
      <c r="S18" s="6">
        <f>-$N$29/LN((Table137[[#This Row],[G 5min]]-1)/(Table137[[#This Row],[G 5min]]*$O$26-$O$27))</f>
        <v>-1.8365340138800161</v>
      </c>
      <c r="T18" s="6">
        <f>-$N$29/LN((Table137[[#This Row],[G 10min]]-1)/(Table137[[#This Row],[G 10min]]*$O$26-$O$27))</f>
        <v>-2.2517333782076125</v>
      </c>
      <c r="U18" s="6">
        <f>-$N$29/LN((Table137[[#This Row],[G 15min]]-1)/(Table137[[#This Row],[G 15min]]*$O$26-$O$27))</f>
        <v>-5.0615476428904129</v>
      </c>
      <c r="V18" s="6">
        <f>-$N$29/LN((Table137[[#This Row],[G 20min]]-1)/(Table137[[#This Row],[G 20min]]*$O$26-$O$27))</f>
        <v>-5.4798549404960131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Table4136[[#This Row],[2 - Pre]]*$N$27/(Table4136[[#This Row],[10 - pre]]*$N$26)</f>
        <v>#DIV/0!</v>
      </c>
      <c r="N19" s="6" t="e">
        <f>Table4136[[#This Row],[2 - Post 5min]]*$N$27/(Table4136[[#This Row],[10 - Post 5min]]*$N$26)</f>
        <v>#DIV/0!</v>
      </c>
      <c r="O19" s="6" t="e">
        <f>Table4136[[#This Row],[2 - Post 10min]]*$N$27/(Table4136[[#This Row],[10 - Post 10min]]*$N$26)</f>
        <v>#DIV/0!</v>
      </c>
      <c r="P19" s="6" t="e">
        <f>Table4136[[#This Row],[2 - Post 15min]]*$N$27/(Table4136[[#This Row],[10 - Post 15min]]*$N$26)</f>
        <v>#DIV/0!</v>
      </c>
      <c r="Q19" s="6" t="e">
        <f>Table4136[[#This Row],[2 - Post 20min]]*$N$27/(Table4136[[#This Row],[10 - Post 20min]]*$N$26)</f>
        <v>#DIV/0!</v>
      </c>
      <c r="R19" s="6" t="e">
        <f>-$N$29/LN((Table137[[#This Row],[G Pre]]-1)/(Table137[[#This Row],[G Pre]]*$O$26-$O$27))</f>
        <v>#DIV/0!</v>
      </c>
      <c r="S19" s="6" t="e">
        <f>-$N$29/LN((Table137[[#This Row],[G 5min]]-1)/(Table137[[#This Row],[G 5min]]*$O$26-$O$27))</f>
        <v>#DIV/0!</v>
      </c>
      <c r="T19" s="6" t="e">
        <f>-$N$29/LN((Table137[[#This Row],[G 10min]]-1)/(Table137[[#This Row],[G 10min]]*$O$26-$O$27))</f>
        <v>#DIV/0!</v>
      </c>
      <c r="U19" s="6" t="e">
        <f>-$N$29/LN((Table137[[#This Row],[G 15min]]-1)/(Table137[[#This Row],[G 15min]]*$O$26-$O$27))</f>
        <v>#DIV/0!</v>
      </c>
      <c r="V19" s="6" t="e">
        <f>-$N$29/LN((Table137[[#This Row],[G 20min]]-1)/(Table137[[#This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Table4136[[#This Row],[2 - Pre]]*$N$27/(Table4136[[#This Row],[10 - pre]]*$N$26)</f>
        <v>1.3738618619733964</v>
      </c>
      <c r="N20" s="6">
        <f>Table4136[[#This Row],[2 - Post 5min]]*$N$27/(Table4136[[#This Row],[10 - Post 5min]]*$N$26)</f>
        <v>0.79023971228624246</v>
      </c>
      <c r="O20" s="6">
        <f>Table4136[[#This Row],[2 - Post 10min]]*$N$27/(Table4136[[#This Row],[10 - Post 10min]]*$N$26)</f>
        <v>0.66272534536309091</v>
      </c>
      <c r="P20" s="6">
        <f>Table4136[[#This Row],[2 - Post 15min]]*$N$27/(Table4136[[#This Row],[10 - Post 15min]]*$N$26)</f>
        <v>0.63667934148405081</v>
      </c>
      <c r="Q20" s="6">
        <f>Table4136[[#This Row],[2 - Post 20min]]*$N$27/(Table4136[[#This Row],[10 - Post 20min]]*$N$26)</f>
        <v>0.64230102168288161</v>
      </c>
      <c r="R20" s="6">
        <f>-$N$29/LN((Table137[[#This Row],[G Pre]]-1)/(Table137[[#This Row],[G Pre]]*$O$26-$O$27))</f>
        <v>4.2995258386704629</v>
      </c>
      <c r="S20" s="6">
        <f>-$N$29/LN((Table137[[#This Row],[G 5min]]-1)/(Table137[[#This Row],[G 5min]]*$O$26-$O$27))</f>
        <v>-2.227956825430629</v>
      </c>
      <c r="T20" s="6">
        <f>-$N$29/LN((Table137[[#This Row],[G 10min]]-1)/(Table137[[#This Row],[G 10min]]*$O$26-$O$27))</f>
        <v>-3.6130475561858288</v>
      </c>
      <c r="U20" s="6">
        <f>-$N$29/LN((Table137[[#This Row],[G 15min]]-1)/(Table137[[#This Row],[G 15min]]*$O$26-$O$27))</f>
        <v>-3.8941449584110299</v>
      </c>
      <c r="V20" s="6">
        <f>-$N$29/LN((Table137[[#This Row],[G 20min]]-1)/(Table137[[#This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Table4136[[#This Row],[2 - Pre]]*$N$27/(Table4136[[#This Row],[10 - pre]]*$N$26)</f>
        <v>1.1528870038881018</v>
      </c>
      <c r="N21" s="6">
        <f>Table4136[[#This Row],[2 - Post 5min]]*$N$27/(Table4136[[#This Row],[10 - Post 5min]]*$N$26)</f>
        <v>1.3454725169681516</v>
      </c>
      <c r="O21" s="6">
        <f>Table4136[[#This Row],[2 - Post 10min]]*$N$27/(Table4136[[#This Row],[10 - Post 10min]]*$N$26)</f>
        <v>0.6366173964721743</v>
      </c>
      <c r="P21" s="6">
        <f>Table4136[[#This Row],[2 - Post 15min]]*$N$27/(Table4136[[#This Row],[10 - Post 15min]]*$N$26)</f>
        <v>0.62608330753810471</v>
      </c>
      <c r="Q21" s="6">
        <f>Table4136[[#This Row],[2 - Post 20min]]*$N$27/(Table4136[[#This Row],[10 - Post 20min]]*$N$26)</f>
        <v>0.55348396844773273</v>
      </c>
      <c r="R21" s="6">
        <f>-$N$29/LN((Table137[[#This Row],[G Pre]]-1)/(Table137[[#This Row],[G Pre]]*$O$26-$O$27))</f>
        <v>1.7890805986638842</v>
      </c>
      <c r="S21" s="6">
        <f>-$N$29/LN((Table137[[#This Row],[G 5min]]-1)/(Table137[[#This Row],[G 5min]]*$O$26-$O$27))</f>
        <v>3.9744191108492002</v>
      </c>
      <c r="T21" s="6">
        <f>-$N$29/LN((Table137[[#This Row],[G 10min]]-1)/(Table137[[#This Row],[G 10min]]*$O$26-$O$27))</f>
        <v>-3.8948127645071087</v>
      </c>
      <c r="U21" s="6">
        <f>-$N$29/LN((Table137[[#This Row],[G 15min]]-1)/(Table137[[#This Row],[G 15min]]*$O$26-$O$27))</f>
        <v>-4.0083268935650134</v>
      </c>
      <c r="V21" s="6">
        <f>-$N$29/LN((Table137[[#This Row],[G 20min]]-1)/(Table137[[#This Row],[G 20min]]*$O$26-$O$27))</f>
        <v>-4.7879616123941267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Table4136[[#This Row],[2 - Pre]]*$N$27/(Table4136[[#This Row],[10 - pre]]*$N$26)</f>
        <v>#DIV/0!</v>
      </c>
      <c r="N22" s="6" t="e">
        <f>Table4136[[#This Row],[2 - Post 5min]]*$N$27/(Table4136[[#This Row],[10 - Post 5min]]*$N$26)</f>
        <v>#DIV/0!</v>
      </c>
      <c r="O22" s="6" t="e">
        <f>Table4136[[#This Row],[2 - Post 10min]]*$N$27/(Table4136[[#This Row],[10 - Post 10min]]*$N$26)</f>
        <v>#DIV/0!</v>
      </c>
      <c r="P22" s="6" t="e">
        <f>Table4136[[#This Row],[2 - Post 15min]]*$N$27/(Table4136[[#This Row],[10 - Post 15min]]*$N$26)</f>
        <v>#DIV/0!</v>
      </c>
      <c r="Q22" s="6" t="e">
        <f>Table4136[[#This Row],[2 - Post 20min]]*$N$27/(Table4136[[#This Row],[10 - Post 20min]]*$N$26)</f>
        <v>#DIV/0!</v>
      </c>
      <c r="R22" s="6" t="e">
        <f>-$N$29/LN((Table137[[#This Row],[G Pre]]-1)/(Table137[[#This Row],[G Pre]]*$O$26-$O$27))</f>
        <v>#DIV/0!</v>
      </c>
      <c r="S22" s="6" t="e">
        <f>-$N$29/LN((Table137[[#This Row],[G 5min]]-1)/(Table137[[#This Row],[G 5min]]*$O$26-$O$27))</f>
        <v>#DIV/0!</v>
      </c>
      <c r="T22" s="6" t="e">
        <f>-$N$29/LN((Table137[[#This Row],[G 10min]]-1)/(Table137[[#This Row],[G 10min]]*$O$26-$O$27))</f>
        <v>#DIV/0!</v>
      </c>
      <c r="U22" s="6" t="e">
        <f>-$N$29/LN((Table137[[#This Row],[G 15min]]-1)/(Table137[[#This Row],[G 15min]]*$O$26-$O$27))</f>
        <v>#DIV/0!</v>
      </c>
      <c r="V22" s="6" t="e">
        <f>-$N$29/LN((Table137[[#This Row],[G 20min]]-1)/(Table137[[#This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Table4136[[#This Row],[2 - Pre]]*$N$27/(Table4136[[#This Row],[10 - pre]]*$N$26)</f>
        <v>1.3380704444072569</v>
      </c>
      <c r="N23" s="6">
        <f>Table4136[[#This Row],[2 - Post 5min]]*$N$27/(Table4136[[#This Row],[10 - Post 5min]]*$N$26)</f>
        <v>0.6211020799720649</v>
      </c>
      <c r="O23" s="6">
        <f>Table4136[[#This Row],[2 - Post 10min]]*$N$27/(Table4136[[#This Row],[10 - Post 10min]]*$N$26)</f>
        <v>0.58927846066646894</v>
      </c>
      <c r="P23" s="6">
        <f>Table4136[[#This Row],[2 - Post 15min]]*$N$27/(Table4136[[#This Row],[10 - Post 15min]]*$N$26)</f>
        <v>0.4255430917564314</v>
      </c>
      <c r="Q23" s="6">
        <f>Table4136[[#This Row],[2 - Post 20min]]*$N$27/(Table4136[[#This Row],[10 - Post 20min]]*$N$26)</f>
        <v>0.47547072229339005</v>
      </c>
      <c r="R23" s="6">
        <f>-$N$29/LN((Table137[[#This Row],[G Pre]]-1)/(Table137[[#This Row],[G Pre]]*$O$26-$O$27))</f>
        <v>3.8897800838098955</v>
      </c>
      <c r="S23" s="6">
        <f>-$N$29/LN((Table137[[#This Row],[G 5min]]-1)/(Table137[[#This Row],[G 5min]]*$O$26-$O$27))</f>
        <v>-4.0619694719356172</v>
      </c>
      <c r="T23" s="6">
        <f>-$N$29/LN((Table137[[#This Row],[G 10min]]-1)/(Table137[[#This Row],[G 10min]]*$O$26-$O$27))</f>
        <v>-4.4041542260278446</v>
      </c>
      <c r="U23" s="6">
        <f>-$N$29/LN((Table137[[#This Row],[G 15min]]-1)/(Table137[[#This Row],[G 15min]]*$O$26-$O$27))</f>
        <v>-6.15060781532015</v>
      </c>
      <c r="V23" s="6">
        <f>-$N$29/LN((Table137[[#This Row],[G 20min]]-1)/(Table137[[#This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Table413168[[#This Row],[2 - Pre]]*$N$27/(Table413168[[#This Row],[10 - pre]]*$N$26)</f>
        <v>#DIV/0!</v>
      </c>
      <c r="N31" s="6" t="e">
        <f>Table413168[[#This Row],[2 - Post 5min]]*$N$27/(Table413168[[#This Row],[10 - Post 5min]]*$N$26)</f>
        <v>#DIV/0!</v>
      </c>
      <c r="O31" s="6" t="e">
        <f>Table413168[[#This Row],[2 - Post 10min]]*$N$27/(Table413168[[#This Row],[10 - Post 10min]]*$N$26)</f>
        <v>#DIV/0!</v>
      </c>
      <c r="P31" s="6" t="e">
        <f>Table413168[[#This Row],[2 - Post 15min]]*$N$27/(Table413168[[#This Row],[10 - Post 15min]]*$N$26)</f>
        <v>#DIV/0!</v>
      </c>
      <c r="Q31" s="6" t="e">
        <f>Table413168[[#This Row],[2 - Post 20min]]*$N$27/(Table413168[[#This Row],[10 - Post 20min]]*$N$26)</f>
        <v>#DIV/0!</v>
      </c>
      <c r="R31" s="6" t="e">
        <f>-$N$29/LN((Table131710[[#This Row],[G Pre]]-1)/(Table131710[[#This Row],[G Pre]]*$O$26-$O$27))</f>
        <v>#DIV/0!</v>
      </c>
      <c r="S31" s="6" t="e">
        <f>-$N$29/LN((Table131710[[#This Row],[G 5min]]-1)/(Table131710[[#This Row],[G 5min]]*$O$26-$O$27))</f>
        <v>#DIV/0!</v>
      </c>
      <c r="T31" s="6" t="e">
        <f>-$N$29/LN((Table131710[[#This Row],[G 10min]]-1)/(Table131710[[#This Row],[G 10min]]*$O$26-$O$27))</f>
        <v>#DIV/0!</v>
      </c>
      <c r="U31" s="6" t="e">
        <f>-$N$29/LN((Table131710[[#This Row],[G 15min]]-1)/(Table131710[[#This Row],[G 15min]]*$O$26-$O$27))</f>
        <v>#DIV/0!</v>
      </c>
      <c r="V31" s="6" t="e">
        <f>-$N$29/LN((Table131710[[#This Row],[G 20min]]-1)/(Table131710[[#This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M32" s="6">
        <f>Table413168[[#This Row],[2 - Pre]]*$N$27/(Table413168[[#This Row],[10 - pre]]*$N$26)</f>
        <v>1.3008056773482592</v>
      </c>
      <c r="N32" s="6">
        <f>Table413168[[#This Row],[2 - Post 5min]]*$N$27/(Table413168[[#This Row],[10 - Post 5min]]*$N$26)</f>
        <v>0.56103467402957685</v>
      </c>
      <c r="O32" s="6">
        <f>Table413168[[#This Row],[2 - Post 10min]]*$N$27/(Table413168[[#This Row],[10 - Post 10min]]*$N$26)</f>
        <v>0.60639839238045823</v>
      </c>
      <c r="P32" s="6">
        <f>Table413168[[#This Row],[2 - Post 15min]]*$N$27/(Table413168[[#This Row],[10 - Post 15min]]*$N$26)</f>
        <v>0.51597758507578595</v>
      </c>
      <c r="Q32" s="6">
        <f>Table413168[[#This Row],[2 - Post 20min]]*$N$27/(Table413168[[#This Row],[10 - Post 20min]]*$N$26)</f>
        <v>0.41104767381925505</v>
      </c>
      <c r="R32" s="6">
        <f>-$N$29/LN((Table131710[[#This Row],[G Pre]]-1)/(Table131710[[#This Row],[G Pre]]*$O$26-$O$27))</f>
        <v>3.4644722702092752</v>
      </c>
      <c r="S32" s="6">
        <f>-$N$29/LN((Table131710[[#This Row],[G 5min]]-1)/(Table131710[[#This Row],[G 5min]]*$O$26-$O$27))</f>
        <v>-4.7070933135798345</v>
      </c>
      <c r="T32" s="6">
        <f>-$N$29/LN((Table131710[[#This Row],[G 10min]]-1)/(Table131710[[#This Row],[G 10min]]*$O$26-$O$27))</f>
        <v>-4.2201835475697465</v>
      </c>
      <c r="U32" s="6">
        <f>-$N$29/LN((Table131710[[#This Row],[G 15min]]-1)/(Table131710[[#This Row],[G 15min]]*$O$26-$O$27))</f>
        <v>-5.1889115011302795</v>
      </c>
      <c r="V32" s="6">
        <f>-$N$29/LN((Table131710[[#This Row],[G 20min]]-1)/(Table131710[[#This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M33" s="6">
        <f>Table413168[[#This Row],[2 - Pre]]*$N$27/(Table413168[[#This Row],[10 - pre]]*$N$26)</f>
        <v>0.97902842296696546</v>
      </c>
      <c r="N33" s="6">
        <f>Table413168[[#This Row],[2 - Post 5min]]*$N$27/(Table413168[[#This Row],[10 - Post 5min]]*$N$26)</f>
        <v>1.2990717943440793</v>
      </c>
      <c r="O33" s="6">
        <f>Table413168[[#This Row],[2 - Post 10min]]*$N$27/(Table413168[[#This Row],[10 - Post 10min]]*$N$26)</f>
        <v>0.39924877543847781</v>
      </c>
      <c r="P33" s="6">
        <f>Table413168[[#This Row],[2 - Post 15min]]*$N$27/(Table413168[[#This Row],[10 - Post 15min]]*$N$26)</f>
        <v>0.37718974860519555</v>
      </c>
      <c r="Q33" s="6">
        <f>Table413168[[#This Row],[2 - Post 20min]]*$N$27/(Table413168[[#This Row],[10 - Post 20min]]*$N$26)</f>
        <v>0.44304003225359107</v>
      </c>
      <c r="R33" s="6">
        <f>-$N$29/LN((Table131710[[#This Row],[G Pre]]-1)/(Table131710[[#This Row],[G Pre]]*$O$26-$O$27))</f>
        <v>-0.13605787131971925</v>
      </c>
      <c r="S33" s="6">
        <f>-$N$29/LN((Table131710[[#This Row],[G 5min]]-1)/(Table131710[[#This Row],[G 5min]]*$O$26-$O$27))</f>
        <v>3.4447154610100181</v>
      </c>
      <c r="T33" s="6">
        <f>-$N$29/LN((Table131710[[#This Row],[G 10min]]-1)/(Table131710[[#This Row],[G 10min]]*$O$26-$O$27))</f>
        <v>-6.4288924635164983</v>
      </c>
      <c r="U33" s="6">
        <f>-$N$29/LN((Table131710[[#This Row],[G 15min]]-1)/(Table131710[[#This Row],[G 15min]]*$O$26-$O$27))</f>
        <v>-6.6618925402236338</v>
      </c>
      <c r="V33" s="6">
        <f>-$N$29/LN((Table131710[[#This Row],[G 20min]]-1)/(Table131710[[#This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M34" s="6">
        <f>Table413168[[#This Row],[2 - Pre]]*$N$27/(Table413168[[#This Row],[10 - pre]]*$N$26)</f>
        <v>1.1074198196834615</v>
      </c>
      <c r="N34" s="6">
        <f>Table413168[[#This Row],[2 - Post 5min]]*$N$27/(Table413168[[#This Row],[10 - Post 5min]]*$N$26)</f>
        <v>0.4421009458263927</v>
      </c>
      <c r="O34" s="6">
        <f>Table413168[[#This Row],[2 - Post 10min]]*$N$27/(Table413168[[#This Row],[10 - Post 10min]]*$N$26)</f>
        <v>0.47264535167549721</v>
      </c>
      <c r="P34" s="6">
        <f>Table413168[[#This Row],[2 - Post 15min]]*$N$27/(Table413168[[#This Row],[10 - Post 15min]]*$N$26)</f>
        <v>0.34409910450966785</v>
      </c>
      <c r="Q34" s="6">
        <f>Table413168[[#This Row],[2 - Post 20min]]*$N$27/(Table413168[[#This Row],[10 - Post 20min]]*$N$26)</f>
        <v>0.40296532360130377</v>
      </c>
      <c r="R34" s="6">
        <f>-$N$29/LN((Table131710[[#This Row],[G Pre]]-1)/(Table131710[[#This Row],[G Pre]]*$O$26-$O$27))</f>
        <v>1.277969836420177</v>
      </c>
      <c r="S34" s="6">
        <f>-$N$29/LN((Table131710[[#This Row],[G 5min]]-1)/(Table131710[[#This Row],[G 5min]]*$O$26-$O$27))</f>
        <v>-5.9750612730185466</v>
      </c>
      <c r="T34" s="6">
        <f>-$N$29/LN((Table131710[[#This Row],[G 10min]]-1)/(Table131710[[#This Row],[G 10min]]*$O$26-$O$27))</f>
        <v>-5.6506040204239216</v>
      </c>
      <c r="U34" s="6">
        <f>-$N$29/LN((Table131710[[#This Row],[G 15min]]-1)/(Table131710[[#This Row],[G 15min]]*$O$26-$O$27))</f>
        <v>-7.0106296625270215</v>
      </c>
      <c r="V34" s="6">
        <f>-$N$29/LN((Table131710[[#This Row],[G 20min]]-1)/(Table131710[[#This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M35" s="6">
        <f>Table413168[[#This Row],[2 - Pre]]*$N$27/(Table413168[[#This Row],[10 - pre]]*$N$26)</f>
        <v>1.0399483775522544</v>
      </c>
      <c r="N35" s="6">
        <f>Table413168[[#This Row],[2 - Post 5min]]*$N$27/(Table413168[[#This Row],[10 - Post 5min]]*$N$26)</f>
        <v>0.79633604859056928</v>
      </c>
      <c r="O35" s="6">
        <f>Table413168[[#This Row],[2 - Post 10min]]*$N$27/(Table413168[[#This Row],[10 - Post 10min]]*$N$26)</f>
        <v>0.66146699308703216</v>
      </c>
      <c r="P35" s="6">
        <f>Table413168[[#This Row],[2 - Post 15min]]*$N$27/(Table413168[[#This Row],[10 - Post 15min]]*$N$26)</f>
        <v>0.45624239362697383</v>
      </c>
      <c r="Q35" s="6">
        <f>Table413168[[#This Row],[2 - Post 20min]]*$N$27/(Table413168[[#This Row],[10 - Post 20min]]*$N$26)</f>
        <v>0.3559580103822868</v>
      </c>
      <c r="R35" s="6">
        <f>-$N$29/LN((Table131710[[#This Row],[G Pre]]-1)/(Table131710[[#This Row],[G Pre]]*$O$26-$O$27))</f>
        <v>0.52133078970952307</v>
      </c>
      <c r="S35" s="6">
        <f>-$N$29/LN((Table131710[[#This Row],[G 5min]]-1)/(Table131710[[#This Row],[G 5min]]*$O$26-$O$27))</f>
        <v>-2.1613583778036527</v>
      </c>
      <c r="T35" s="6">
        <f>-$N$29/LN((Table131710[[#This Row],[G 10min]]-1)/(Table131710[[#This Row],[G 10min]]*$O$26-$O$27))</f>
        <v>-3.6266421470097399</v>
      </c>
      <c r="U35" s="6">
        <f>-$N$29/LN((Table131710[[#This Row],[G 15min]]-1)/(Table131710[[#This Row],[G 15min]]*$O$26-$O$27))</f>
        <v>-5.824945000168972</v>
      </c>
      <c r="V35" s="6">
        <f>-$N$29/LN((Table131710[[#This Row],[G 20min]]-1)/(Table131710[[#This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M36" s="6">
        <f>Table413168[[#This Row],[2 - Pre]]*$N$27/(Table413168[[#This Row],[10 - pre]]*$N$26)</f>
        <v>1.1379642365071603</v>
      </c>
      <c r="N36" s="6">
        <f>Table413168[[#This Row],[2 - Post 5min]]*$N$27/(Table413168[[#This Row],[10 - Post 5min]]*$N$26)</f>
        <v>0.65204943247125047</v>
      </c>
      <c r="O36" s="6">
        <f>Table413168[[#This Row],[2 - Post 10min]]*$N$27/(Table413168[[#This Row],[10 - Post 10min]]*$N$26)</f>
        <v>0.65833812880257114</v>
      </c>
      <c r="P36" s="6">
        <f>Table413168[[#This Row],[2 - Post 15min]]*$N$27/(Table413168[[#This Row],[10 - Post 15min]]*$N$26)</f>
        <v>0.59399743368513858</v>
      </c>
      <c r="Q36" s="6">
        <f>Table413168[[#This Row],[2 - Post 20min]]*$N$27/(Table413168[[#This Row],[10 - Post 20min]]*$N$26)</f>
        <v>0.73587045587573263</v>
      </c>
      <c r="R36" s="6">
        <f>-$N$29/LN((Table131710[[#This Row],[G Pre]]-1)/(Table131710[[#This Row],[G Pre]]*$O$26-$O$27))</f>
        <v>1.6211478483778388</v>
      </c>
      <c r="S36" s="6">
        <f>-$N$29/LN((Table131710[[#This Row],[G 5min]]-1)/(Table131710[[#This Row],[G 5min]]*$O$26-$O$27))</f>
        <v>-3.7283393805079239</v>
      </c>
      <c r="T36" s="6">
        <f>-$N$29/LN((Table131710[[#This Row],[G 10min]]-1)/(Table131710[[#This Row],[G 10min]]*$O$26-$O$27))</f>
        <v>-3.6604386068588015</v>
      </c>
      <c r="U36" s="6">
        <f>-$N$29/LN((Table131710[[#This Row],[G 15min]]-1)/(Table131710[[#This Row],[G 15min]]*$O$26-$O$27))</f>
        <v>-4.3534701850085877</v>
      </c>
      <c r="V36" s="6">
        <f>-$N$29/LN((Table131710[[#This Row],[G 20min]]-1)/(Table131710[[#This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M37" s="6">
        <f>Table413168[[#This Row],[2 - Pre]]*$N$27/(Table413168[[#This Row],[10 - pre]]*$N$26)</f>
        <v>1.8651689214168619</v>
      </c>
      <c r="N37" s="6">
        <f>Table413168[[#This Row],[2 - Post 5min]]*$N$27/(Table413168[[#This Row],[10 - Post 5min]]*$N$26)</f>
        <v>0.82829105162858296</v>
      </c>
      <c r="O37" s="6">
        <f>Table413168[[#This Row],[2 - Post 10min]]*$N$27/(Table413168[[#This Row],[10 - Post 10min]]*$N$26)</f>
        <v>0.59669625133427118</v>
      </c>
      <c r="P37" s="6">
        <f>Table413168[[#This Row],[2 - Post 15min]]*$N$27/(Table413168[[#This Row],[10 - Post 15min]]*$N$26)</f>
        <v>0.70885848591152933</v>
      </c>
      <c r="Q37" s="6">
        <f>Table413168[[#This Row],[2 - Post 20min]]*$N$27/(Table413168[[#This Row],[10 - Post 20min]]*$N$26)</f>
        <v>0.60113595203938019</v>
      </c>
      <c r="R37" s="6">
        <f>-$N$29/LN((Table131710[[#This Row],[G Pre]]-1)/(Table131710[[#This Row],[G Pre]]*$O$26-$O$27))</f>
        <v>10.05211151516966</v>
      </c>
      <c r="S37" s="6">
        <f>-$N$29/LN((Table131710[[#This Row],[G 5min]]-1)/(Table131710[[#This Row],[G 5min]]*$O$26-$O$27))</f>
        <v>-1.8116836674520544</v>
      </c>
      <c r="T37" s="6">
        <f>-$N$29/LN((Table131710[[#This Row],[G 10min]]-1)/(Table131710[[#This Row],[G 10min]]*$O$26-$O$27))</f>
        <v>-4.3244746908411296</v>
      </c>
      <c r="U37" s="6">
        <f>-$N$29/LN((Table131710[[#This Row],[G 15min]]-1)/(Table131710[[#This Row],[G 15min]]*$O$26-$O$27))</f>
        <v>-3.1136602927528765</v>
      </c>
      <c r="V37" s="6">
        <f>-$N$29/LN((Table131710[[#This Row],[G 20min]]-1)/(Table131710[[#This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M38" s="6">
        <f>Table413168[[#This Row],[2 - Pre]]*$N$27/(Table413168[[#This Row],[10 - pre]]*$N$26)</f>
        <v>1.0761081462020172</v>
      </c>
      <c r="N38" s="6">
        <f>Table413168[[#This Row],[2 - Post 5min]]*$N$27/(Table413168[[#This Row],[10 - Post 5min]]*$N$26)</f>
        <v>0.61644117321386094</v>
      </c>
      <c r="O38" s="6">
        <f>Table413168[[#This Row],[2 - Post 10min]]*$N$27/(Table413168[[#This Row],[10 - Post 10min]]*$N$26)</f>
        <v>0.57876429367182092</v>
      </c>
      <c r="P38" s="6">
        <f>Table413168[[#This Row],[2 - Post 15min]]*$N$27/(Table413168[[#This Row],[10 - Post 15min]]*$N$26)</f>
        <v>0.45061149092746916</v>
      </c>
      <c r="Q38" s="6">
        <f>Table413168[[#This Row],[2 - Post 20min]]*$N$27/(Table413168[[#This Row],[10 - Post 20min]]*$N$26)</f>
        <v>0.40317239375980812</v>
      </c>
      <c r="R38" s="6">
        <f>-$N$29/LN((Table131710[[#This Row],[G Pre]]-1)/(Table131710[[#This Row],[G Pre]]*$O$26-$O$27))</f>
        <v>0.92680581004725049</v>
      </c>
      <c r="S38" s="6">
        <f>-$N$29/LN((Table131710[[#This Row],[G 5min]]-1)/(Table131710[[#This Row],[G 5min]]*$O$26-$O$27))</f>
        <v>-4.1121424643846982</v>
      </c>
      <c r="T38" s="6">
        <f>-$N$29/LN((Table131710[[#This Row],[G 10min]]-1)/(Table131710[[#This Row],[G 10min]]*$O$26-$O$27))</f>
        <v>-4.5170103568036657</v>
      </c>
      <c r="U38" s="6">
        <f>-$N$29/LN((Table131710[[#This Row],[G 15min]]-1)/(Table131710[[#This Row],[G 15min]]*$O$26-$O$27))</f>
        <v>-5.8847397764054667</v>
      </c>
      <c r="V38" s="6">
        <f>-$N$29/LN((Table131710[[#This Row],[G 20min]]-1)/(Table131710[[#This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M39" s="6">
        <f>Table413168[[#This Row],[2 - Pre]]*$N$27/(Table413168[[#This Row],[10 - pre]]*$N$26)</f>
        <v>1.2250269361684929</v>
      </c>
      <c r="N39" s="6">
        <f>Table413168[[#This Row],[2 - Post 5min]]*$N$27/(Table413168[[#This Row],[10 - Post 5min]]*$N$26)</f>
        <v>1.6892170134301181</v>
      </c>
      <c r="O39" s="6">
        <f>Table413168[[#This Row],[2 - Post 10min]]*$N$27/(Table413168[[#This Row],[10 - Post 10min]]*$N$26)</f>
        <v>0.48579269278049325</v>
      </c>
      <c r="P39" s="6">
        <f>Table413168[[#This Row],[2 - Post 15min]]*$N$27/(Table413168[[#This Row],[10 - Post 15min]]*$N$26)</f>
        <v>0.37583082315974387</v>
      </c>
      <c r="Q39" s="6">
        <f>Table413168[[#This Row],[2 - Post 20min]]*$N$27/(Table413168[[#This Row],[10 - Post 20min]]*$N$26)</f>
        <v>0.2613153620518775</v>
      </c>
      <c r="R39" s="6">
        <f>-$N$29/LN((Table131710[[#This Row],[G Pre]]-1)/(Table131710[[#This Row],[G Pre]]*$O$26-$O$27))</f>
        <v>2.6036530622777052</v>
      </c>
      <c r="S39" s="6">
        <f>-$N$29/LN((Table131710[[#This Row],[G 5min]]-1)/(Table131710[[#This Row],[G 5min]]*$O$26-$O$27))</f>
        <v>7.9640417126435494</v>
      </c>
      <c r="T39" s="6">
        <f>-$N$29/LN((Table131710[[#This Row],[G 10min]]-1)/(Table131710[[#This Row],[G 10min]]*$O$26-$O$27))</f>
        <v>-5.5106963953123929</v>
      </c>
      <c r="U39" s="6">
        <f>-$N$29/LN((Table131710[[#This Row],[G 15min]]-1)/(Table131710[[#This Row],[G 15min]]*$O$26-$O$27))</f>
        <v>-6.6762325775810973</v>
      </c>
      <c r="V39" s="6">
        <f>-$N$29/LN((Table131710[[#This Row],[G 20min]]-1)/(Table131710[[#This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M40" s="6">
        <f>Table413168[[#This Row],[2 - Pre]]*$N$27/(Table413168[[#This Row],[10 - pre]]*$N$26)</f>
        <v>1.4182390032924583</v>
      </c>
      <c r="N40" s="6">
        <f>Table413168[[#This Row],[2 - Post 5min]]*$N$27/(Table413168[[#This Row],[10 - Post 5min]]*$N$26)</f>
        <v>0.65854463265290519</v>
      </c>
      <c r="O40" s="6">
        <f>Table413168[[#This Row],[2 - Post 10min]]*$N$27/(Table413168[[#This Row],[10 - Post 10min]]*$N$26)</f>
        <v>0.67073776993719914</v>
      </c>
      <c r="P40" s="6">
        <f>Table413168[[#This Row],[2 - Post 15min]]*$N$27/(Table413168[[#This Row],[10 - Post 15min]]*$N$26)</f>
        <v>0.38841007277136258</v>
      </c>
      <c r="Q40" s="6">
        <f>Table413168[[#This Row],[2 - Post 20min]]*$N$27/(Table413168[[#This Row],[10 - Post 20min]]*$N$26)</f>
        <v>0.36575173776984826</v>
      </c>
      <c r="R40" s="6">
        <f>-$N$29/LN((Table131710[[#This Row],[G Pre]]-1)/(Table131710[[#This Row],[G Pre]]*$O$26-$O$27))</f>
        <v>4.8092811493515999</v>
      </c>
      <c r="S40" s="6">
        <f>-$N$29/LN((Table131710[[#This Row],[G 5min]]-1)/(Table131710[[#This Row],[G 5min]]*$O$26-$O$27))</f>
        <v>-3.6582083250239772</v>
      </c>
      <c r="T40" s="6">
        <f>-$N$29/LN((Table131710[[#This Row],[G 10min]]-1)/(Table131710[[#This Row],[G 10min]]*$O$26-$O$27))</f>
        <v>-3.5264519636177609</v>
      </c>
      <c r="U40" s="6">
        <f>-$N$29/LN((Table131710[[#This Row],[G 15min]]-1)/(Table131710[[#This Row],[G 15min]]*$O$26-$O$27))</f>
        <v>-6.5434294777774928</v>
      </c>
      <c r="V40" s="6">
        <f>-$N$29/LN((Table131710[[#This Row],[G 20min]]-1)/(Table131710[[#This Row],[G 20min]]*$O$26-$O$27))</f>
        <v>-6.7825423531739863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Table413168[[#This Row],[2 - Pre]]*$N$27/(Table413168[[#This Row],[10 - pre]]*$N$26)</f>
        <v>#DIV/0!</v>
      </c>
      <c r="N41" s="6" t="e">
        <f>Table413168[[#This Row],[2 - Post 5min]]*$N$27/(Table413168[[#This Row],[10 - Post 5min]]*$N$26)</f>
        <v>#DIV/0!</v>
      </c>
      <c r="O41" s="6" t="e">
        <f>Table413168[[#This Row],[2 - Post 10min]]*$N$27/(Table413168[[#This Row],[10 - Post 10min]]*$N$26)</f>
        <v>#DIV/0!</v>
      </c>
      <c r="P41" s="6" t="e">
        <f>Table413168[[#This Row],[2 - Post 15min]]*$N$27/(Table413168[[#This Row],[10 - Post 15min]]*$N$26)</f>
        <v>#DIV/0!</v>
      </c>
      <c r="Q41" s="6" t="e">
        <f>Table413168[[#This Row],[2 - Post 20min]]*$N$27/(Table413168[[#This Row],[10 - Post 20min]]*$N$26)</f>
        <v>#DIV/0!</v>
      </c>
      <c r="R41" s="6" t="e">
        <f>-$N$29/LN((Table131710[[#This Row],[G Pre]]-1)/(Table131710[[#This Row],[G Pre]]*$O$26-$O$27))</f>
        <v>#DIV/0!</v>
      </c>
      <c r="S41" s="6" t="e">
        <f>-$N$29/LN((Table131710[[#This Row],[G 5min]]-1)/(Table131710[[#This Row],[G 5min]]*$O$26-$O$27))</f>
        <v>#DIV/0!</v>
      </c>
      <c r="T41" s="6" t="e">
        <f>-$N$29/LN((Table131710[[#This Row],[G 10min]]-1)/(Table131710[[#This Row],[G 10min]]*$O$26-$O$27))</f>
        <v>#DIV/0!</v>
      </c>
      <c r="U41" s="6" t="e">
        <f>-$N$29/LN((Table131710[[#This Row],[G 15min]]-1)/(Table131710[[#This Row],[G 15min]]*$O$26-$O$27))</f>
        <v>#DIV/0!</v>
      </c>
      <c r="V41" s="6" t="e">
        <f>-$N$29/LN((Table131710[[#This Row],[G 20min]]-1)/(Table131710[[#This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M42" s="6">
        <f>Table413168[[#This Row],[2 - Pre]]*$N$27/(Table413168[[#This Row],[10 - pre]]*$N$26)</f>
        <v>1.236307188187908</v>
      </c>
      <c r="N42" s="6">
        <f>Table413168[[#This Row],[2 - Post 5min]]*$N$27/(Table413168[[#This Row],[10 - Post 5min]]*$N$26)</f>
        <v>0.77638274420849485</v>
      </c>
      <c r="O42" s="6">
        <f>Table413168[[#This Row],[2 - Post 10min]]*$N$27/(Table413168[[#This Row],[10 - Post 10min]]*$N$26)</f>
        <v>0.78245123658299065</v>
      </c>
      <c r="P42" s="6">
        <f>Table413168[[#This Row],[2 - Post 15min]]*$N$27/(Table413168[[#This Row],[10 - Post 15min]]*$N$26)</f>
        <v>0.63805596687220767</v>
      </c>
      <c r="Q42" s="6">
        <f>Table413168[[#This Row],[2 - Post 20min]]*$N$27/(Table413168[[#This Row],[10 - Post 20min]]*$N$26)</f>
        <v>0.58844490689280748</v>
      </c>
      <c r="R42" s="6">
        <f>-$N$29/LN((Table131710[[#This Row],[G Pre]]-1)/(Table131710[[#This Row],[G Pre]]*$O$26-$O$27))</f>
        <v>2.7314522927350611</v>
      </c>
      <c r="S42" s="6">
        <f>-$N$29/LN((Table131710[[#This Row],[G 5min]]-1)/(Table131710[[#This Row],[G 5min]]*$O$26-$O$27))</f>
        <v>-2.3792037540345978</v>
      </c>
      <c r="T42" s="6">
        <f>-$N$29/LN((Table131710[[#This Row],[G 10min]]-1)/(Table131710[[#This Row],[G 10min]]*$O$26-$O$27))</f>
        <v>-2.3129893421672998</v>
      </c>
      <c r="U42" s="6">
        <f>-$N$29/LN((Table131710[[#This Row],[G 15min]]-1)/(Table131710[[#This Row],[G 15min]]*$O$26-$O$27))</f>
        <v>-3.879303185844166</v>
      </c>
      <c r="V42" s="6">
        <f>-$N$29/LN((Table131710[[#This Row],[G 20min]]-1)/(Table131710[[#This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M43" s="6">
        <f>Table413168[[#This Row],[2 - Pre]]*$N$27/(Table413168[[#This Row],[10 - pre]]*$N$26)</f>
        <v>1.0619232192284132</v>
      </c>
      <c r="N43" s="6">
        <f>Table413168[[#This Row],[2 - Post 5min]]*$N$27/(Table413168[[#This Row],[10 - Post 5min]]*$N$26)</f>
        <v>0.57048080817198843</v>
      </c>
      <c r="O43" s="6">
        <f>Table413168[[#This Row],[2 - Post 10min]]*$N$27/(Table413168[[#This Row],[10 - Post 10min]]*$N$26)</f>
        <v>0.66189947040426877</v>
      </c>
      <c r="P43" s="6">
        <f>Table413168[[#This Row],[2 - Post 15min]]*$N$27/(Table413168[[#This Row],[10 - Post 15min]]*$N$26)</f>
        <v>0.45579470559389446</v>
      </c>
      <c r="Q43" s="6">
        <f>Table413168[[#This Row],[2 - Post 20min]]*$N$27/(Table413168[[#This Row],[10 - Post 20min]]*$N$26)</f>
        <v>0.37011442608903883</v>
      </c>
      <c r="R43" s="6">
        <f>-$N$29/LN((Table131710[[#This Row],[G Pre]]-1)/(Table131710[[#This Row],[G Pre]]*$O$26-$O$27))</f>
        <v>0.767828532523677</v>
      </c>
      <c r="S43" s="6">
        <f>-$N$29/LN((Table131710[[#This Row],[G 5min]]-1)/(Table131710[[#This Row],[G 5min]]*$O$26-$O$27))</f>
        <v>-4.605853961975293</v>
      </c>
      <c r="T43" s="6">
        <f>-$N$29/LN((Table131710[[#This Row],[G 10min]]-1)/(Table131710[[#This Row],[G 10min]]*$O$26-$O$27))</f>
        <v>-3.6219700453603019</v>
      </c>
      <c r="U43" s="6">
        <f>-$N$29/LN((Table131710[[#This Row],[G 15min]]-1)/(Table131710[[#This Row],[G 15min]]*$O$26-$O$27))</f>
        <v>-5.8297000262282515</v>
      </c>
      <c r="V43" s="6">
        <f>-$N$29/LN((Table131710[[#This Row],[G 20min]]-1)/(Table131710[[#This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M44" s="6">
        <f>Table413168[[#This Row],[2 - Pre]]*$N$27/(Table413168[[#This Row],[10 - pre]]*$N$26)</f>
        <v>0.97612846352329496</v>
      </c>
      <c r="N44" s="6">
        <f>Table413168[[#This Row],[2 - Post 5min]]*$N$27/(Table413168[[#This Row],[10 - Post 5min]]*$N$26)</f>
        <v>0.60100071503119068</v>
      </c>
      <c r="O44" s="6">
        <f>Table413168[[#This Row],[2 - Post 10min]]*$N$27/(Table413168[[#This Row],[10 - Post 10min]]*$N$26)</f>
        <v>0.49939512723837526</v>
      </c>
      <c r="P44" s="6">
        <f>Table413168[[#This Row],[2 - Post 15min]]*$N$27/(Table413168[[#This Row],[10 - Post 15min]]*$N$26)</f>
        <v>0.33405324187125984</v>
      </c>
      <c r="Q44" s="6">
        <f>Table413168[[#This Row],[2 - Post 20min]]*$N$27/(Table413168[[#This Row],[10 - Post 20min]]*$N$26)</f>
        <v>0.30550067794450114</v>
      </c>
      <c r="R44" s="6">
        <f>-$N$29/LN((Table131710[[#This Row],[G Pre]]-1)/(Table131710[[#This Row],[G Pre]]*$O$26-$O$27))</f>
        <v>-0.17134143476079591</v>
      </c>
      <c r="S44" s="6">
        <f>-$N$29/LN((Table131710[[#This Row],[G 5min]]-1)/(Table131710[[#This Row],[G 5min]]*$O$26-$O$27))</f>
        <v>-4.278215092246346</v>
      </c>
      <c r="T44" s="6">
        <f>-$N$29/LN((Table131710[[#This Row],[G 10min]]-1)/(Table131710[[#This Row],[G 10min]]*$O$26-$O$27))</f>
        <v>-5.3657869150485897</v>
      </c>
      <c r="U44" s="6">
        <f>-$N$29/LN((Table131710[[#This Row],[G 15min]]-1)/(Table131710[[#This Row],[G 15min]]*$O$26-$O$27))</f>
        <v>-7.1163155119789065</v>
      </c>
      <c r="V44" s="6">
        <f>-$N$29/LN((Table131710[[#This Row],[G 20min]]-1)/(Table131710[[#This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M45" s="6" t="e">
        <f>Table413168[[#This Row],[2 - Pre]]*$N$27/(Table413168[[#This Row],[10 - pre]]*$N$26)</f>
        <v>#DIV/0!</v>
      </c>
      <c r="N45" s="6">
        <f>Table413168[[#This Row],[2 - Post 5min]]*$N$27/(Table413168[[#This Row],[10 - Post 5min]]*$N$26)</f>
        <v>0.43684463488310205</v>
      </c>
      <c r="O45" s="6">
        <f>Table413168[[#This Row],[2 - Post 10min]]*$N$27/(Table413168[[#This Row],[10 - Post 10min]]*$N$26)</f>
        <v>0.31775768202053739</v>
      </c>
      <c r="P45" s="6">
        <f>Table413168[[#This Row],[2 - Post 15min]]*$N$27/(Table413168[[#This Row],[10 - Post 15min]]*$N$26)</f>
        <v>0.34798124931346053</v>
      </c>
      <c r="Q45" s="6">
        <f>Table413168[[#This Row],[2 - Post 20min]]*$N$27/(Table413168[[#This Row],[10 - Post 20min]]*$N$26)</f>
        <v>0.37686678742338203</v>
      </c>
      <c r="R45" s="6" t="e">
        <f>-$N$29/LN((Table131710[[#This Row],[G Pre]]-1)/(Table131710[[#This Row],[G Pre]]*$O$26-$O$27))</f>
        <v>#DIV/0!</v>
      </c>
      <c r="S45" s="6">
        <f>-$N$29/LN((Table131710[[#This Row],[G 5min]]-1)/(Table131710[[#This Row],[G 5min]]*$O$26-$O$27))</f>
        <v>-6.0308145065839716</v>
      </c>
      <c r="T45" s="6">
        <f>-$N$29/LN((Table131710[[#This Row],[G 10min]]-1)/(Table131710[[#This Row],[G 10min]]*$O$26-$O$27))</f>
        <v>-7.2875665789892015</v>
      </c>
      <c r="U45" s="6">
        <f>-$N$29/LN((Table131710[[#This Row],[G 15min]]-1)/(Table131710[[#This Row],[G 15min]]*$O$26-$O$27))</f>
        <v>-6.9697650255710339</v>
      </c>
      <c r="V45" s="6">
        <f>-$N$29/LN((Table131710[[#This Row],[G 20min]]-1)/(Table131710[[#This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M46" s="6">
        <f>Table413168[[#This Row],[2 - Pre]]*$N$27/(Table413168[[#This Row],[10 - pre]]*$N$26)</f>
        <v>1.5105493732650053</v>
      </c>
      <c r="N46" s="6">
        <f>Table413168[[#This Row],[2 - Post 5min]]*$N$27/(Table413168[[#This Row],[10 - Post 5min]]*$N$26)</f>
        <v>0.66099723473562877</v>
      </c>
      <c r="O46" s="6">
        <f>Table413168[[#This Row],[2 - Post 10min]]*$N$27/(Table413168[[#This Row],[10 - Post 10min]]*$N$26)</f>
        <v>0.64855616265651139</v>
      </c>
      <c r="P46" s="6">
        <f>Table413168[[#This Row],[2 - Post 15min]]*$N$27/(Table413168[[#This Row],[10 - Post 15min]]*$N$26)</f>
        <v>0.6217384236964516</v>
      </c>
      <c r="Q46" s="6">
        <f>Table413168[[#This Row],[2 - Post 20min]]*$N$27/(Table413168[[#This Row],[10 - Post 20min]]*$N$26)</f>
        <v>0.61344544151812774</v>
      </c>
      <c r="R46" s="6">
        <f>-$N$29/LN((Table131710[[#This Row],[G Pre]]-1)/(Table131710[[#This Row],[G Pre]]*$O$26-$O$27))</f>
        <v>5.8757962590103148</v>
      </c>
      <c r="S46" s="6">
        <f>-$N$29/LN((Table131710[[#This Row],[G 5min]]-1)/(Table131710[[#This Row],[G 5min]]*$O$26-$O$27))</f>
        <v>-3.631716809050217</v>
      </c>
      <c r="T46" s="6">
        <f>-$N$29/LN((Table131710[[#This Row],[G 10min]]-1)/(Table131710[[#This Row],[G 10min]]*$O$26-$O$27))</f>
        <v>-3.7660418111737894</v>
      </c>
      <c r="U46" s="6">
        <f>-$N$29/LN((Table131710[[#This Row],[G 15min]]-1)/(Table131710[[#This Row],[G 15min]]*$O$26-$O$27))</f>
        <v>-4.0551179547737588</v>
      </c>
      <c r="V46" s="6">
        <f>-$N$29/LN((Table131710[[#This Row],[G 20min]]-1)/(Table131710[[#This Row],[G 20min]]*$O$26-$O$27))</f>
        <v>-4.1443802093380615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M47" s="6">
        <f>Table413168[[#This Row],[2 - Pre]]*$N$27/(Table413168[[#This Row],[10 - pre]]*$N$26)</f>
        <v>1.5694549972273848</v>
      </c>
      <c r="N47" s="6">
        <f>Table413168[[#This Row],[2 - Post 5min]]*$N$27/(Table413168[[#This Row],[10 - Post 5min]]*$N$26)</f>
        <v>0.82602312065182359</v>
      </c>
      <c r="O47" s="6">
        <f>Table413168[[#This Row],[2 - Post 10min]]*$N$27/(Table413168[[#This Row],[10 - Post 10min]]*$N$26)</f>
        <v>0.78806245165314204</v>
      </c>
      <c r="P47" s="6">
        <f>Table413168[[#This Row],[2 - Post 15min]]*$N$27/(Table413168[[#This Row],[10 - Post 15min]]*$N$26)</f>
        <v>0.52790424087456667</v>
      </c>
      <c r="Q47" s="6">
        <f>Table413168[[#This Row],[2 - Post 20min]]*$N$27/(Table413168[[#This Row],[10 - Post 20min]]*$N$26)</f>
        <v>0.48868900631629908</v>
      </c>
      <c r="R47" s="6">
        <f>-$N$29/LN((Table131710[[#This Row],[G Pre]]-1)/(Table131710[[#This Row],[G Pre]]*$O$26-$O$27))</f>
        <v>6.5607565654040521</v>
      </c>
      <c r="S47" s="6">
        <f>-$N$29/LN((Table131710[[#This Row],[G 5min]]-1)/(Table131710[[#This Row],[G 5min]]*$O$26-$O$27))</f>
        <v>-1.8365340138800161</v>
      </c>
      <c r="T47" s="6">
        <f>-$N$29/LN((Table131710[[#This Row],[G 10min]]-1)/(Table131710[[#This Row],[G 10min]]*$O$26-$O$27))</f>
        <v>-2.2517333782076125</v>
      </c>
      <c r="U47" s="6">
        <f>-$N$29/LN((Table131710[[#This Row],[G 15min]]-1)/(Table131710[[#This Row],[G 15min]]*$O$26-$O$27))</f>
        <v>-5.0615476428904129</v>
      </c>
      <c r="V47" s="6">
        <f>-$N$29/LN((Table131710[[#This Row],[G 20min]]-1)/(Table131710[[#This Row],[G 20min]]*$O$26-$O$27))</f>
        <v>-5.4798549404960131</v>
      </c>
    </row>
    <row r="48" spans="1:22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M48" s="6" t="e">
        <f>Table413168[[#This Row],[2 - Pre]]*$N$27/(Table413168[[#This Row],[10 - pre]]*$N$26)</f>
        <v>#DIV/0!</v>
      </c>
      <c r="N48" s="6" t="e">
        <f>Table413168[[#This Row],[2 - Post 5min]]*$N$27/(Table413168[[#This Row],[10 - Post 5min]]*$N$26)</f>
        <v>#DIV/0!</v>
      </c>
      <c r="O48" s="6" t="e">
        <f>Table413168[[#This Row],[2 - Post 10min]]*$N$27/(Table413168[[#This Row],[10 - Post 10min]]*$N$26)</f>
        <v>#DIV/0!</v>
      </c>
      <c r="P48" s="6" t="e">
        <f>Table413168[[#This Row],[2 - Post 15min]]*$N$27/(Table413168[[#This Row],[10 - Post 15min]]*$N$26)</f>
        <v>#DIV/0!</v>
      </c>
      <c r="Q48" s="6" t="e">
        <f>Table413168[[#This Row],[2 - Post 20min]]*$N$27/(Table413168[[#This Row],[10 - Post 20min]]*$N$26)</f>
        <v>#DIV/0!</v>
      </c>
      <c r="R48" s="6" t="e">
        <f>-$N$29/LN((Table131710[[#This Row],[G Pre]]-1)/(Table131710[[#This Row],[G Pre]]*$O$26-$O$27))</f>
        <v>#DIV/0!</v>
      </c>
      <c r="S48" s="6" t="e">
        <f>-$N$29/LN((Table131710[[#This Row],[G 5min]]-1)/(Table131710[[#This Row],[G 5min]]*$O$26-$O$27))</f>
        <v>#DIV/0!</v>
      </c>
      <c r="T48" s="6" t="e">
        <f>-$N$29/LN((Table131710[[#This Row],[G 10min]]-1)/(Table131710[[#This Row],[G 10min]]*$O$26-$O$27))</f>
        <v>#DIV/0!</v>
      </c>
      <c r="U48" s="6" t="e">
        <f>-$N$29/LN((Table131710[[#This Row],[G 15min]]-1)/(Table131710[[#This Row],[G 15min]]*$O$26-$O$27))</f>
        <v>#DIV/0!</v>
      </c>
      <c r="V48" s="6" t="e">
        <f>-$N$29/LN((Table131710[[#This Row],[G 20min]]-1)/(Table131710[[#This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M49" s="6">
        <f>Table413168[[#This Row],[2 - Pre]]*$N$27/(Table413168[[#This Row],[10 - pre]]*$N$26)</f>
        <v>1.3738618619733967</v>
      </c>
      <c r="N49" s="6">
        <f>Table413168[[#This Row],[2 - Post 5min]]*$N$27/(Table413168[[#This Row],[10 - Post 5min]]*$N$26)</f>
        <v>0.79023971228624246</v>
      </c>
      <c r="O49" s="6">
        <f>Table413168[[#This Row],[2 - Post 10min]]*$N$27/(Table413168[[#This Row],[10 - Post 10min]]*$N$26)</f>
        <v>0.66272534536309091</v>
      </c>
      <c r="P49" s="6">
        <f>Table413168[[#This Row],[2 - Post 15min]]*$N$27/(Table413168[[#This Row],[10 - Post 15min]]*$N$26)</f>
        <v>0.6366793414840507</v>
      </c>
      <c r="Q49" s="6">
        <f>Table413168[[#This Row],[2 - Post 20min]]*$N$27/(Table413168[[#This Row],[10 - Post 20min]]*$N$26)</f>
        <v>0.64230102168288161</v>
      </c>
      <c r="R49" s="6">
        <f>-$N$29/LN((Table131710[[#This Row],[G Pre]]-1)/(Table131710[[#This Row],[G Pre]]*$O$26-$O$27))</f>
        <v>4.2995258386704629</v>
      </c>
      <c r="S49" s="6">
        <f>-$N$29/LN((Table131710[[#This Row],[G 5min]]-1)/(Table131710[[#This Row],[G 5min]]*$O$26-$O$27))</f>
        <v>-2.227956825430629</v>
      </c>
      <c r="T49" s="6">
        <f>-$N$29/LN((Table131710[[#This Row],[G 10min]]-1)/(Table131710[[#This Row],[G 10min]]*$O$26-$O$27))</f>
        <v>-3.6130475561858288</v>
      </c>
      <c r="U49" s="6">
        <f>-$N$29/LN((Table131710[[#This Row],[G 15min]]-1)/(Table131710[[#This Row],[G 15min]]*$O$26-$O$27))</f>
        <v>-3.8941449584110299</v>
      </c>
      <c r="V49" s="6">
        <f>-$N$29/LN((Table131710[[#This Row],[G 20min]]-1)/(Table131710[[#This Row],[G 20min]]*$O$26-$O$27))</f>
        <v>-3.8335254016901299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M50" s="6">
        <f>Table413168[[#This Row],[2 - Pre]]*$N$27/(Table413168[[#This Row],[10 - pre]]*$N$26)</f>
        <v>1.1528870038881018</v>
      </c>
      <c r="N50" s="6">
        <f>Table413168[[#This Row],[2 - Post 5min]]*$N$27/(Table413168[[#This Row],[10 - Post 5min]]*$N$26)</f>
        <v>1.3454725169681516</v>
      </c>
      <c r="O50" s="6">
        <f>Table413168[[#This Row],[2 - Post 10min]]*$N$27/(Table413168[[#This Row],[10 - Post 10min]]*$N$26)</f>
        <v>0.63661739647217419</v>
      </c>
      <c r="P50" s="6">
        <f>Table413168[[#This Row],[2 - Post 15min]]*$N$27/(Table413168[[#This Row],[10 - Post 15min]]*$N$26)</f>
        <v>0.62608330753810482</v>
      </c>
      <c r="Q50" s="6">
        <f>Table413168[[#This Row],[2 - Post 20min]]*$N$27/(Table413168[[#This Row],[10 - Post 20min]]*$N$26)</f>
        <v>0.55348396844773273</v>
      </c>
      <c r="R50" s="6">
        <f>-$N$29/LN((Table131710[[#This Row],[G Pre]]-1)/(Table131710[[#This Row],[G Pre]]*$O$26-$O$27))</f>
        <v>1.7890805986638842</v>
      </c>
      <c r="S50" s="6">
        <f>-$N$29/LN((Table131710[[#This Row],[G 5min]]-1)/(Table131710[[#This Row],[G 5min]]*$O$26-$O$27))</f>
        <v>3.9744191108492002</v>
      </c>
      <c r="T50" s="6">
        <f>-$N$29/LN((Table131710[[#This Row],[G 10min]]-1)/(Table131710[[#This Row],[G 10min]]*$O$26-$O$27))</f>
        <v>-3.8948127645071087</v>
      </c>
      <c r="U50" s="6">
        <f>-$N$29/LN((Table131710[[#This Row],[G 15min]]-1)/(Table131710[[#This Row],[G 15min]]*$O$26-$O$27))</f>
        <v>-4.0083268935650134</v>
      </c>
      <c r="V50" s="6">
        <f>-$N$29/LN((Table131710[[#This Row],[G 20min]]-1)/(Table131710[[#This Row],[G 20min]]*$O$26-$O$27))</f>
        <v>-4.7879616123941267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Table413168[[#This Row],[2 - Pre]]*$N$27/(Table413168[[#This Row],[10 - pre]]*$N$26)</f>
        <v>#DIV/0!</v>
      </c>
      <c r="N51" s="6" t="e">
        <f>Table413168[[#This Row],[2 - Post 5min]]*$N$27/(Table413168[[#This Row],[10 - Post 5min]]*$N$26)</f>
        <v>#DIV/0!</v>
      </c>
      <c r="O51" s="6" t="e">
        <f>Table413168[[#This Row],[2 - Post 10min]]*$N$27/(Table413168[[#This Row],[10 - Post 10min]]*$N$26)</f>
        <v>#DIV/0!</v>
      </c>
      <c r="P51" s="6" t="e">
        <f>Table413168[[#This Row],[2 - Post 15min]]*$N$27/(Table413168[[#This Row],[10 - Post 15min]]*$N$26)</f>
        <v>#DIV/0!</v>
      </c>
      <c r="Q51" s="6" t="e">
        <f>Table413168[[#This Row],[2 - Post 20min]]*$N$27/(Table413168[[#This Row],[10 - Post 20min]]*$N$26)</f>
        <v>#DIV/0!</v>
      </c>
      <c r="R51" s="6" t="e">
        <f>-$N$29/LN((Table131710[[#This Row],[G Pre]]-1)/(Table131710[[#This Row],[G Pre]]*$O$26-$O$27))</f>
        <v>#DIV/0!</v>
      </c>
      <c r="S51" s="6" t="e">
        <f>-$N$29/LN((Table131710[[#This Row],[G 5min]]-1)/(Table131710[[#This Row],[G 5min]]*$O$26-$O$27))</f>
        <v>#DIV/0!</v>
      </c>
      <c r="T51" s="6" t="e">
        <f>-$N$29/LN((Table131710[[#This Row],[G 10min]]-1)/(Table131710[[#This Row],[G 10min]]*$O$26-$O$27))</f>
        <v>#DIV/0!</v>
      </c>
      <c r="U51" s="6" t="e">
        <f>-$N$29/LN((Table131710[[#This Row],[G 15min]]-1)/(Table131710[[#This Row],[G 15min]]*$O$26-$O$27))</f>
        <v>#DIV/0!</v>
      </c>
      <c r="V51" s="6" t="e">
        <f>-$N$29/LN((Table131710[[#This Row],[G 20min]]-1)/(Table131710[[#This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M52" s="6">
        <f>Table413168[[#This Row],[2 - Pre]]*$N$27/(Table413168[[#This Row],[10 - pre]]*$N$26)</f>
        <v>1.3380704444072569</v>
      </c>
      <c r="N52" s="6">
        <f>Table413168[[#This Row],[2 - Post 5min]]*$N$27/(Table413168[[#This Row],[10 - Post 5min]]*$N$26)</f>
        <v>0.6211020799720649</v>
      </c>
      <c r="O52" s="6">
        <f>Table413168[[#This Row],[2 - Post 10min]]*$N$27/(Table413168[[#This Row],[10 - Post 10min]]*$N$26)</f>
        <v>0.58927846066646894</v>
      </c>
      <c r="P52" s="6">
        <f>Table413168[[#This Row],[2 - Post 15min]]*$N$27/(Table413168[[#This Row],[10 - Post 15min]]*$N$26)</f>
        <v>0.42554309175643135</v>
      </c>
      <c r="Q52" s="6">
        <f>Table413168[[#This Row],[2 - Post 20min]]*$N$27/(Table413168[[#This Row],[10 - Post 20min]]*$N$26)</f>
        <v>0.4754707222933901</v>
      </c>
      <c r="R52" s="6">
        <f>-$N$29/LN((Table131710[[#This Row],[G Pre]]-1)/(Table131710[[#This Row],[G Pre]]*$O$26-$O$27))</f>
        <v>3.8897800838098955</v>
      </c>
      <c r="S52" s="6">
        <f>-$N$29/LN((Table131710[[#This Row],[G 5min]]-1)/(Table131710[[#This Row],[G 5min]]*$O$26-$O$27))</f>
        <v>-4.0619694719356172</v>
      </c>
      <c r="T52" s="6">
        <f>-$N$29/LN((Table131710[[#This Row],[G 10min]]-1)/(Table131710[[#This Row],[G 10min]]*$O$26-$O$27))</f>
        <v>-4.4041542260278446</v>
      </c>
      <c r="U52" s="6">
        <f>-$N$29/LN((Table131710[[#This Row],[G 15min]]-1)/(Table131710[[#This Row],[G 15min]]*$O$26-$O$27))</f>
        <v>-6.1506078153202006</v>
      </c>
      <c r="V52" s="6">
        <f>-$N$29/LN((Table131710[[#This Row],[G 20min]]-1)/(Table131710[[#This Row],[G 20min]]*$O$26-$O$27))</f>
        <v>-5.6205505242602429</v>
      </c>
    </row>
  </sheetData>
  <conditionalFormatting sqref="R2:V23">
    <cfRule type="cellIs" dxfId="323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N41" sqref="N41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18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18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 t="shared" ref="N2:N27" si="0">$N$39*M2</f>
        <v>4.74</v>
      </c>
      <c r="O2" s="2">
        <f t="shared" ref="O2:O27" si="1">M2*$N$40</f>
        <v>6</v>
      </c>
    </row>
    <row r="3" spans="1:18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 t="shared" si="0"/>
        <v>9.48</v>
      </c>
      <c r="O3" s="2">
        <f t="shared" si="1"/>
        <v>12</v>
      </c>
    </row>
    <row r="4" spans="1:18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 t="shared" si="0"/>
        <v>14.22</v>
      </c>
      <c r="O4" s="2">
        <f t="shared" si="1"/>
        <v>18</v>
      </c>
    </row>
    <row r="5" spans="1:18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 t="shared" si="0"/>
        <v>18.96</v>
      </c>
      <c r="O5" s="2">
        <f t="shared" si="1"/>
        <v>24</v>
      </c>
      <c r="Q5" s="3"/>
      <c r="R5" s="3"/>
    </row>
    <row r="6" spans="1:18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Q6" s="3"/>
      <c r="R6" s="3"/>
    </row>
    <row r="7" spans="1:18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 t="shared" si="0"/>
        <v>28.44</v>
      </c>
      <c r="O7" s="2">
        <f t="shared" si="1"/>
        <v>36</v>
      </c>
      <c r="Q7" s="3"/>
      <c r="R7" s="3"/>
    </row>
    <row r="8" spans="1:18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 t="shared" si="0"/>
        <v>33.18</v>
      </c>
      <c r="O8" s="2">
        <f t="shared" si="1"/>
        <v>42</v>
      </c>
      <c r="Q8" s="3"/>
      <c r="R8" s="3"/>
    </row>
    <row r="9" spans="1:18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 t="shared" si="0"/>
        <v>37.92</v>
      </c>
      <c r="O9" s="2">
        <f t="shared" si="1"/>
        <v>48</v>
      </c>
      <c r="Q9" s="3"/>
      <c r="R9" s="3"/>
    </row>
    <row r="10" spans="1:18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Q10" s="3"/>
      <c r="R10" s="3"/>
    </row>
    <row r="11" spans="1:18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Q11" s="3"/>
      <c r="R11" s="3"/>
    </row>
    <row r="12" spans="1:18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Q12" s="3"/>
      <c r="R12" s="3"/>
    </row>
    <row r="13" spans="1:18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 t="shared" si="0"/>
        <v>56.88</v>
      </c>
      <c r="O13" s="2">
        <f t="shared" si="1"/>
        <v>72</v>
      </c>
      <c r="Q13" s="3"/>
    </row>
    <row r="14" spans="1:18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 t="shared" si="0"/>
        <v>66.36</v>
      </c>
      <c r="O14" s="2">
        <f t="shared" si="1"/>
        <v>84</v>
      </c>
      <c r="Q14" s="3"/>
    </row>
    <row r="15" spans="1:18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Q15" s="3"/>
    </row>
    <row r="16" spans="1:18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 t="shared" si="0"/>
        <v>75.84</v>
      </c>
      <c r="O16" s="2">
        <f t="shared" si="1"/>
        <v>96</v>
      </c>
      <c r="Q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 t="shared" si="0"/>
        <v>80.58</v>
      </c>
      <c r="O17" s="2">
        <f t="shared" si="1"/>
        <v>102</v>
      </c>
      <c r="Q17" s="3"/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Q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Q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 t="shared" si="0"/>
        <v>99.54</v>
      </c>
      <c r="O21" s="2">
        <f t="shared" si="1"/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 t="shared" si="0"/>
        <v>104.28</v>
      </c>
      <c r="O22" s="2">
        <f t="shared" si="1"/>
        <v>132</v>
      </c>
      <c r="S22" s="3"/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 t="shared" si="0"/>
        <v>109.02000000000001</v>
      </c>
      <c r="O23" s="2">
        <f t="shared" si="1"/>
        <v>138</v>
      </c>
      <c r="S23" s="3"/>
    </row>
    <row r="24" spans="1:21">
      <c r="M24" s="2">
        <v>24</v>
      </c>
      <c r="N24" s="2">
        <f t="shared" si="0"/>
        <v>113.76</v>
      </c>
      <c r="O24" s="2">
        <f t="shared" si="1"/>
        <v>144</v>
      </c>
    </row>
    <row r="25" spans="1:21">
      <c r="M25" s="2">
        <v>25</v>
      </c>
      <c r="N25" s="2">
        <f t="shared" si="0"/>
        <v>118.5</v>
      </c>
      <c r="O25" s="2">
        <f t="shared" si="1"/>
        <v>150</v>
      </c>
    </row>
    <row r="26" spans="1:21">
      <c r="M26" s="2">
        <v>26</v>
      </c>
      <c r="N26" s="2">
        <f t="shared" si="0"/>
        <v>123.24000000000001</v>
      </c>
      <c r="O26" s="2">
        <f t="shared" si="1"/>
        <v>156</v>
      </c>
    </row>
    <row r="27" spans="1:21">
      <c r="K27" s="5"/>
      <c r="L27" s="5"/>
      <c r="M27" s="4">
        <v>30</v>
      </c>
      <c r="N27" s="4">
        <f t="shared" si="0"/>
        <v>142.20000000000002</v>
      </c>
      <c r="O27" s="4">
        <f t="shared" si="1"/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SLOPE(Table424[10 - pre],Table424[2 - Pre])</f>
        <v>3.8627151977666543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SLOPE(Table424[10 - Post 5min],Table424[2 - Post 5min])</f>
        <v>4.5081674377178027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SLOPE(Table424[10 - Post 10min],Table424[2 - Post 10min])</f>
        <v>5.4488789460936848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SLOPE(Table424[10 - Post 15min],Table424[2 - Post 15min])</f>
        <v>5.8516040448680986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SLOPE(Table424[10 - Post 20min],Table424[2 - Post 20min])</f>
        <v>5.3506355194119886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M39" s="7" t="s">
        <v>30</v>
      </c>
      <c r="N39" s="8">
        <v>4.74</v>
      </c>
      <c r="P39" s="9"/>
      <c r="Q39" s="9"/>
      <c r="R39" s="9"/>
      <c r="S39" s="9"/>
      <c r="U39" s="9"/>
    </row>
    <row r="40" spans="11:21">
      <c r="K40" s="5"/>
      <c r="L40" s="5"/>
      <c r="M40" s="7" t="s">
        <v>31</v>
      </c>
      <c r="N40" s="8">
        <v>6</v>
      </c>
      <c r="P40" s="9"/>
      <c r="Q40" s="9"/>
      <c r="R40" s="9"/>
      <c r="S40" s="9"/>
      <c r="U40" s="9"/>
    </row>
    <row r="41" spans="11:21">
      <c r="K41" s="5"/>
      <c r="L41" s="5"/>
      <c r="M41" s="3"/>
      <c r="N41" s="3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T52"/>
  <sheetViews>
    <sheetView topLeftCell="A19" zoomScaleNormal="100" workbookViewId="0">
      <selection activeCell="X1" sqref="X1:AT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Table41319[[#This Row],[2 - Pre]]*$N$27/(Table41319[[#This Row],[10 - pre]]*$N$26)</f>
        <v>#DIV/0!</v>
      </c>
      <c r="N2" s="6" t="e">
        <f>Table41319[[#This Row],[2 - Post 5min]]*$N$27/(Table41319[[#This Row],[10 - Post 5min]]*$N$26)</f>
        <v>#DIV/0!</v>
      </c>
      <c r="O2" s="6" t="e">
        <f>Table41319[[#This Row],[2 - Post 10min]]*$N$27/(Table41319[[#This Row],[10 - Post 10min]]*$N$26)</f>
        <v>#DIV/0!</v>
      </c>
      <c r="P2" s="6" t="e">
        <f>Table41319[[#This Row],[2 - Post 15min]]*$N$27/(Table41319[[#This Row],[10 - Post 15min]]*$N$26)</f>
        <v>#DIV/0!</v>
      </c>
      <c r="Q2" s="6" t="e">
        <f>Table41319[[#This Row],[2 - Post 20min]]*$N$27/(Table41319[[#This Row],[10 - Post 20min]]*$N$26)</f>
        <v>#DIV/0!</v>
      </c>
      <c r="R2" s="6" t="e">
        <f>-$N$29/LN((Table1320[[#This Row],[G Pre]]-1)/(Table1320[[#This Row],[G Pre]]*$O$26-$O$27))</f>
        <v>#DIV/0!</v>
      </c>
      <c r="S2" s="6" t="e">
        <f>-$N$29/LN((Table1320[[#This Row],[G 5min]]-1)/(Table1320[[#This Row],[G 5min]]*$O$26-$O$27))</f>
        <v>#DIV/0!</v>
      </c>
      <c r="T2" s="6" t="e">
        <f>-$N$29/LN((Table1320[[#This Row],[G 10min]]-1)/(Table1320[[#This Row],[G 10min]]*$O$26-$O$27))</f>
        <v>#DIV/0!</v>
      </c>
      <c r="U2" s="6" t="e">
        <f>-$N$29/LN((Table1320[[#This Row],[G 15min]]-1)/(Table1320[[#This Row],[G 15min]]*$O$26-$O$27))</f>
        <v>#DIV/0!</v>
      </c>
      <c r="V2" s="6" t="e">
        <f>-$N$29/LN((Table1320[[#This Row],[G 20min]]-1)/(Table1320[[#This Row],[G 20min]]*$O$26-$O$27))</f>
        <v>#DIV/0!</v>
      </c>
      <c r="X2" t="s">
        <v>54</v>
      </c>
      <c r="Y2" t="e">
        <v>#DIV/0!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Table41319[[#This Row],[2 - Pre]]*$N$27/(Table41319[[#This Row],[10 - pre]]*$N$26)</f>
        <v>1.3008056773482592</v>
      </c>
      <c r="N3" s="6">
        <f>Table41319[[#This Row],[2 - Post 5min]]*$N$27/(Table41319[[#This Row],[10 - Post 5min]]*$N$26)</f>
        <v>0.92367204886448795</v>
      </c>
      <c r="O3" s="6">
        <f>Table41319[[#This Row],[2 - Post 10min]]*$N$27/(Table41319[[#This Row],[10 - Post 10min]]*$N$26)</f>
        <v>0.88055696869864164</v>
      </c>
      <c r="P3" s="6">
        <f>Table41319[[#This Row],[2 - Post 15min]]*$N$27/(Table41319[[#This Row],[10 - Post 15min]]*$N$26)</f>
        <v>0.85145751676425518</v>
      </c>
      <c r="Q3" s="6">
        <f>Table41319[[#This Row],[2 - Post 20min]]*$N$27/(Table41319[[#This Row],[10 - Post 20min]]*$N$26)</f>
        <v>0.88381341204914499</v>
      </c>
      <c r="R3" s="6">
        <f>-$N$29/LN((Table1320[[#This Row],[G Pre]]-1)/(Table1320[[#This Row],[G Pre]]*$O$26-$O$27))</f>
        <v>3.4644722702092752</v>
      </c>
      <c r="S3" s="6">
        <f>-$N$29/LN((Table1320[[#This Row],[G 5min]]-1)/(Table1320[[#This Row],[G 5min]]*$O$26-$O$27))</f>
        <v>-0.76134429263199177</v>
      </c>
      <c r="T3" s="6">
        <f>-$N$29/LN((Table1320[[#This Row],[G 10min]]-1)/(Table1320[[#This Row],[G 10min]]*$O$26-$O$27))</f>
        <v>-1.2375108326079596</v>
      </c>
      <c r="U3" s="6">
        <f>-$N$29/LN((Table1320[[#This Row],[G 15min]]-1)/(Table1320[[#This Row],[G 15min]]*$O$26-$O$27))</f>
        <v>-1.5575443587894182</v>
      </c>
      <c r="V3" s="6">
        <f>-$N$29/LN((Table1320[[#This Row],[G 20min]]-1)/(Table1320[[#This Row],[G 20min]]*$O$26-$O$27))</f>
        <v>-1.201636496371207</v>
      </c>
      <c r="X3" t="s">
        <v>55</v>
      </c>
      <c r="Y3" t="e">
        <v>#DIV/0!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 t="e">
        <v>#DIV/0!</v>
      </c>
      <c r="AN3">
        <v>-0.60109946435904049</v>
      </c>
      <c r="AO3">
        <v>1.5628507169179926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Table41319[[#This Row],[2 - Pre]]*$N$27/(Table41319[[#This Row],[10 - pre]]*$N$26)</f>
        <v>0.97902842296696546</v>
      </c>
      <c r="N4" s="6">
        <f>Table41319[[#This Row],[2 - Post 5min]]*$N$27/(Table41319[[#This Row],[10 - Post 5min]]*$N$26)</f>
        <v>1.2952932260068366</v>
      </c>
      <c r="O4" s="6">
        <f>Table41319[[#This Row],[2 - Post 10min]]*$N$27/(Table41319[[#This Row],[10 - Post 10min]]*$N$26)</f>
        <v>0.7105149503636613</v>
      </c>
      <c r="P4" s="6">
        <f>Table41319[[#This Row],[2 - Post 15min]]*$N$27/(Table41319[[#This Row],[10 - Post 15min]]*$N$26)</f>
        <v>0.70379849643957948</v>
      </c>
      <c r="Q4" s="6">
        <f>Table41319[[#This Row],[2 - Post 20min]]*$N$27/(Table41319[[#This Row],[10 - Post 20min]]*$N$26)</f>
        <v>0.73122631789034898</v>
      </c>
      <c r="R4" s="6">
        <f>-$N$29/LN((Table1320[[#This Row],[G Pre]]-1)/(Table1320[[#This Row],[G Pre]]*$O$26-$O$27))</f>
        <v>-0.13605787131971925</v>
      </c>
      <c r="S4" s="6">
        <f>-$N$29/LN((Table1320[[#This Row],[G 5min]]-1)/(Table1320[[#This Row],[G 5min]]*$O$26-$O$27))</f>
        <v>3.401670283718857</v>
      </c>
      <c r="T4" s="6">
        <f>-$N$29/LN((Table1320[[#This Row],[G 10min]]-1)/(Table1320[[#This Row],[G 10min]]*$O$26-$O$27))</f>
        <v>-3.0956932563087141</v>
      </c>
      <c r="U4" s="6">
        <f>-$N$29/LN((Table1320[[#This Row],[G 15min]]-1)/(Table1320[[#This Row],[G 15min]]*$O$26-$O$27))</f>
        <v>-3.1685285671456773</v>
      </c>
      <c r="V4" s="6">
        <f>-$N$29/LN((Table1320[[#This Row],[G 20min]]-1)/(Table1320[[#This Row],[G 20min]]*$O$26-$O$27))</f>
        <v>-2.8708330856222002</v>
      </c>
      <c r="X4" t="s">
        <v>56</v>
      </c>
      <c r="Y4" t="e">
        <v>#DIV/0!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 t="e">
        <v>#DIV/0!</v>
      </c>
      <c r="AN4">
        <v>-0.90448239902328387</v>
      </c>
      <c r="AO4">
        <v>1.1202113004601639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Table41319[[#This Row],[2 - Pre]]*$N$27/(Table41319[[#This Row],[10 - pre]]*$N$26)</f>
        <v>1.1074198196834613</v>
      </c>
      <c r="N5" s="6">
        <f>Table41319[[#This Row],[2 - Post 5min]]*$N$27/(Table41319[[#This Row],[10 - Post 5min]]*$N$26)</f>
        <v>0.75231769662820114</v>
      </c>
      <c r="O5" s="6">
        <f>Table41319[[#This Row],[2 - Post 10min]]*$N$27/(Table41319[[#This Row],[10 - Post 10min]]*$N$26)</f>
        <v>0.78537653580571076</v>
      </c>
      <c r="P5" s="6">
        <f>Table41319[[#This Row],[2 - Post 15min]]*$N$27/(Table41319[[#This Row],[10 - Post 15min]]*$N$26)</f>
        <v>0.71239113998507786</v>
      </c>
      <c r="Q5" s="6">
        <f>Table41319[[#This Row],[2 - Post 20min]]*$N$27/(Table41319[[#This Row],[10 - Post 20min]]*$N$26)</f>
        <v>0.9248247794178619</v>
      </c>
      <c r="R5" s="6">
        <f>-$N$29/LN((Table1320[[#This Row],[G Pre]]-1)/(Table1320[[#This Row],[G Pre]]*$O$26-$O$27))</f>
        <v>1.2779698364201741</v>
      </c>
      <c r="S5" s="6">
        <f>-$N$29/LN((Table1320[[#This Row],[G 5min]]-1)/(Table1320[[#This Row],[G 5min]]*$O$26-$O$27))</f>
        <v>-2.6414417213358417</v>
      </c>
      <c r="T5" s="6">
        <f>-$N$29/LN((Table1320[[#This Row],[G 10min]]-1)/(Table1320[[#This Row],[G 10min]]*$O$26-$O$27))</f>
        <v>-2.2810584451894376</v>
      </c>
      <c r="U5" s="6">
        <f>-$N$29/LN((Table1320[[#This Row],[G 15min]]-1)/(Table1320[[#This Row],[G 15min]]*$O$26-$O$27))</f>
        <v>-3.0753399200337297</v>
      </c>
      <c r="V5" s="6">
        <f>-$N$29/LN((Table1320[[#This Row],[G 20min]]-1)/(Table1320[[#This Row],[G 20min]]*$O$26-$O$27))</f>
        <v>-0.74857062884268455</v>
      </c>
      <c r="X5" t="s">
        <v>57</v>
      </c>
      <c r="Y5" t="e">
        <v>#DIV/0!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 t="e">
        <v>#DIV/0!</v>
      </c>
      <c r="AN5">
        <v>-0.34200721977918763</v>
      </c>
      <c r="AO5">
        <v>0.15319148747147746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Table41319[[#This Row],[2 - Pre]]*$N$27/(Table41319[[#This Row],[10 - pre]]*$N$26)</f>
        <v>1.0399483775522547</v>
      </c>
      <c r="N6" s="6">
        <f>Table41319[[#This Row],[2 - Post 5min]]*$N$27/(Table41319[[#This Row],[10 - Post 5min]]*$N$26)</f>
        <v>0.68658570548766751</v>
      </c>
      <c r="O6" s="6">
        <f>Table41319[[#This Row],[2 - Post 10min]]*$N$27/(Table41319[[#This Row],[10 - Post 10min]]*$N$26)</f>
        <v>0.66073059522008071</v>
      </c>
      <c r="P6" s="6">
        <f>Table41319[[#This Row],[2 - Post 15min]]*$N$27/(Table41319[[#This Row],[10 - Post 15min]]*$N$26)</f>
        <v>0.64169162955043213</v>
      </c>
      <c r="Q6" s="6">
        <f>Table41319[[#This Row],[2 - Post 20min]]*$N$27/(Table41319[[#This Row],[10 - Post 20min]]*$N$26)</f>
        <v>0.66010542087065605</v>
      </c>
      <c r="R6" s="6">
        <f>-$N$29/LN((Table1320[[#This Row],[G Pre]]-1)/(Table1320[[#This Row],[G Pre]]*$O$26-$O$27))</f>
        <v>0.52133078970952551</v>
      </c>
      <c r="S6" s="6">
        <f>-$N$29/LN((Table1320[[#This Row],[G 5min]]-1)/(Table1320[[#This Row],[G 5min]]*$O$26-$O$27))</f>
        <v>-3.3550020284117257</v>
      </c>
      <c r="T6" s="6">
        <f>-$N$29/LN((Table1320[[#This Row],[G 10min]]-1)/(Table1320[[#This Row],[G 10min]]*$O$26-$O$27))</f>
        <v>-3.6345971493160154</v>
      </c>
      <c r="U6" s="6">
        <f>-$N$29/LN((Table1320[[#This Row],[G 15min]]-1)/(Table1320[[#This Row],[G 15min]]*$O$26-$O$27))</f>
        <v>-3.8400979523051717</v>
      </c>
      <c r="V6" s="6">
        <f>-$N$29/LN((Table1320[[#This Row],[G 20min]]-1)/(Table1320[[#This Row],[G 20min]]*$O$26-$O$27))</f>
        <v>-3.6413502665921014</v>
      </c>
      <c r="X6" t="s">
        <v>58</v>
      </c>
      <c r="Y6" t="e">
        <v>#DIV/0!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 t="e">
        <v>#DIV/0!</v>
      </c>
      <c r="AN6">
        <v>-0.75734695717488032</v>
      </c>
      <c r="AO6" t="e">
        <v>#NUM!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Table41319[[#This Row],[2 - Pre]]*$N$27/(Table41319[[#This Row],[10 - pre]]*$N$26)</f>
        <v>1.1379642365071603</v>
      </c>
      <c r="N7" s="6">
        <f>Table41319[[#This Row],[2 - Post 5min]]*$N$27/(Table41319[[#This Row],[10 - Post 5min]]*$N$26)</f>
        <v>1.0645251260312074</v>
      </c>
      <c r="O7" s="6">
        <f>Table41319[[#This Row],[2 - Post 10min]]*$N$27/(Table41319[[#This Row],[10 - Post 10min]]*$N$26)</f>
        <v>1.0549886268595421</v>
      </c>
      <c r="P7" s="6">
        <f>Table41319[[#This Row],[2 - Post 15min]]*$N$27/(Table41319[[#This Row],[10 - Post 15min]]*$N$26)</f>
        <v>0.98559945644978575</v>
      </c>
      <c r="Q7" s="6">
        <f>Table41319[[#This Row],[2 - Post 20min]]*$N$27/(Table41319[[#This Row],[10 - Post 20min]]*$N$26)</f>
        <v>1.074920243254031</v>
      </c>
      <c r="R7" s="6">
        <f>-$N$29/LN((Table1320[[#This Row],[G Pre]]-1)/(Table1320[[#This Row],[G Pre]]*$O$26-$O$27))</f>
        <v>1.6211478483778388</v>
      </c>
      <c r="S7" s="6">
        <f>-$N$29/LN((Table1320[[#This Row],[G 5min]]-1)/(Table1320[[#This Row],[G 5min]]*$O$26-$O$27))</f>
        <v>0.796989787836902</v>
      </c>
      <c r="T7" s="6">
        <f>-$N$29/LN((Table1320[[#This Row],[G 10min]]-1)/(Table1320[[#This Row],[G 10min]]*$O$26-$O$27))</f>
        <v>0.69009611250599445</v>
      </c>
      <c r="U7" s="6" t="e">
        <f>-$N$29/LN((Table1320[[#This Row],[G 15min]]-1)/(Table1320[[#This Row],[G 15min]]*$O$26-$O$27))</f>
        <v>#NUM!</v>
      </c>
      <c r="V7" s="6">
        <f>-$N$29/LN((Table1320[[#This Row],[G 20min]]-1)/(Table1320[[#This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Table41319[[#This Row],[2 - Pre]]*$N$27/(Table41319[[#This Row],[10 - pre]]*$N$26)</f>
        <v>1.8651689214168614</v>
      </c>
      <c r="N8" s="6">
        <f>Table41319[[#This Row],[2 - Post 5min]]*$N$27/(Table41319[[#This Row],[10 - Post 5min]]*$N$26)</f>
        <v>1.2647254722723056</v>
      </c>
      <c r="O8" s="6">
        <f>Table41319[[#This Row],[2 - Post 10min]]*$N$27/(Table41319[[#This Row],[10 - Post 10min]]*$N$26)</f>
        <v>1.1818442264974776</v>
      </c>
      <c r="P8" s="6">
        <f>Table41319[[#This Row],[2 - Post 15min]]*$N$27/(Table41319[[#This Row],[10 - Post 15min]]*$N$26)</f>
        <v>1.1739319656458682</v>
      </c>
      <c r="Q8" s="6">
        <f>Table41319[[#This Row],[2 - Post 20min]]*$N$27/(Table41319[[#This Row],[10 - Post 20min]]*$N$26)</f>
        <v>1.2019275608655191</v>
      </c>
      <c r="R8" s="6">
        <f>-$N$29/LN((Table1320[[#This Row],[G Pre]]-1)/(Table1320[[#This Row],[G Pre]]*$O$26-$O$27))</f>
        <v>10.05211151516966</v>
      </c>
      <c r="S8" s="6">
        <f>-$N$29/LN((Table1320[[#This Row],[G 5min]]-1)/(Table1320[[#This Row],[G 5min]]*$O$26-$O$27))</f>
        <v>3.0539415376578245</v>
      </c>
      <c r="T8" s="6">
        <f>-$N$29/LN((Table1320[[#This Row],[G 10min]]-1)/(Table1320[[#This Row],[G 10min]]*$O$26-$O$27))</f>
        <v>2.1154938855825884</v>
      </c>
      <c r="U8" s="6">
        <f>-$N$29/LN((Table1320[[#This Row],[G 15min]]-1)/(Table1320[[#This Row],[G 15min]]*$O$26-$O$27))</f>
        <v>2.0262318952111538</v>
      </c>
      <c r="V8" s="6">
        <f>-$N$29/LN((Table1320[[#This Row],[G 20min]]-1)/(Table1320[[#This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Table41319[[#This Row],[2 - Pre]]*$N$27/(Table41319[[#This Row],[10 - pre]]*$N$26)</f>
        <v>1.0761081462020172</v>
      </c>
      <c r="N9" s="6">
        <f>Table41319[[#This Row],[2 - Post 5min]]*$N$27/(Table41319[[#This Row],[10 - Post 5min]]*$N$26)</f>
        <v>0.77260418380309803</v>
      </c>
      <c r="O9" s="6">
        <f>Table41319[[#This Row],[2 - Post 10min]]*$N$27/(Table41319[[#This Row],[10 - Post 10min]]*$N$26)</f>
        <v>0.72289402379491041</v>
      </c>
      <c r="P9" s="6">
        <f>Table41319[[#This Row],[2 - Post 15min]]*$N$27/(Table41319[[#This Row],[10 - Post 15min]]*$N$26)</f>
        <v>0.70661598525000235</v>
      </c>
      <c r="Q9" s="6">
        <f>Table41319[[#This Row],[2 - Post 20min]]*$N$27/(Table41319[[#This Row],[10 - Post 20min]]*$N$26)</f>
        <v>0.68366733147793768</v>
      </c>
      <c r="R9" s="6">
        <f>-$N$29/LN((Table1320[[#This Row],[G Pre]]-1)/(Table1320[[#This Row],[G Pre]]*$O$26-$O$27))</f>
        <v>0.92680581004725049</v>
      </c>
      <c r="S9" s="6">
        <f>-$N$29/LN((Table1320[[#This Row],[G 5min]]-1)/(Table1320[[#This Row],[G 5min]]*$O$26-$O$27))</f>
        <v>-2.4204147801813725</v>
      </c>
      <c r="T9" s="6">
        <f>-$N$29/LN((Table1320[[#This Row],[G 10min]]-1)/(Table1320[[#This Row],[G 10min]]*$O$26-$O$27))</f>
        <v>-2.9613427905736875</v>
      </c>
      <c r="U9" s="6">
        <f>-$N$29/LN((Table1320[[#This Row],[G 15min]]-1)/(Table1320[[#This Row],[G 15min]]*$O$26-$O$27))</f>
        <v>-3.1379798518811008</v>
      </c>
      <c r="V9" s="6">
        <f>-$N$29/LN((Table1320[[#This Row],[G 20min]]-1)/(Table1320[[#This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Table41319[[#This Row],[2 - Pre]]*$N$27/(Table41319[[#This Row],[10 - pre]]*$N$26)</f>
        <v>1.2250269361684927</v>
      </c>
      <c r="N10" s="6" t="e">
        <f>Table41319[[#This Row],[2 - Post 5min]]*$N$27/(Table41319[[#This Row],[10 - Post 5min]]*$N$26)</f>
        <v>#DIV/0!</v>
      </c>
      <c r="O10" s="6">
        <f>Table41319[[#This Row],[2 - Post 10min]]*$N$27/(Table41319[[#This Row],[10 - Post 10min]]*$N$26)</f>
        <v>0.73575451055746743</v>
      </c>
      <c r="P10" s="6">
        <f>Table41319[[#This Row],[2 - Post 15min]]*$N$27/(Table41319[[#This Row],[10 - Post 15min]]*$N$26)</f>
        <v>0.69517134304359585</v>
      </c>
      <c r="Q10" s="6">
        <f>Table41319[[#This Row],[2 - Post 20min]]*$N$27/(Table41319[[#This Row],[10 - Post 20min]]*$N$26)</f>
        <v>0.70603963814779103</v>
      </c>
      <c r="R10" s="6">
        <f>-$N$29/LN((Table1320[[#This Row],[G Pre]]-1)/(Table1320[[#This Row],[G Pre]]*$O$26-$O$27))</f>
        <v>2.6036530622777003</v>
      </c>
      <c r="S10" s="6" t="e">
        <f>-$N$29/LN((Table1320[[#This Row],[G 5min]]-1)/(Table1320[[#This Row],[G 5min]]*$O$26-$O$27))</f>
        <v>#DIV/0!</v>
      </c>
      <c r="T10" s="6">
        <f>-$N$29/LN((Table1320[[#This Row],[G 10min]]-1)/(Table1320[[#This Row],[G 10min]]*$O$26-$O$27))</f>
        <v>-2.8216187428861237</v>
      </c>
      <c r="U10" s="6">
        <f>-$N$29/LN((Table1320[[#This Row],[G 15min]]-1)/(Table1320[[#This Row],[G 15min]]*$O$26-$O$27))</f>
        <v>-3.262023823391174</v>
      </c>
      <c r="V10" s="6">
        <f>-$N$29/LN((Table1320[[#This Row],[G 20min]]-1)/(Table1320[[#This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Table41319[[#This Row],[2 - Pre]]*$N$27/(Table41319[[#This Row],[10 - pre]]*$N$26)</f>
        <v>1.4182390032924583</v>
      </c>
      <c r="N11" s="6">
        <f>Table41319[[#This Row],[2 - Post 5min]]*$N$27/(Table41319[[#This Row],[10 - Post 5min]]*$N$26)</f>
        <v>0.94713923268717248</v>
      </c>
      <c r="O11" s="6">
        <f>Table41319[[#This Row],[2 - Post 10min]]*$N$27/(Table41319[[#This Row],[10 - Post 10min]]*$N$26)</f>
        <v>0.90694912500444658</v>
      </c>
      <c r="P11" s="6">
        <f>Table41319[[#This Row],[2 - Post 15min]]*$N$27/(Table41319[[#This Row],[10 - Post 15min]]*$N$26)</f>
        <v>0.89325854644324698</v>
      </c>
      <c r="Q11" s="6">
        <f>Table41319[[#This Row],[2 - Post 20min]]*$N$27/(Table41319[[#This Row],[10 - Post 20min]]*$N$26)</f>
        <v>0.92640687070594108</v>
      </c>
      <c r="R11" s="6">
        <f>-$N$29/LN((Table1320[[#This Row],[G Pre]]-1)/(Table1320[[#This Row],[G Pre]]*$O$26-$O$27))</f>
        <v>4.8092811493515999</v>
      </c>
      <c r="S11" s="6">
        <f>-$N$29/LN((Table1320[[#This Row],[G 5min]]-1)/(Table1320[[#This Row],[G 5min]]*$O$26-$O$27))</f>
        <v>-0.50056277920889292</v>
      </c>
      <c r="T11" s="6">
        <f>-$N$29/LN((Table1320[[#This Row],[G 10min]]-1)/(Table1320[[#This Row],[G 10min]]*$O$26-$O$27))</f>
        <v>-0.94636852503729008</v>
      </c>
      <c r="U11" s="6">
        <f>-$N$29/LN((Table1320[[#This Row],[G 15min]]-1)/(Table1320[[#This Row],[G 15min]]*$O$26-$O$27))</f>
        <v>-1.0975104733522025</v>
      </c>
      <c r="V11" s="6">
        <f>-$N$29/LN((Table1320[[#This Row],[G 20min]]-1)/(Table1320[[#This Row],[G 20min]]*$O$26-$O$27))</f>
        <v>-0.73103433884982005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Table41319[[#This Row],[2 - Pre]]*$N$27/(Table41319[[#This Row],[10 - pre]]*$N$26)</f>
        <v>#DIV/0!</v>
      </c>
      <c r="N12" s="6" t="e">
        <f>Table41319[[#This Row],[2 - Post 5min]]*$N$27/(Table41319[[#This Row],[10 - Post 5min]]*$N$26)</f>
        <v>#DIV/0!</v>
      </c>
      <c r="O12" s="6" t="e">
        <f>Table41319[[#This Row],[2 - Post 10min]]*$N$27/(Table41319[[#This Row],[10 - Post 10min]]*$N$26)</f>
        <v>#DIV/0!</v>
      </c>
      <c r="P12" s="6" t="e">
        <f>Table41319[[#This Row],[2 - Post 15min]]*$N$27/(Table41319[[#This Row],[10 - Post 15min]]*$N$26)</f>
        <v>#DIV/0!</v>
      </c>
      <c r="Q12" s="6" t="e">
        <f>Table41319[[#This Row],[2 - Post 20min]]*$N$27/(Table41319[[#This Row],[10 - Post 20min]]*$N$26)</f>
        <v>#DIV/0!</v>
      </c>
      <c r="R12" s="6" t="e">
        <f>-$N$29/LN((Table1320[[#This Row],[G Pre]]-1)/(Table1320[[#This Row],[G Pre]]*$O$26-$O$27))</f>
        <v>#DIV/0!</v>
      </c>
      <c r="S12" s="6" t="e">
        <f>-$N$29/LN((Table1320[[#This Row],[G 5min]]-1)/(Table1320[[#This Row],[G 5min]]*$O$26-$O$27))</f>
        <v>#DIV/0!</v>
      </c>
      <c r="T12" s="6" t="e">
        <f>-$N$29/LN((Table1320[[#This Row],[G 10min]]-1)/(Table1320[[#This Row],[G 10min]]*$O$26-$O$27))</f>
        <v>#DIV/0!</v>
      </c>
      <c r="U12" s="6" t="e">
        <f>-$N$29/LN((Table1320[[#This Row],[G 15min]]-1)/(Table1320[[#This Row],[G 15min]]*$O$26-$O$27))</f>
        <v>#DIV/0!</v>
      </c>
      <c r="V12" s="6" t="e">
        <f>-$N$29/LN((Table1320[[#This Row],[G 20min]]-1)/(Table1320[[#This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Table41319[[#This Row],[2 - Pre]]*$N$27/(Table41319[[#This Row],[10 - pre]]*$N$26)</f>
        <v>1.2363071881879082</v>
      </c>
      <c r="N13" s="6">
        <f>Table41319[[#This Row],[2 - Post 5min]]*$N$27/(Table41319[[#This Row],[10 - Post 5min]]*$N$26)</f>
        <v>0.91810810558540112</v>
      </c>
      <c r="O13" s="6">
        <f>Table41319[[#This Row],[2 - Post 10min]]*$N$27/(Table41319[[#This Row],[10 - Post 10min]]*$N$26)</f>
        <v>0.98027304153500328</v>
      </c>
      <c r="P13" s="6">
        <f>Table41319[[#This Row],[2 - Post 15min]]*$N$27/(Table41319[[#This Row],[10 - Post 15min]]*$N$26)</f>
        <v>0.90710084265197821</v>
      </c>
      <c r="Q13" s="6">
        <f>Table41319[[#This Row],[2 - Post 20min]]*$N$27/(Table41319[[#This Row],[10 - Post 20min]]*$N$26)</f>
        <v>0.87947166935549048</v>
      </c>
      <c r="R13" s="6">
        <f>-$N$29/LN((Table1320[[#This Row],[G Pre]]-1)/(Table1320[[#This Row],[G Pre]]*$O$26-$O$27))</f>
        <v>2.7314522927350668</v>
      </c>
      <c r="S13" s="6">
        <f>-$N$29/LN((Table1320[[#This Row],[G 5min]]-1)/(Table1320[[#This Row],[G 5min]]*$O$26-$O$27))</f>
        <v>-0.82296098429966091</v>
      </c>
      <c r="T13" s="6">
        <f>-$N$29/LN((Table1320[[#This Row],[G 10min]]-1)/(Table1320[[#This Row],[G 10min]]*$O$26-$O$27))</f>
        <v>-0.12031044052702607</v>
      </c>
      <c r="U13" s="6">
        <f>-$N$29/LN((Table1320[[#This Row],[G 15min]]-1)/(Table1320[[#This Row],[G 15min]]*$O$26-$O$27))</f>
        <v>-0.94469204933930118</v>
      </c>
      <c r="V13" s="6">
        <f>-$N$29/LN((Table1320[[#This Row],[G 20min]]-1)/(Table1320[[#This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Table41319[[#This Row],[2 - Pre]]*$N$27/(Table41319[[#This Row],[10 - pre]]*$N$26)</f>
        <v>1.0619232192284132</v>
      </c>
      <c r="N14" s="6">
        <f>Table41319[[#This Row],[2 - Post 5min]]*$N$27/(Table41319[[#This Row],[10 - Post 5min]]*$N$26)</f>
        <v>0.70037519794254921</v>
      </c>
      <c r="O14" s="6">
        <f>Table41319[[#This Row],[2 - Post 10min]]*$N$27/(Table41319[[#This Row],[10 - Post 10min]]*$N$26)</f>
        <v>0.77922935760261214</v>
      </c>
      <c r="P14" s="6">
        <f>Table41319[[#This Row],[2 - Post 15min]]*$N$27/(Table41319[[#This Row],[10 - Post 15min]]*$N$26)</f>
        <v>0.70727002320656618</v>
      </c>
      <c r="Q14" s="6">
        <f>Table41319[[#This Row],[2 - Post 20min]]*$N$27/(Table41319[[#This Row],[10 - Post 20min]]*$N$26)</f>
        <v>0.70462944532463212</v>
      </c>
      <c r="R14" s="6">
        <f>-$N$29/LN((Table1320[[#This Row],[G Pre]]-1)/(Table1320[[#This Row],[G Pre]]*$O$26-$O$27))</f>
        <v>0.767828532523677</v>
      </c>
      <c r="S14" s="6">
        <f>-$N$29/LN((Table1320[[#This Row],[G 5min]]-1)/(Table1320[[#This Row],[G 5min]]*$O$26-$O$27))</f>
        <v>-3.2056360650171656</v>
      </c>
      <c r="T14" s="6">
        <f>-$N$29/LN((Table1320[[#This Row],[G 10min]]-1)/(Table1320[[#This Row],[G 10min]]*$O$26-$O$27))</f>
        <v>-2.3481481700775264</v>
      </c>
      <c r="U14" s="6">
        <f>-$N$29/LN((Table1320[[#This Row],[G 15min]]-1)/(Table1320[[#This Row],[G 15min]]*$O$26-$O$27))</f>
        <v>-3.1308873890929005</v>
      </c>
      <c r="V14" s="6">
        <f>-$N$29/LN((Table1320[[#This Row],[G 20min]]-1)/(Table1320[[#This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Table41319[[#This Row],[2 - Pre]]*$N$27/(Table41319[[#This Row],[10 - pre]]*$N$26)</f>
        <v>0.97612846352329496</v>
      </c>
      <c r="N15" s="6">
        <f>Table41319[[#This Row],[2 - Post 5min]]*$N$27/(Table41319[[#This Row],[10 - Post 5min]]*$N$26)</f>
        <v>0.72822222707277784</v>
      </c>
      <c r="O15" s="6">
        <f>Table41319[[#This Row],[2 - Post 10min]]*$N$27/(Table41319[[#This Row],[10 - Post 10min]]*$N$26)</f>
        <v>0.68643598546659512</v>
      </c>
      <c r="P15" s="6">
        <f>Table41319[[#This Row],[2 - Post 15min]]*$N$27/(Table41319[[#This Row],[10 - Post 15min]]*$N$26)</f>
        <v>0.66596904120337241</v>
      </c>
      <c r="Q15" s="6">
        <f>Table41319[[#This Row],[2 - Post 20min]]*$N$27/(Table41319[[#This Row],[10 - Post 20min]]*$N$26)</f>
        <v>0.68858610276613363</v>
      </c>
      <c r="R15" s="6">
        <f>-$N$29/LN((Table1320[[#This Row],[G Pre]]-1)/(Table1320[[#This Row],[G Pre]]*$O$26-$O$27))</f>
        <v>-0.17134143476079591</v>
      </c>
      <c r="S15" s="6">
        <f>-$N$29/LN((Table1320[[#This Row],[G 5min]]-1)/(Table1320[[#This Row],[G 5min]]*$O$26-$O$27))</f>
        <v>-2.9034724287482621</v>
      </c>
      <c r="T15" s="6">
        <f>-$N$29/LN((Table1320[[#This Row],[G 10min]]-1)/(Table1320[[#This Row],[G 10min]]*$O$26-$O$27))</f>
        <v>-3.3566228290089271</v>
      </c>
      <c r="U15" s="6">
        <f>-$N$29/LN((Table1320[[#This Row],[G 15min]]-1)/(Table1320[[#This Row],[G 15min]]*$O$26-$O$27))</f>
        <v>-3.5779977554029143</v>
      </c>
      <c r="V15" s="6">
        <f>-$N$29/LN((Table1320[[#This Row],[G 20min]]-1)/(Table1320[[#This Row],[G 20min]]*$O$26-$O$27))</f>
        <v>-3.333344691312722</v>
      </c>
    </row>
    <row r="16" spans="1:46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M16" s="6" t="e">
        <f>Table41319[[#This Row],[2 - Pre]]*$N$27/(Table41319[[#This Row],[10 - pre]]*$N$26)</f>
        <v>#DIV/0!</v>
      </c>
      <c r="N16" s="6" t="e">
        <f>Table41319[[#This Row],[2 - Post 5min]]*$N$27/(Table41319[[#This Row],[10 - Post 5min]]*$N$26)</f>
        <v>#DIV/0!</v>
      </c>
      <c r="O16" s="6" t="e">
        <f>Table41319[[#This Row],[2 - Post 10min]]*$N$27/(Table41319[[#This Row],[10 - Post 10min]]*$N$26)</f>
        <v>#DIV/0!</v>
      </c>
      <c r="P16" s="6" t="e">
        <f>Table41319[[#This Row],[2 - Post 15min]]*$N$27/(Table41319[[#This Row],[10 - Post 15min]]*$N$26)</f>
        <v>#DIV/0!</v>
      </c>
      <c r="Q16" s="6" t="e">
        <f>Table41319[[#This Row],[2 - Post 20min]]*$N$27/(Table41319[[#This Row],[10 - Post 20min]]*$N$26)</f>
        <v>#DIV/0!</v>
      </c>
      <c r="R16" s="6" t="e">
        <f>-$N$29/LN((Table1320[[#This Row],[G Pre]]-1)/(Table1320[[#This Row],[G Pre]]*$O$26-$O$27))</f>
        <v>#DIV/0!</v>
      </c>
      <c r="S16" s="6" t="e">
        <f>-$N$29/LN((Table1320[[#This Row],[G 5min]]-1)/(Table1320[[#This Row],[G 5min]]*$O$26-$O$27))</f>
        <v>#DIV/0!</v>
      </c>
      <c r="T16" s="6" t="e">
        <f>-$N$29/LN((Table1320[[#This Row],[G 10min]]-1)/(Table1320[[#This Row],[G 10min]]*$O$26-$O$27))</f>
        <v>#DIV/0!</v>
      </c>
      <c r="U16" s="6" t="e">
        <f>-$N$29/LN((Table1320[[#This Row],[G 15min]]-1)/(Table1320[[#This Row],[G 15min]]*$O$26-$O$27))</f>
        <v>#DIV/0!</v>
      </c>
      <c r="V16" s="6" t="e">
        <f>-$N$29/LN((Table1320[[#This Row],[G 20min]]-1)/(Table1320[[#This Row],[G 20min]]*$O$26-$O$27))</f>
        <v>#DIV/0!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Table41319[[#This Row],[2 - Pre]]*$N$27/(Table41319[[#This Row],[10 - pre]]*$N$26)</f>
        <v>1.5105493732650053</v>
      </c>
      <c r="N17" s="6">
        <f>Table41319[[#This Row],[2 - Post 5min]]*$N$27/(Table41319[[#This Row],[10 - Post 5min]]*$N$26)</f>
        <v>0.93811139709340163</v>
      </c>
      <c r="O17" s="6">
        <f>Table41319[[#This Row],[2 - Post 10min]]*$N$27/(Table41319[[#This Row],[10 - Post 10min]]*$N$26)</f>
        <v>0.91073874864307747</v>
      </c>
      <c r="P17" s="6">
        <f>Table41319[[#This Row],[2 - Post 15min]]*$N$27/(Table41319[[#This Row],[10 - Post 15min]]*$N$26)</f>
        <v>0.96128532033767611</v>
      </c>
      <c r="Q17" s="6">
        <f>Table41319[[#This Row],[2 - Post 20min]]*$N$27/(Table41319[[#This Row],[10 - Post 20min]]*$N$26)</f>
        <v>0.9240328073366556</v>
      </c>
      <c r="R17" s="6">
        <f>-$N$29/LN((Table1320[[#This Row],[G Pre]]-1)/(Table1320[[#This Row],[G Pre]]*$O$26-$O$27))</f>
        <v>5.8757962590103148</v>
      </c>
      <c r="S17" s="6">
        <f>-$N$29/LN((Table1320[[#This Row],[G 5min]]-1)/(Table1320[[#This Row],[G 5min]]*$O$26-$O$27))</f>
        <v>-0.60109946435904049</v>
      </c>
      <c r="T17" s="6">
        <f>-$N$29/LN((Table1320[[#This Row],[G 10min]]-1)/(Table1320[[#This Row],[G 10min]]*$O$26-$O$27))</f>
        <v>-0.90448239902328387</v>
      </c>
      <c r="U17" s="6">
        <f>-$N$29/LN((Table1320[[#This Row],[G 15min]]-1)/(Table1320[[#This Row],[G 15min]]*$O$26-$O$27))</f>
        <v>-0.34200721977918763</v>
      </c>
      <c r="V17" s="6">
        <f>-$N$29/LN((Table1320[[#This Row],[G 20min]]-1)/(Table1320[[#This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Table41319[[#This Row],[2 - Pre]]*$N$27/(Table41319[[#This Row],[10 - pre]]*$N$26)</f>
        <v>1.5694549972273848</v>
      </c>
      <c r="N18" s="6">
        <f>Table41319[[#This Row],[2 - Post 5min]]*$N$27/(Table41319[[#This Row],[10 - Post 5min]]*$N$26)</f>
        <v>1.1327800487784823</v>
      </c>
      <c r="O18" s="6">
        <f>Table41319[[#This Row],[2 - Post 10min]]*$N$27/(Table41319[[#This Row],[10 - Post 10min]]*$N$26)</f>
        <v>1.0933589094896103</v>
      </c>
      <c r="P18" s="6">
        <f>Table41319[[#This Row],[2 - Post 15min]]*$N$27/(Table41319[[#This Row],[10 - Post 15min]]*$N$26)</f>
        <v>1.0077578898079143</v>
      </c>
      <c r="Q18" s="6">
        <f>Table41319[[#This Row],[2 - Post 20min]]*$N$27/(Table41319[[#This Row],[10 - Post 20min]]*$N$26)</f>
        <v>0.98593603544163821</v>
      </c>
      <c r="R18" s="6">
        <f>-$N$29/LN((Table1320[[#This Row],[G Pre]]-1)/(Table1320[[#This Row],[G Pre]]*$O$26-$O$27))</f>
        <v>6.5607565654040521</v>
      </c>
      <c r="S18" s="6">
        <f>-$N$29/LN((Table1320[[#This Row],[G 5min]]-1)/(Table1320[[#This Row],[G 5min]]*$O$26-$O$27))</f>
        <v>1.5628507169179926</v>
      </c>
      <c r="T18" s="6">
        <f>-$N$29/LN((Table1320[[#This Row],[G 10min]]-1)/(Table1320[[#This Row],[G 10min]]*$O$26-$O$27))</f>
        <v>1.1202113004601639</v>
      </c>
      <c r="U18" s="6">
        <f>-$N$29/LN((Table1320[[#This Row],[G 15min]]-1)/(Table1320[[#This Row],[G 15min]]*$O$26-$O$27))</f>
        <v>0.15319148747147746</v>
      </c>
      <c r="V18" s="6" t="e">
        <f>-$N$29/LN((Table1320[[#This Row],[G 20min]]-1)/(Table1320[[#This Row],[G 20min]]*$O$26-$O$27))</f>
        <v>#NUM!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Table41319[[#This Row],[2 - Pre]]*$N$27/(Table41319[[#This Row],[10 - pre]]*$N$26)</f>
        <v>#DIV/0!</v>
      </c>
      <c r="N19" s="6" t="e">
        <f>Table41319[[#This Row],[2 - Post 5min]]*$N$27/(Table41319[[#This Row],[10 - Post 5min]]*$N$26)</f>
        <v>#DIV/0!</v>
      </c>
      <c r="O19" s="6" t="e">
        <f>Table41319[[#This Row],[2 - Post 10min]]*$N$27/(Table41319[[#This Row],[10 - Post 10min]]*$N$26)</f>
        <v>#DIV/0!</v>
      </c>
      <c r="P19" s="6" t="e">
        <f>Table41319[[#This Row],[2 - Post 15min]]*$N$27/(Table41319[[#This Row],[10 - Post 15min]]*$N$26)</f>
        <v>#DIV/0!</v>
      </c>
      <c r="Q19" s="6" t="e">
        <f>Table41319[[#This Row],[2 - Post 20min]]*$N$27/(Table41319[[#This Row],[10 - Post 20min]]*$N$26)</f>
        <v>#DIV/0!</v>
      </c>
      <c r="R19" s="6" t="e">
        <f>-$N$29/LN((Table1320[[#This Row],[G Pre]]-1)/(Table1320[[#This Row],[G Pre]]*$O$26-$O$27))</f>
        <v>#DIV/0!</v>
      </c>
      <c r="S19" s="6" t="e">
        <f>-$N$29/LN((Table1320[[#This Row],[G 5min]]-1)/(Table1320[[#This Row],[G 5min]]*$O$26-$O$27))</f>
        <v>#DIV/0!</v>
      </c>
      <c r="T19" s="6" t="e">
        <f>-$N$29/LN((Table1320[[#This Row],[G 10min]]-1)/(Table1320[[#This Row],[G 10min]]*$O$26-$O$27))</f>
        <v>#DIV/0!</v>
      </c>
      <c r="U19" s="6" t="e">
        <f>-$N$29/LN((Table1320[[#This Row],[G 15min]]-1)/(Table1320[[#This Row],[G 15min]]*$O$26-$O$27))</f>
        <v>#DIV/0!</v>
      </c>
      <c r="V19" s="6" t="e">
        <f>-$N$29/LN((Table1320[[#This Row],[G 20min]]-1)/(Table1320[[#This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Table41319[[#This Row],[2 - Pre]]*$N$27/(Table41319[[#This Row],[10 - pre]]*$N$26)</f>
        <v>1.3738618619733964</v>
      </c>
      <c r="N20" s="6">
        <f>Table41319[[#This Row],[2 - Post 5min]]*$N$27/(Table41319[[#This Row],[10 - Post 5min]]*$N$26)</f>
        <v>1.0276387166961025</v>
      </c>
      <c r="O20" s="6">
        <f>Table41319[[#This Row],[2 - Post 10min]]*$N$27/(Table41319[[#This Row],[10 - Post 10min]]*$N$26)</f>
        <v>0.96862469337378576</v>
      </c>
      <c r="P20" s="6">
        <f>Table41319[[#This Row],[2 - Post 15min]]*$N$27/(Table41319[[#This Row],[10 - Post 15min]]*$N$26)</f>
        <v>0.9695181309294052</v>
      </c>
      <c r="Q20" s="6">
        <f>Table41319[[#This Row],[2 - Post 20min]]*$N$27/(Table41319[[#This Row],[10 - Post 20min]]*$N$26)</f>
        <v>0.99464806340073042</v>
      </c>
      <c r="R20" s="6">
        <f>-$N$29/LN((Table1320[[#This Row],[G Pre]]-1)/(Table1320[[#This Row],[G Pre]]*$O$26-$O$27))</f>
        <v>4.2995258386704629</v>
      </c>
      <c r="S20" s="6">
        <f>-$N$29/LN((Table1320[[#This Row],[G 5min]]-1)/(Table1320[[#This Row],[G 5min]]*$O$26-$O$27))</f>
        <v>0.38268918457866852</v>
      </c>
      <c r="T20" s="6">
        <f>-$N$29/LN((Table1320[[#This Row],[G 10min]]-1)/(Table1320[[#This Row],[G 10min]]*$O$26-$O$27))</f>
        <v>-0.2586852836048521</v>
      </c>
      <c r="U20" s="6">
        <f>-$N$29/LN((Table1320[[#This Row],[G 15min]]-1)/(Table1320[[#This Row],[G 15min]]*$O$26-$O$27))</f>
        <v>-0.24844440761248687</v>
      </c>
      <c r="V20" s="6" t="e">
        <f>-$N$29/LN((Table1320[[#This Row],[G 20min]]-1)/(Table1320[[#This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Table41319[[#This Row],[2 - Pre]]*$N$27/(Table41319[[#This Row],[10 - pre]]*$N$26)</f>
        <v>1.1528870038881018</v>
      </c>
      <c r="N21" s="6">
        <f>Table41319[[#This Row],[2 - Post 5min]]*$N$27/(Table41319[[#This Row],[10 - Post 5min]]*$N$26)</f>
        <v>1.1855278918270173</v>
      </c>
      <c r="O21" s="6">
        <f>Table41319[[#This Row],[2 - Post 10min]]*$N$27/(Table41319[[#This Row],[10 - Post 10min]]*$N$26)</f>
        <v>0.85936891173540597</v>
      </c>
      <c r="P21" s="6">
        <f>Table41319[[#This Row],[2 - Post 15min]]*$N$27/(Table41319[[#This Row],[10 - Post 15min]]*$N$26)</f>
        <v>0.80116800744898897</v>
      </c>
      <c r="Q21" s="6">
        <f>Table41319[[#This Row],[2 - Post 20min]]*$N$27/(Table41319[[#This Row],[10 - Post 20min]]*$N$26)</f>
        <v>0.80755907300439089</v>
      </c>
      <c r="R21" s="6">
        <f>-$N$29/LN((Table1320[[#This Row],[G Pre]]-1)/(Table1320[[#This Row],[G Pre]]*$O$26-$O$27))</f>
        <v>1.7890805986638842</v>
      </c>
      <c r="S21" s="6">
        <f>-$N$29/LN((Table1320[[#This Row],[G 5min]]-1)/(Table1320[[#This Row],[G 5min]]*$O$26-$O$27))</f>
        <v>2.1570700726473273</v>
      </c>
      <c r="T21" s="6">
        <f>-$N$29/LN((Table1320[[#This Row],[G 10min]]-1)/(Table1320[[#This Row],[G 10min]]*$O$26-$O$27))</f>
        <v>-1.4706276373867542</v>
      </c>
      <c r="U21" s="6">
        <f>-$N$29/LN((Table1320[[#This Row],[G 15min]]-1)/(Table1320[[#This Row],[G 15min]]*$O$26-$O$27))</f>
        <v>-2.1085471620444682</v>
      </c>
      <c r="V21" s="6">
        <f>-$N$29/LN((Table1320[[#This Row],[G 20min]]-1)/(Table1320[[#This Row],[G 20min]]*$O$26-$O$27))</f>
        <v>-2.0386610813912238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Table41319[[#This Row],[2 - Pre]]*$N$27/(Table41319[[#This Row],[10 - pre]]*$N$26)</f>
        <v>#DIV/0!</v>
      </c>
      <c r="N22" s="6" t="e">
        <f>Table41319[[#This Row],[2 - Post 5min]]*$N$27/(Table41319[[#This Row],[10 - Post 5min]]*$N$26)</f>
        <v>#DIV/0!</v>
      </c>
      <c r="O22" s="6" t="e">
        <f>Table41319[[#This Row],[2 - Post 10min]]*$N$27/(Table41319[[#This Row],[10 - Post 10min]]*$N$26)</f>
        <v>#DIV/0!</v>
      </c>
      <c r="P22" s="6" t="e">
        <f>Table41319[[#This Row],[2 - Post 15min]]*$N$27/(Table41319[[#This Row],[10 - Post 15min]]*$N$26)</f>
        <v>#DIV/0!</v>
      </c>
      <c r="Q22" s="6" t="e">
        <f>Table41319[[#This Row],[2 - Post 20min]]*$N$27/(Table41319[[#This Row],[10 - Post 20min]]*$N$26)</f>
        <v>#DIV/0!</v>
      </c>
      <c r="R22" s="6" t="e">
        <f>-$N$29/LN((Table1320[[#This Row],[G Pre]]-1)/(Table1320[[#This Row],[G Pre]]*$O$26-$O$27))</f>
        <v>#DIV/0!</v>
      </c>
      <c r="S22" s="6" t="e">
        <f>-$N$29/LN((Table1320[[#This Row],[G 5min]]-1)/(Table1320[[#This Row],[G 5min]]*$O$26-$O$27))</f>
        <v>#DIV/0!</v>
      </c>
      <c r="T22" s="6" t="e">
        <f>-$N$29/LN((Table1320[[#This Row],[G 10min]]-1)/(Table1320[[#This Row],[G 10min]]*$O$26-$O$27))</f>
        <v>#DIV/0!</v>
      </c>
      <c r="U22" s="6" t="e">
        <f>-$N$29/LN((Table1320[[#This Row],[G 15min]]-1)/(Table1320[[#This Row],[G 15min]]*$O$26-$O$27))</f>
        <v>#DIV/0!</v>
      </c>
      <c r="V22" s="6" t="e">
        <f>-$N$29/LN((Table1320[[#This Row],[G 20min]]-1)/(Table1320[[#This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Table41319[[#This Row],[2 - Pre]]*$N$27/(Table41319[[#This Row],[10 - pre]]*$N$26)</f>
        <v>1.3380704444072569</v>
      </c>
      <c r="N23" s="6">
        <f>Table41319[[#This Row],[2 - Post 5min]]*$N$27/(Table41319[[#This Row],[10 - Post 5min]]*$N$26)</f>
        <v>0.91948331349699941</v>
      </c>
      <c r="O23" s="6">
        <f>Table41319[[#This Row],[2 - Post 10min]]*$N$27/(Table41319[[#This Row],[10 - Post 10min]]*$N$26)</f>
        <v>0.88374733554081852</v>
      </c>
      <c r="P23" s="6">
        <f>Table41319[[#This Row],[2 - Post 15min]]*$N$27/(Table41319[[#This Row],[10 - Post 15min]]*$N$26)</f>
        <v>0.89204671988676798</v>
      </c>
      <c r="Q23" s="6">
        <f>Table41319[[#This Row],[2 - Post 20min]]*$N$27/(Table41319[[#This Row],[10 - Post 20min]]*$N$26)</f>
        <v>0.87832040165935688</v>
      </c>
      <c r="R23" s="6">
        <f>-$N$29/LN((Table1320[[#This Row],[G Pre]]-1)/(Table1320[[#This Row],[G Pre]]*$O$26-$O$27))</f>
        <v>3.8897800838098955</v>
      </c>
      <c r="S23" s="6">
        <f>-$N$29/LN((Table1320[[#This Row],[G 5min]]-1)/(Table1320[[#This Row],[G 5min]]*$O$26-$O$27))</f>
        <v>-0.8077372463342255</v>
      </c>
      <c r="T23" s="6">
        <f>-$N$29/LN((Table1320[[#This Row],[G 10min]]-1)/(Table1320[[#This Row],[G 10min]]*$O$26-$O$27))</f>
        <v>-1.2023645505387202</v>
      </c>
      <c r="U23" s="6">
        <f>-$N$29/LN((Table1320[[#This Row],[G 15min]]-1)/(Table1320[[#This Row],[G 15min]]*$O$26-$O$27))</f>
        <v>-1.1108764007328664</v>
      </c>
      <c r="V23" s="6">
        <f>-$N$29/LN((Table1320[[#This Row],[G 20min]]-1)/(Table1320[[#This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Table4131621[[#This Row],[2 - Pre]]*$N$27/(Table4131621[[#This Row],[10 - pre]]*$N$26)</f>
        <v>#DIV/0!</v>
      </c>
      <c r="N31" s="6" t="e">
        <f>Table4131621[[#This Row],[2 - Post 5min]]*$N$27/(Table4131621[[#This Row],[10 - Post 5min]]*$N$26)</f>
        <v>#DIV/0!</v>
      </c>
      <c r="O31" s="6" t="e">
        <f>Table4131621[[#This Row],[2 - Post 10min]]*$N$27/(Table4131621[[#This Row],[10 - Post 10min]]*$N$26)</f>
        <v>#DIV/0!</v>
      </c>
      <c r="P31" s="6" t="e">
        <f>Table4131621[[#This Row],[2 - Post 15min]]*$N$27/(Table4131621[[#This Row],[10 - Post 15min]]*$N$26)</f>
        <v>#DIV/0!</v>
      </c>
      <c r="Q31" s="6" t="e">
        <f>Table4131621[[#This Row],[2 - Post 20min]]*$N$27/(Table4131621[[#This Row],[10 - Post 20min]]*$N$26)</f>
        <v>#DIV/0!</v>
      </c>
      <c r="R31" s="6" t="e">
        <f>-$N$29/LN((Table131722[[#This Row],[G Pre]]-1)/(Table131722[[#This Row],[G Pre]]*$O$26-$O$27))</f>
        <v>#DIV/0!</v>
      </c>
      <c r="S31" s="6" t="e">
        <f>-$N$29/LN((Table131722[[#This Row],[G 5min]]-1)/(Table131722[[#This Row],[G 5min]]*$O$26-$O$27))</f>
        <v>#DIV/0!</v>
      </c>
      <c r="T31" s="6" t="e">
        <f>-$N$29/LN((Table131722[[#This Row],[G 10min]]-1)/(Table131722[[#This Row],[G 10min]]*$O$26-$O$27))</f>
        <v>#DIV/0!</v>
      </c>
      <c r="U31" s="6" t="e">
        <f>-$N$29/LN((Table131722[[#This Row],[G 15min]]-1)/(Table131722[[#This Row],[G 15min]]*$O$26-$O$27))</f>
        <v>#DIV/0!</v>
      </c>
      <c r="V31" s="6" t="e">
        <f>-$N$29/LN((Table131722[[#This Row],[G 20min]]-1)/(Table131722[[#This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5.3868299296482975</v>
      </c>
      <c r="F32" s="5">
        <f t="shared" si="0"/>
        <v>1</v>
      </c>
      <c r="G32" s="5">
        <f t="shared" si="1"/>
        <v>5.6505875427415306</v>
      </c>
      <c r="H32" s="5">
        <f t="shared" si="0"/>
        <v>1</v>
      </c>
      <c r="I32" s="5">
        <f t="shared" si="1"/>
        <v>5.8437022870048976</v>
      </c>
      <c r="J32" s="5">
        <f t="shared" si="0"/>
        <v>1</v>
      </c>
      <c r="K32" s="5">
        <f t="shared" si="1"/>
        <v>5.6297677430200777</v>
      </c>
      <c r="M32" s="6">
        <f>Table4131621[[#This Row],[2 - Pre]]*$N$27/(Table4131621[[#This Row],[10 - pre]]*$N$26)</f>
        <v>1.3008056773482592</v>
      </c>
      <c r="N32" s="6">
        <f>Table4131621[[#This Row],[2 - Post 5min]]*$N$27/(Table4131621[[#This Row],[10 - Post 5min]]*$N$26)</f>
        <v>0.92367204886448795</v>
      </c>
      <c r="O32" s="6">
        <f>Table4131621[[#This Row],[2 - Post 10min]]*$N$27/(Table4131621[[#This Row],[10 - Post 10min]]*$N$26)</f>
        <v>0.88055696869864175</v>
      </c>
      <c r="P32" s="6">
        <f>Table4131621[[#This Row],[2 - Post 15min]]*$N$27/(Table4131621[[#This Row],[10 - Post 15min]]*$N$26)</f>
        <v>0.85145751676425518</v>
      </c>
      <c r="Q32" s="6">
        <f>Table4131621[[#This Row],[2 - Post 20min]]*$N$27/(Table4131621[[#This Row],[10 - Post 20min]]*$N$26)</f>
        <v>0.8838134120491451</v>
      </c>
      <c r="R32" s="6">
        <f>-$N$29/LN((Table131722[[#This Row],[G Pre]]-1)/(Table131722[[#This Row],[G Pre]]*$O$26-$O$27))</f>
        <v>3.4644722702092752</v>
      </c>
      <c r="S32" s="6">
        <f>-$N$29/LN((Table131722[[#This Row],[G 5min]]-1)/(Table131722[[#This Row],[G 5min]]*$O$26-$O$27))</f>
        <v>-0.76134429263199177</v>
      </c>
      <c r="T32" s="6">
        <f>-$N$29/LN((Table131722[[#This Row],[G 10min]]-1)/(Table131722[[#This Row],[G 10min]]*$O$26-$O$27))</f>
        <v>-1.2375108326079576</v>
      </c>
      <c r="U32" s="6">
        <f>-$N$29/LN((Table131722[[#This Row],[G 15min]]-1)/(Table131722[[#This Row],[G 15min]]*$O$26-$O$27))</f>
        <v>-1.5575443587894182</v>
      </c>
      <c r="V32" s="6">
        <f>-$N$29/LN((Table131722[[#This Row],[G 20min]]-1)/(Table131722[[#This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3.8413419742353589</v>
      </c>
      <c r="F33" s="5">
        <f t="shared" si="0"/>
        <v>1</v>
      </c>
      <c r="G33" s="5">
        <f t="shared" si="1"/>
        <v>7.0028987221959298</v>
      </c>
      <c r="H33" s="5">
        <f t="shared" si="0"/>
        <v>1</v>
      </c>
      <c r="I33" s="5">
        <f t="shared" si="1"/>
        <v>7.0697284281992578</v>
      </c>
      <c r="J33" s="5">
        <f t="shared" si="0"/>
        <v>1</v>
      </c>
      <c r="K33" s="5">
        <f t="shared" si="1"/>
        <v>6.8045475337348496</v>
      </c>
      <c r="M33" s="6">
        <f>Table4131621[[#This Row],[2 - Pre]]*$N$27/(Table4131621[[#This Row],[10 - pre]]*$N$26)</f>
        <v>0.97902842296696546</v>
      </c>
      <c r="N33" s="6">
        <f>Table4131621[[#This Row],[2 - Post 5min]]*$N$27/(Table4131621[[#This Row],[10 - Post 5min]]*$N$26)</f>
        <v>1.2952932260068366</v>
      </c>
      <c r="O33" s="6">
        <f>Table4131621[[#This Row],[2 - Post 10min]]*$N$27/(Table4131621[[#This Row],[10 - Post 10min]]*$N$26)</f>
        <v>0.71051495036366141</v>
      </c>
      <c r="P33" s="6">
        <f>Table4131621[[#This Row],[2 - Post 15min]]*$N$27/(Table4131621[[#This Row],[10 - Post 15min]]*$N$26)</f>
        <v>0.70379849643957937</v>
      </c>
      <c r="Q33" s="6">
        <f>Table4131621[[#This Row],[2 - Post 20min]]*$N$27/(Table4131621[[#This Row],[10 - Post 20min]]*$N$26)</f>
        <v>0.73122631789034898</v>
      </c>
      <c r="R33" s="6">
        <f>-$N$29/LN((Table131722[[#This Row],[G Pre]]-1)/(Table131722[[#This Row],[G Pre]]*$O$26-$O$27))</f>
        <v>-0.13605787131971925</v>
      </c>
      <c r="S33" s="6">
        <f>-$N$29/LN((Table131722[[#This Row],[G 5min]]-1)/(Table131722[[#This Row],[G 5min]]*$O$26-$O$27))</f>
        <v>3.401670283718857</v>
      </c>
      <c r="T33" s="6">
        <f>-$N$29/LN((Table131722[[#This Row],[G 10min]]-1)/(Table131722[[#This Row],[G 10min]]*$O$26-$O$27))</f>
        <v>-3.0956932563087141</v>
      </c>
      <c r="U33" s="6">
        <f>-$N$29/LN((Table131722[[#This Row],[G 15min]]-1)/(Table131722[[#This Row],[G 15min]]*$O$26-$O$27))</f>
        <v>-3.1685285671456773</v>
      </c>
      <c r="V33" s="6">
        <f>-$N$29/LN((Table131722[[#This Row],[G 20min]]-1)/(Table131722[[#This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6.6137806677991584</v>
      </c>
      <c r="F34" s="5">
        <f t="shared" si="0"/>
        <v>1</v>
      </c>
      <c r="G34" s="5">
        <f t="shared" si="1"/>
        <v>6.3353869273651009</v>
      </c>
      <c r="H34" s="5">
        <f t="shared" si="0"/>
        <v>1</v>
      </c>
      <c r="I34" s="5">
        <f t="shared" si="1"/>
        <v>6.9844555311384315</v>
      </c>
      <c r="J34" s="5">
        <f t="shared" si="0"/>
        <v>1</v>
      </c>
      <c r="K34" s="5">
        <f t="shared" si="1"/>
        <v>5.3801156162086823</v>
      </c>
      <c r="M34" s="6">
        <f>Table4131621[[#This Row],[2 - Pre]]*$N$27/(Table4131621[[#This Row],[10 - pre]]*$N$26)</f>
        <v>1.1074198196834615</v>
      </c>
      <c r="N34" s="6">
        <f>Table4131621[[#This Row],[2 - Post 5min]]*$N$27/(Table4131621[[#This Row],[10 - Post 5min]]*$N$26)</f>
        <v>0.75231769662820125</v>
      </c>
      <c r="O34" s="6">
        <f>Table4131621[[#This Row],[2 - Post 10min]]*$N$27/(Table4131621[[#This Row],[10 - Post 10min]]*$N$26)</f>
        <v>0.78537653580571076</v>
      </c>
      <c r="P34" s="6">
        <f>Table4131621[[#This Row],[2 - Post 15min]]*$N$27/(Table4131621[[#This Row],[10 - Post 15min]]*$N$26)</f>
        <v>0.71239113998507775</v>
      </c>
      <c r="Q34" s="6">
        <f>Table4131621[[#This Row],[2 - Post 20min]]*$N$27/(Table4131621[[#This Row],[10 - Post 20min]]*$N$26)</f>
        <v>0.9248247794178619</v>
      </c>
      <c r="R34" s="6">
        <f>-$N$29/LN((Table131722[[#This Row],[G Pre]]-1)/(Table131722[[#This Row],[G Pre]]*$O$26-$O$27))</f>
        <v>1.277969836420177</v>
      </c>
      <c r="S34" s="6">
        <f>-$N$29/LN((Table131722[[#This Row],[G 5min]]-1)/(Table131722[[#This Row],[G 5min]]*$O$26-$O$27))</f>
        <v>-2.6414417213358417</v>
      </c>
      <c r="T34" s="6">
        <f>-$N$29/LN((Table131722[[#This Row],[G 10min]]-1)/(Table131722[[#This Row],[G 10min]]*$O$26-$O$27))</f>
        <v>-2.2810584451894376</v>
      </c>
      <c r="U34" s="6">
        <f>-$N$29/LN((Table131722[[#This Row],[G 15min]]-1)/(Table131722[[#This Row],[G 15min]]*$O$26-$O$27))</f>
        <v>-3.0753399200337297</v>
      </c>
      <c r="V34" s="6">
        <f>-$N$29/LN((Table131722[[#This Row],[G 20min]]-1)/(Table131722[[#This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7.2469674189745596</v>
      </c>
      <c r="F35" s="5">
        <f t="shared" si="0"/>
        <v>1</v>
      </c>
      <c r="G35" s="5">
        <f t="shared" si="1"/>
        <v>7.5305491738966026</v>
      </c>
      <c r="H35" s="5">
        <f t="shared" si="0"/>
        <v>1</v>
      </c>
      <c r="I35" s="5">
        <f t="shared" si="1"/>
        <v>7.75398027474463</v>
      </c>
      <c r="J35" s="5">
        <f t="shared" si="0"/>
        <v>1</v>
      </c>
      <c r="K35" s="5">
        <f t="shared" si="1"/>
        <v>7.5376812258867103</v>
      </c>
      <c r="M35" s="6">
        <f>Table4131621[[#This Row],[2 - Pre]]*$N$27/(Table4131621[[#This Row],[10 - pre]]*$N$26)</f>
        <v>1.0399483775522544</v>
      </c>
      <c r="N35" s="6">
        <f>Table4131621[[#This Row],[2 - Post 5min]]*$N$27/(Table4131621[[#This Row],[10 - Post 5min]]*$N$26)</f>
        <v>0.68658570548766751</v>
      </c>
      <c r="O35" s="6">
        <f>Table4131621[[#This Row],[2 - Post 10min]]*$N$27/(Table4131621[[#This Row],[10 - Post 10min]]*$N$26)</f>
        <v>0.66073059522008071</v>
      </c>
      <c r="P35" s="6">
        <f>Table4131621[[#This Row],[2 - Post 15min]]*$N$27/(Table4131621[[#This Row],[10 - Post 15min]]*$N$26)</f>
        <v>0.64169162955043213</v>
      </c>
      <c r="Q35" s="6">
        <f>Table4131621[[#This Row],[2 - Post 20min]]*$N$27/(Table4131621[[#This Row],[10 - Post 20min]]*$N$26)</f>
        <v>0.66010542087065593</v>
      </c>
      <c r="R35" s="6">
        <f>-$N$29/LN((Table131722[[#This Row],[G Pre]]-1)/(Table131722[[#This Row],[G Pre]]*$O$26-$O$27))</f>
        <v>0.52133078970952307</v>
      </c>
      <c r="S35" s="6">
        <f>-$N$29/LN((Table131722[[#This Row],[G 5min]]-1)/(Table131722[[#This Row],[G 5min]]*$O$26-$O$27))</f>
        <v>-3.3550020284117257</v>
      </c>
      <c r="T35" s="6">
        <f>-$N$29/LN((Table131722[[#This Row],[G 10min]]-1)/(Table131722[[#This Row],[G 10min]]*$O$26-$O$27))</f>
        <v>-3.6345971493160154</v>
      </c>
      <c r="U35" s="6">
        <f>-$N$29/LN((Table131722[[#This Row],[G 15min]]-1)/(Table131722[[#This Row],[G 15min]]*$O$26-$O$27))</f>
        <v>-3.8400979523051717</v>
      </c>
      <c r="V35" s="6">
        <f>-$N$29/LN((Table131722[[#This Row],[G 20min]]-1)/(Table131722[[#This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4.6740693256844024</v>
      </c>
      <c r="F36" s="5">
        <f t="shared" si="0"/>
        <v>1</v>
      </c>
      <c r="G36" s="5">
        <f t="shared" si="1"/>
        <v>4.7163202629152456</v>
      </c>
      <c r="H36" s="5">
        <f t="shared" si="0"/>
        <v>1</v>
      </c>
      <c r="I36" s="5">
        <f t="shared" si="1"/>
        <v>5.0483634152209866</v>
      </c>
      <c r="J36" s="5">
        <f t="shared" si="0"/>
        <v>1</v>
      </c>
      <c r="K36" s="5">
        <f t="shared" si="1"/>
        <v>4.6288682990472934</v>
      </c>
      <c r="M36" s="6">
        <f>Table4131621[[#This Row],[2 - Pre]]*$N$27/(Table4131621[[#This Row],[10 - pre]]*$N$26)</f>
        <v>1.1379642365071603</v>
      </c>
      <c r="N36" s="6">
        <f>Table4131621[[#This Row],[2 - Post 5min]]*$N$27/(Table4131621[[#This Row],[10 - Post 5min]]*$N$26)</f>
        <v>1.0645251260312074</v>
      </c>
      <c r="O36" s="6">
        <f>Table4131621[[#This Row],[2 - Post 10min]]*$N$27/(Table4131621[[#This Row],[10 - Post 10min]]*$N$26)</f>
        <v>1.0549886268595421</v>
      </c>
      <c r="P36" s="6">
        <f>Table4131621[[#This Row],[2 - Post 15min]]*$N$27/(Table4131621[[#This Row],[10 - Post 15min]]*$N$26)</f>
        <v>0.98559945644978586</v>
      </c>
      <c r="Q36" s="6">
        <f>Table4131621[[#This Row],[2 - Post 20min]]*$N$27/(Table4131621[[#This Row],[10 - Post 20min]]*$N$26)</f>
        <v>1.0749202432540308</v>
      </c>
      <c r="R36" s="6">
        <f>-$N$29/LN((Table131722[[#This Row],[G Pre]]-1)/(Table131722[[#This Row],[G Pre]]*$O$26-$O$27))</f>
        <v>1.6211478483778388</v>
      </c>
      <c r="S36" s="6">
        <f>-$N$29/LN((Table131722[[#This Row],[G 5min]]-1)/(Table131722[[#This Row],[G 5min]]*$O$26-$O$27))</f>
        <v>0.796989787836902</v>
      </c>
      <c r="T36" s="6">
        <f>-$N$29/LN((Table131722[[#This Row],[G 10min]]-1)/(Table131722[[#This Row],[G 10min]]*$O$26-$O$27))</f>
        <v>0.69009611250599445</v>
      </c>
      <c r="U36" s="6" t="e">
        <f>-$N$29/LN((Table131722[[#This Row],[G 15min]]-1)/(Table131722[[#This Row],[G 15min]]*$O$26-$O$27))</f>
        <v>#NUM!</v>
      </c>
      <c r="V36" s="6">
        <f>-$N$29/LN((Table131722[[#This Row],[G 20min]]-1)/(Table131722[[#This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3.9341852023136039</v>
      </c>
      <c r="F37" s="5">
        <f t="shared" si="0"/>
        <v>1</v>
      </c>
      <c r="G37" s="5">
        <f t="shared" si="1"/>
        <v>4.2100846511292822</v>
      </c>
      <c r="H37" s="5">
        <f t="shared" si="0"/>
        <v>1</v>
      </c>
      <c r="I37" s="5">
        <f t="shared" si="1"/>
        <v>4.2384604760850024</v>
      </c>
      <c r="J37" s="5">
        <f t="shared" si="0"/>
        <v>1</v>
      </c>
      <c r="K37" s="5">
        <f t="shared" si="1"/>
        <v>4.1397372021486607</v>
      </c>
      <c r="M37" s="6">
        <f>Table4131621[[#This Row],[2 - Pre]]*$N$27/(Table4131621[[#This Row],[10 - pre]]*$N$26)</f>
        <v>1.8651689214168619</v>
      </c>
      <c r="N37" s="6">
        <f>Table4131621[[#This Row],[2 - Post 5min]]*$N$27/(Table4131621[[#This Row],[10 - Post 5min]]*$N$26)</f>
        <v>1.2647254722723056</v>
      </c>
      <c r="O37" s="6">
        <f>Table4131621[[#This Row],[2 - Post 10min]]*$N$27/(Table4131621[[#This Row],[10 - Post 10min]]*$N$26)</f>
        <v>1.1818442264974776</v>
      </c>
      <c r="P37" s="6">
        <f>Table4131621[[#This Row],[2 - Post 15min]]*$N$27/(Table4131621[[#This Row],[10 - Post 15min]]*$N$26)</f>
        <v>1.173931965645868</v>
      </c>
      <c r="Q37" s="6">
        <f>Table4131621[[#This Row],[2 - Post 20min]]*$N$27/(Table4131621[[#This Row],[10 - Post 20min]]*$N$26)</f>
        <v>1.2019275608655193</v>
      </c>
      <c r="R37" s="6">
        <f>-$N$29/LN((Table131722[[#This Row],[G Pre]]-1)/(Table131722[[#This Row],[G Pre]]*$O$26-$O$27))</f>
        <v>10.05211151516966</v>
      </c>
      <c r="S37" s="6">
        <f>-$N$29/LN((Table131722[[#This Row],[G 5min]]-1)/(Table131722[[#This Row],[G 5min]]*$O$26-$O$27))</f>
        <v>3.0539415376578245</v>
      </c>
      <c r="T37" s="6">
        <f>-$N$29/LN((Table131722[[#This Row],[G 10min]]-1)/(Table131722[[#This Row],[G 10min]]*$O$26-$O$27))</f>
        <v>2.1154938855825884</v>
      </c>
      <c r="U37" s="6">
        <f>-$N$29/LN((Table131722[[#This Row],[G 15min]]-1)/(Table131722[[#This Row],[G 15min]]*$O$26-$O$27))</f>
        <v>2.0262318952111511</v>
      </c>
      <c r="V37" s="6">
        <f>-$N$29/LN((Table131722[[#This Row],[G 20min]]-1)/(Table131722[[#This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6.4401207530489657</v>
      </c>
      <c r="F38" s="5">
        <f t="shared" si="0"/>
        <v>1</v>
      </c>
      <c r="G38" s="5">
        <f t="shared" si="1"/>
        <v>6.8829787966464311</v>
      </c>
      <c r="H38" s="5">
        <f t="shared" si="0"/>
        <v>1</v>
      </c>
      <c r="I38" s="5">
        <f t="shared" si="1"/>
        <v>7.0415393111187363</v>
      </c>
      <c r="J38" s="5">
        <f t="shared" si="0"/>
        <v>1</v>
      </c>
      <c r="K38" s="5">
        <f t="shared" si="1"/>
        <v>7.277902583477994</v>
      </c>
      <c r="M38" s="6">
        <f>Table4131621[[#This Row],[2 - Pre]]*$N$27/(Table4131621[[#This Row],[10 - pre]]*$N$26)</f>
        <v>1.0761081462020172</v>
      </c>
      <c r="N38" s="6">
        <f>Table4131621[[#This Row],[2 - Post 5min]]*$N$27/(Table4131621[[#This Row],[10 - Post 5min]]*$N$26)</f>
        <v>0.77260418380309803</v>
      </c>
      <c r="O38" s="6">
        <f>Table4131621[[#This Row],[2 - Post 10min]]*$N$27/(Table4131621[[#This Row],[10 - Post 10min]]*$N$26)</f>
        <v>0.72289402379491041</v>
      </c>
      <c r="P38" s="6">
        <f>Table4131621[[#This Row],[2 - Post 15min]]*$N$27/(Table4131621[[#This Row],[10 - Post 15min]]*$N$26)</f>
        <v>0.70661598525000235</v>
      </c>
      <c r="Q38" s="6">
        <f>Table4131621[[#This Row],[2 - Post 20min]]*$N$27/(Table4131621[[#This Row],[10 - Post 20min]]*$N$26)</f>
        <v>0.68366733147793768</v>
      </c>
      <c r="R38" s="6">
        <f>-$N$29/LN((Table131722[[#This Row],[G Pre]]-1)/(Table131722[[#This Row],[G Pre]]*$O$26-$O$27))</f>
        <v>0.92680581004725049</v>
      </c>
      <c r="S38" s="6">
        <f>-$N$29/LN((Table131722[[#This Row],[G 5min]]-1)/(Table131722[[#This Row],[G 5min]]*$O$26-$O$27))</f>
        <v>-2.4204147801813725</v>
      </c>
      <c r="T38" s="6">
        <f>-$N$29/LN((Table131722[[#This Row],[G 10min]]-1)/(Table131722[[#This Row],[G 10min]]*$O$26-$O$27))</f>
        <v>-2.9613427905736875</v>
      </c>
      <c r="U38" s="6">
        <f>-$N$29/LN((Table131722[[#This Row],[G 15min]]-1)/(Table131722[[#This Row],[G 15min]]*$O$26-$O$27))</f>
        <v>-3.1379798518811008</v>
      </c>
      <c r="V38" s="6">
        <f>-$N$29/LN((Table131722[[#This Row],[G 20min]]-1)/(Table131722[[#This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6.7626690242548708</v>
      </c>
      <c r="H39" s="5">
        <f t="shared" si="0"/>
        <v>1</v>
      </c>
      <c r="I39" s="5">
        <f t="shared" si="1"/>
        <v>7.1574645413580473</v>
      </c>
      <c r="J39" s="5">
        <f t="shared" si="0"/>
        <v>1</v>
      </c>
      <c r="K39" s="5">
        <f t="shared" si="1"/>
        <v>7.0472873889288117</v>
      </c>
      <c r="M39" s="6">
        <f>Table4131621[[#This Row],[2 - Pre]]*$N$27/(Table4131621[[#This Row],[10 - pre]]*$N$26)</f>
        <v>1.2250269361684929</v>
      </c>
      <c r="N39" s="6" t="e">
        <f>Table4131621[[#This Row],[2 - Post 5min]]*$N$27/(Table4131621[[#This Row],[10 - Post 5min]]*$N$26)</f>
        <v>#DIV/0!</v>
      </c>
      <c r="O39" s="6">
        <f>Table4131621[[#This Row],[2 - Post 10min]]*$N$27/(Table4131621[[#This Row],[10 - Post 10min]]*$N$26)</f>
        <v>0.73575451055746743</v>
      </c>
      <c r="P39" s="6">
        <f>Table4131621[[#This Row],[2 - Post 15min]]*$N$27/(Table4131621[[#This Row],[10 - Post 15min]]*$N$26)</f>
        <v>0.69517134304359596</v>
      </c>
      <c r="Q39" s="6">
        <f>Table4131621[[#This Row],[2 - Post 20min]]*$N$27/(Table4131621[[#This Row],[10 - Post 20min]]*$N$26)</f>
        <v>0.70603963814779103</v>
      </c>
      <c r="R39" s="6">
        <f>-$N$29/LN((Table131722[[#This Row],[G Pre]]-1)/(Table131722[[#This Row],[G Pre]]*$O$26-$O$27))</f>
        <v>2.6036530622777052</v>
      </c>
      <c r="S39" s="6" t="e">
        <f>-$N$29/LN((Table131722[[#This Row],[G 5min]]-1)/(Table131722[[#This Row],[G 5min]]*$O$26-$O$27))</f>
        <v>#DIV/0!</v>
      </c>
      <c r="T39" s="6">
        <f>-$N$29/LN((Table131722[[#This Row],[G 10min]]-1)/(Table131722[[#This Row],[G 10min]]*$O$26-$O$27))</f>
        <v>-2.8216187428861237</v>
      </c>
      <c r="U39" s="6">
        <f>-$N$29/LN((Table131722[[#This Row],[G 15min]]-1)/(Table131722[[#This Row],[G 15min]]*$O$26-$O$27))</f>
        <v>-3.262023823391174</v>
      </c>
      <c r="V39" s="6">
        <f>-$N$29/LN((Table131722[[#This Row],[G 20min]]-1)/(Table131722[[#This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5.2533609276073401</v>
      </c>
      <c r="F40" s="5">
        <f t="shared" si="0"/>
        <v>1</v>
      </c>
      <c r="G40" s="5">
        <f t="shared" si="1"/>
        <v>5.4861558392025511</v>
      </c>
      <c r="H40" s="5">
        <f t="shared" si="0"/>
        <v>1</v>
      </c>
      <c r="I40" s="5">
        <f t="shared" si="1"/>
        <v>5.5702397226589726</v>
      </c>
      <c r="J40" s="5">
        <f t="shared" si="0"/>
        <v>1</v>
      </c>
      <c r="K40" s="5">
        <f t="shared" si="1"/>
        <v>5.3709276078784161</v>
      </c>
      <c r="M40" s="6">
        <f>Table4131621[[#This Row],[2 - Pre]]*$N$27/(Table4131621[[#This Row],[10 - pre]]*$N$26)</f>
        <v>1.4182390032924583</v>
      </c>
      <c r="N40" s="6">
        <f>Table4131621[[#This Row],[2 - Post 5min]]*$N$27/(Table4131621[[#This Row],[10 - Post 5min]]*$N$26)</f>
        <v>0.94713923268717259</v>
      </c>
      <c r="O40" s="6">
        <f>Table4131621[[#This Row],[2 - Post 10min]]*$N$27/(Table4131621[[#This Row],[10 - Post 10min]]*$N$26)</f>
        <v>0.90694912500444658</v>
      </c>
      <c r="P40" s="6">
        <f>Table4131621[[#This Row],[2 - Post 15min]]*$N$27/(Table4131621[[#This Row],[10 - Post 15min]]*$N$26)</f>
        <v>0.89325854644324698</v>
      </c>
      <c r="Q40" s="6">
        <f>Table4131621[[#This Row],[2 - Post 20min]]*$N$27/(Table4131621[[#This Row],[10 - Post 20min]]*$N$26)</f>
        <v>0.92640687070594108</v>
      </c>
      <c r="R40" s="6">
        <f>-$N$29/LN((Table131722[[#This Row],[G Pre]]-1)/(Table131722[[#This Row],[G Pre]]*$O$26-$O$27))</f>
        <v>4.8092811493515999</v>
      </c>
      <c r="S40" s="6">
        <f>-$N$29/LN((Table131722[[#This Row],[G 5min]]-1)/(Table131722[[#This Row],[G 5min]]*$O$26-$O$27))</f>
        <v>-0.50056277920889158</v>
      </c>
      <c r="T40" s="6">
        <f>-$N$29/LN((Table131722[[#This Row],[G 10min]]-1)/(Table131722[[#This Row],[G 10min]]*$O$26-$O$27))</f>
        <v>-0.94636852503729008</v>
      </c>
      <c r="U40" s="6">
        <f>-$N$29/LN((Table131722[[#This Row],[G 15min]]-1)/(Table131722[[#This Row],[G 15min]]*$O$26-$O$27))</f>
        <v>-1.0975104733522025</v>
      </c>
      <c r="V40" s="6">
        <f>-$N$29/LN((Table131722[[#This Row],[G 20min]]-1)/(Table131722[[#This Row],[G 20min]]*$O$26-$O$27))</f>
        <v>-0.73103433884982005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Table4131621[[#This Row],[2 - Pre]]*$N$27/(Table4131621[[#This Row],[10 - pre]]*$N$26)</f>
        <v>#DIV/0!</v>
      </c>
      <c r="N41" s="6" t="e">
        <f>Table4131621[[#This Row],[2 - Post 5min]]*$N$27/(Table4131621[[#This Row],[10 - Post 5min]]*$N$26)</f>
        <v>#DIV/0!</v>
      </c>
      <c r="O41" s="6" t="e">
        <f>Table4131621[[#This Row],[2 - Post 10min]]*$N$27/(Table4131621[[#This Row],[10 - Post 10min]]*$N$26)</f>
        <v>#DIV/0!</v>
      </c>
      <c r="P41" s="6" t="e">
        <f>Table4131621[[#This Row],[2 - Post 15min]]*$N$27/(Table4131621[[#This Row],[10 - Post 15min]]*$N$26)</f>
        <v>#DIV/0!</v>
      </c>
      <c r="Q41" s="6" t="e">
        <f>Table4131621[[#This Row],[2 - Post 20min]]*$N$27/(Table4131621[[#This Row],[10 - Post 20min]]*$N$26)</f>
        <v>#DIV/0!</v>
      </c>
      <c r="R41" s="6" t="e">
        <f>-$N$29/LN((Table131722[[#This Row],[G Pre]]-1)/(Table131722[[#This Row],[G Pre]]*$O$26-$O$27))</f>
        <v>#DIV/0!</v>
      </c>
      <c r="S41" s="6" t="e">
        <f>-$N$29/LN((Table131722[[#This Row],[G 5min]]-1)/(Table131722[[#This Row],[G 5min]]*$O$26-$O$27))</f>
        <v>#DIV/0!</v>
      </c>
      <c r="T41" s="6" t="e">
        <f>-$N$29/LN((Table131722[[#This Row],[G 10min]]-1)/(Table131722[[#This Row],[G 10min]]*$O$26-$O$27))</f>
        <v>#DIV/0!</v>
      </c>
      <c r="U41" s="6" t="e">
        <f>-$N$29/LN((Table131722[[#This Row],[G 15min]]-1)/(Table131722[[#This Row],[G 15min]]*$O$26-$O$27))</f>
        <v>#DIV/0!</v>
      </c>
      <c r="V41" s="6" t="e">
        <f>-$N$29/LN((Table131722[[#This Row],[G 20min]]-1)/(Table131722[[#This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5.4194753403579012</v>
      </c>
      <c r="F42" s="5">
        <f t="shared" si="0"/>
        <v>1</v>
      </c>
      <c r="G42" s="5">
        <f t="shared" si="1"/>
        <v>5.075794219752721</v>
      </c>
      <c r="H42" s="5">
        <f t="shared" si="0"/>
        <v>1</v>
      </c>
      <c r="I42" s="5">
        <f t="shared" si="1"/>
        <v>5.485238249207284</v>
      </c>
      <c r="J42" s="5">
        <f t="shared" si="0"/>
        <v>1</v>
      </c>
      <c r="K42" s="5">
        <f t="shared" si="1"/>
        <v>5.6575605688914807</v>
      </c>
      <c r="M42" s="6">
        <f>Table4131621[[#This Row],[2 - Pre]]*$N$27/(Table4131621[[#This Row],[10 - pre]]*$N$26)</f>
        <v>1.236307188187908</v>
      </c>
      <c r="N42" s="6">
        <f>Table4131621[[#This Row],[2 - Post 5min]]*$N$27/(Table4131621[[#This Row],[10 - Post 5min]]*$N$26)</f>
        <v>0.91810810558540101</v>
      </c>
      <c r="O42" s="6">
        <f>Table4131621[[#This Row],[2 - Post 10min]]*$N$27/(Table4131621[[#This Row],[10 - Post 10min]]*$N$26)</f>
        <v>0.98027304153500328</v>
      </c>
      <c r="P42" s="6">
        <f>Table4131621[[#This Row],[2 - Post 15min]]*$N$27/(Table4131621[[#This Row],[10 - Post 15min]]*$N$26)</f>
        <v>0.90710084265197821</v>
      </c>
      <c r="Q42" s="6">
        <f>Table4131621[[#This Row],[2 - Post 20min]]*$N$27/(Table4131621[[#This Row],[10 - Post 20min]]*$N$26)</f>
        <v>0.87947166935549048</v>
      </c>
      <c r="R42" s="6">
        <f>-$N$29/LN((Table131722[[#This Row],[G Pre]]-1)/(Table131722[[#This Row],[G Pre]]*$O$26-$O$27))</f>
        <v>2.7314522927350611</v>
      </c>
      <c r="S42" s="6">
        <f>-$N$29/LN((Table131722[[#This Row],[G 5min]]-1)/(Table131722[[#This Row],[G 5min]]*$O$26-$O$27))</f>
        <v>-0.8229609842996618</v>
      </c>
      <c r="T42" s="6">
        <f>-$N$29/LN((Table131722[[#This Row],[G 10min]]-1)/(Table131722[[#This Row],[G 10min]]*$O$26-$O$27))</f>
        <v>-0.12031044052702607</v>
      </c>
      <c r="U42" s="6">
        <f>-$N$29/LN((Table131722[[#This Row],[G 15min]]-1)/(Table131722[[#This Row],[G 15min]]*$O$26-$O$27))</f>
        <v>-0.94469204933930118</v>
      </c>
      <c r="V42" s="6">
        <f>-$N$29/LN((Table131722[[#This Row],[G 20min]]-1)/(Table131722[[#This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7.1042838932896304</v>
      </c>
      <c r="F43" s="5">
        <f t="shared" si="0"/>
        <v>1</v>
      </c>
      <c r="G43" s="5">
        <f t="shared" si="1"/>
        <v>6.385365476104476</v>
      </c>
      <c r="H43" s="5">
        <f t="shared" si="0"/>
        <v>1</v>
      </c>
      <c r="I43" s="5">
        <f t="shared" si="1"/>
        <v>7.0350277471742775</v>
      </c>
      <c r="J43" s="5">
        <f t="shared" si="0"/>
        <v>1</v>
      </c>
      <c r="K43" s="5">
        <f t="shared" si="1"/>
        <v>7.0613913043478256</v>
      </c>
      <c r="M43" s="6">
        <f>Table4131621[[#This Row],[2 - Pre]]*$N$27/(Table4131621[[#This Row],[10 - pre]]*$N$26)</f>
        <v>1.0619232192284132</v>
      </c>
      <c r="N43" s="6">
        <f>Table4131621[[#This Row],[2 - Post 5min]]*$N$27/(Table4131621[[#This Row],[10 - Post 5min]]*$N$26)</f>
        <v>0.70037519794254921</v>
      </c>
      <c r="O43" s="6">
        <f>Table4131621[[#This Row],[2 - Post 10min]]*$N$27/(Table4131621[[#This Row],[10 - Post 10min]]*$N$26)</f>
        <v>0.77922935760261225</v>
      </c>
      <c r="P43" s="6">
        <f>Table4131621[[#This Row],[2 - Post 15min]]*$N$27/(Table4131621[[#This Row],[10 - Post 15min]]*$N$26)</f>
        <v>0.70727002320656629</v>
      </c>
      <c r="Q43" s="6">
        <f>Table4131621[[#This Row],[2 - Post 20min]]*$N$27/(Table4131621[[#This Row],[10 - Post 20min]]*$N$26)</f>
        <v>0.70462944532463212</v>
      </c>
      <c r="R43" s="6">
        <f>-$N$29/LN((Table131722[[#This Row],[G Pre]]-1)/(Table131722[[#This Row],[G Pre]]*$O$26-$O$27))</f>
        <v>0.767828532523677</v>
      </c>
      <c r="S43" s="6">
        <f>-$N$29/LN((Table131722[[#This Row],[G 5min]]-1)/(Table131722[[#This Row],[G 5min]]*$O$26-$O$27))</f>
        <v>-3.2056360650171656</v>
      </c>
      <c r="T43" s="6">
        <f>-$N$29/LN((Table131722[[#This Row],[G 10min]]-1)/(Table131722[[#This Row],[G 10min]]*$O$26-$O$27))</f>
        <v>-2.3481481700775264</v>
      </c>
      <c r="U43" s="6">
        <f>-$N$29/LN((Table131722[[#This Row],[G 15min]]-1)/(Table131722[[#This Row],[G 15min]]*$O$26-$O$27))</f>
        <v>-3.1308873890929005</v>
      </c>
      <c r="V43" s="6">
        <f>-$N$29/LN((Table131722[[#This Row],[G 20min]]-1)/(Table131722[[#This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6.832617919399933</v>
      </c>
      <c r="F44" s="5">
        <f t="shared" si="0"/>
        <v>1</v>
      </c>
      <c r="G44" s="5">
        <f t="shared" si="1"/>
        <v>7.2485480705395293</v>
      </c>
      <c r="H44" s="5">
        <f t="shared" si="0"/>
        <v>1</v>
      </c>
      <c r="I44" s="5">
        <f t="shared" si="1"/>
        <v>7.4713146259952481</v>
      </c>
      <c r="J44" s="5">
        <f t="shared" si="0"/>
        <v>1</v>
      </c>
      <c r="K44" s="5">
        <f t="shared" si="1"/>
        <v>7.2259144034637695</v>
      </c>
      <c r="M44" s="6">
        <f>Table4131621[[#This Row],[2 - Pre]]*$N$27/(Table4131621[[#This Row],[10 - pre]]*$N$26)</f>
        <v>0.97612846352329496</v>
      </c>
      <c r="N44" s="6">
        <f>Table4131621[[#This Row],[2 - Post 5min]]*$N$27/(Table4131621[[#This Row],[10 - Post 5min]]*$N$26)</f>
        <v>0.72822222707277784</v>
      </c>
      <c r="O44" s="6">
        <f>Table4131621[[#This Row],[2 - Post 10min]]*$N$27/(Table4131621[[#This Row],[10 - Post 10min]]*$N$26)</f>
        <v>0.68643598546659523</v>
      </c>
      <c r="P44" s="6">
        <f>Table4131621[[#This Row],[2 - Post 15min]]*$N$27/(Table4131621[[#This Row],[10 - Post 15min]]*$N$26)</f>
        <v>0.66596904120337241</v>
      </c>
      <c r="Q44" s="6">
        <f>Table4131621[[#This Row],[2 - Post 20min]]*$N$27/(Table4131621[[#This Row],[10 - Post 20min]]*$N$26)</f>
        <v>0.68858610276613363</v>
      </c>
      <c r="R44" s="6">
        <f>-$N$29/LN((Table131722[[#This Row],[G Pre]]-1)/(Table131722[[#This Row],[G Pre]]*$O$26-$O$27))</f>
        <v>-0.17134143476079591</v>
      </c>
      <c r="S44" s="6">
        <f>-$N$29/LN((Table131722[[#This Row],[G 5min]]-1)/(Table131722[[#This Row],[G 5min]]*$O$26-$O$27))</f>
        <v>-2.9034724287482621</v>
      </c>
      <c r="T44" s="6">
        <f>-$N$29/LN((Table131722[[#This Row],[G 10min]]-1)/(Table131722[[#This Row],[G 10min]]*$O$26-$O$27))</f>
        <v>-3.3566228290089271</v>
      </c>
      <c r="U44" s="6">
        <f>-$N$29/LN((Table131722[[#This Row],[G 15min]]-1)/(Table131722[[#This Row],[G 15min]]*$O$26-$O$27))</f>
        <v>-3.5779977554029143</v>
      </c>
      <c r="V44" s="6">
        <f>-$N$29/LN((Table131722[[#This Row],[G 20min]]-1)/(Table131722[[#This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 t="e">
        <f t="shared" si="0"/>
        <v>#DIV/0!</v>
      </c>
      <c r="E45" s="5" t="e">
        <f t="shared" si="1"/>
        <v>#DIV/0!</v>
      </c>
      <c r="F45" s="5" t="e">
        <f t="shared" si="0"/>
        <v>#DIV/0!</v>
      </c>
      <c r="G45" s="5" t="e">
        <f t="shared" si="1"/>
        <v>#DIV/0!</v>
      </c>
      <c r="H45" s="5" t="e">
        <f t="shared" si="0"/>
        <v>#DIV/0!</v>
      </c>
      <c r="I45" s="5" t="e">
        <f t="shared" si="1"/>
        <v>#DIV/0!</v>
      </c>
      <c r="J45" s="5" t="e">
        <f t="shared" si="0"/>
        <v>#DIV/0!</v>
      </c>
      <c r="K45" s="5" t="e">
        <f t="shared" si="1"/>
        <v>#DIV/0!</v>
      </c>
      <c r="M45" s="6" t="e">
        <f>Table4131621[[#This Row],[2 - Pre]]*$N$27/(Table4131621[[#This Row],[10 - pre]]*$N$26)</f>
        <v>#DIV/0!</v>
      </c>
      <c r="N45" s="6" t="e">
        <f>Table4131621[[#This Row],[2 - Post 5min]]*$N$27/(Table4131621[[#This Row],[10 - Post 5min]]*$N$26)</f>
        <v>#DIV/0!</v>
      </c>
      <c r="O45" s="6" t="e">
        <f>Table4131621[[#This Row],[2 - Post 10min]]*$N$27/(Table4131621[[#This Row],[10 - Post 10min]]*$N$26)</f>
        <v>#DIV/0!</v>
      </c>
      <c r="P45" s="6" t="e">
        <f>Table4131621[[#This Row],[2 - Post 15min]]*$N$27/(Table4131621[[#This Row],[10 - Post 15min]]*$N$26)</f>
        <v>#DIV/0!</v>
      </c>
      <c r="Q45" s="6" t="e">
        <f>Table4131621[[#This Row],[2 - Post 20min]]*$N$27/(Table4131621[[#This Row],[10 - Post 20min]]*$N$26)</f>
        <v>#DIV/0!</v>
      </c>
      <c r="R45" s="6" t="e">
        <f>-$N$29/LN((Table131722[[#This Row],[G Pre]]-1)/(Table131722[[#This Row],[G Pre]]*$O$26-$O$27))</f>
        <v>#DIV/0!</v>
      </c>
      <c r="S45" s="6" t="e">
        <f>-$N$29/LN((Table131722[[#This Row],[G 5min]]-1)/(Table131722[[#This Row],[G 5min]]*$O$26-$O$27))</f>
        <v>#DIV/0!</v>
      </c>
      <c r="T45" s="6" t="e">
        <f>-$N$29/LN((Table131722[[#This Row],[G 10min]]-1)/(Table131722[[#This Row],[G 10min]]*$O$26-$O$27))</f>
        <v>#DIV/0!</v>
      </c>
      <c r="U45" s="6" t="e">
        <f>-$N$29/LN((Table131722[[#This Row],[G 15min]]-1)/(Table131722[[#This Row],[G 15min]]*$O$26-$O$27))</f>
        <v>#DIV/0!</v>
      </c>
      <c r="V45" s="6" t="e">
        <f>-$N$29/LN((Table131722[[#This Row],[G 20min]]-1)/(Table131722[[#This Row],[G 20min]]*$O$26-$O$27))</f>
        <v>#DIV/0!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5.3039162016570138</v>
      </c>
      <c r="F46" s="5">
        <f t="shared" si="0"/>
        <v>1</v>
      </c>
      <c r="G46" s="5">
        <f t="shared" si="1"/>
        <v>5.4633277055753924</v>
      </c>
      <c r="H46" s="5">
        <f t="shared" si="0"/>
        <v>1</v>
      </c>
      <c r="I46" s="5">
        <f t="shared" si="1"/>
        <v>5.1760534908147351</v>
      </c>
      <c r="J46" s="5">
        <f t="shared" si="0"/>
        <v>1</v>
      </c>
      <c r="K46" s="5">
        <f t="shared" si="1"/>
        <v>5.3847268175944647</v>
      </c>
      <c r="M46" s="6">
        <f>Table4131621[[#This Row],[2 - Pre]]*$N$27/(Table4131621[[#This Row],[10 - pre]]*$N$26)</f>
        <v>1.5105493732650053</v>
      </c>
      <c r="N46" s="6">
        <f>Table4131621[[#This Row],[2 - Post 5min]]*$N$27/(Table4131621[[#This Row],[10 - Post 5min]]*$N$26)</f>
        <v>0.93811139709340152</v>
      </c>
      <c r="O46" s="6">
        <f>Table4131621[[#This Row],[2 - Post 10min]]*$N$27/(Table4131621[[#This Row],[10 - Post 10min]]*$N$26)</f>
        <v>0.91073874864307747</v>
      </c>
      <c r="P46" s="6">
        <f>Table4131621[[#This Row],[2 - Post 15min]]*$N$27/(Table4131621[[#This Row],[10 - Post 15min]]*$N$26)</f>
        <v>0.961285320337676</v>
      </c>
      <c r="Q46" s="6">
        <f>Table4131621[[#This Row],[2 - Post 20min]]*$N$27/(Table4131621[[#This Row],[10 - Post 20min]]*$N$26)</f>
        <v>0.92403280733665571</v>
      </c>
      <c r="R46" s="6">
        <f>-$N$29/LN((Table131722[[#This Row],[G Pre]]-1)/(Table131722[[#This Row],[G Pre]]*$O$26-$O$27))</f>
        <v>5.8757962590103148</v>
      </c>
      <c r="S46" s="6">
        <f>-$N$29/LN((Table131722[[#This Row],[G 5min]]-1)/(Table131722[[#This Row],[G 5min]]*$O$26-$O$27))</f>
        <v>-0.6010994643590416</v>
      </c>
      <c r="T46" s="6">
        <f>-$N$29/LN((Table131722[[#This Row],[G 10min]]-1)/(Table131722[[#This Row],[G 10min]]*$O$26-$O$27))</f>
        <v>-0.90448239902328387</v>
      </c>
      <c r="U46" s="6">
        <f>-$N$29/LN((Table131722[[#This Row],[G 15min]]-1)/(Table131722[[#This Row],[G 15min]]*$O$26-$O$27))</f>
        <v>-0.34200721977918896</v>
      </c>
      <c r="V46" s="6">
        <f>-$N$29/LN((Table131722[[#This Row],[G 20min]]-1)/(Table131722[[#This Row],[G 20min]]*$O$26-$O$27))</f>
        <v>-0.75734695717487899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4.3924363281011427</v>
      </c>
      <c r="F47" s="5">
        <f t="shared" ref="F47:F52" si="6">F18/F18</f>
        <v>1</v>
      </c>
      <c r="G47" s="5">
        <f t="shared" ref="G47:G52" si="7">G18/F18</f>
        <v>4.5508059565961503</v>
      </c>
      <c r="H47" s="5">
        <f t="shared" ref="H47:H52" si="8">H18/H18</f>
        <v>1</v>
      </c>
      <c r="I47" s="5">
        <f t="shared" ref="I47:I52" si="9">I18/H18</f>
        <v>4.9373607374596533</v>
      </c>
      <c r="J47" s="5">
        <f t="shared" ref="J47:J52" si="10">J18/J18</f>
        <v>1</v>
      </c>
      <c r="K47" s="5">
        <f t="shared" ref="K47:K52" si="11">K18/J18</f>
        <v>5.0466400041601069</v>
      </c>
      <c r="M47" s="6">
        <f>Table4131621[[#This Row],[2 - Pre]]*$N$27/(Table4131621[[#This Row],[10 - pre]]*$N$26)</f>
        <v>1.5694549972273848</v>
      </c>
      <c r="N47" s="6">
        <f>Table4131621[[#This Row],[2 - Post 5min]]*$N$27/(Table4131621[[#This Row],[10 - Post 5min]]*$N$26)</f>
        <v>1.132780048778482</v>
      </c>
      <c r="O47" s="6">
        <f>Table4131621[[#This Row],[2 - Post 10min]]*$N$27/(Table4131621[[#This Row],[10 - Post 10min]]*$N$26)</f>
        <v>1.0933589094896101</v>
      </c>
      <c r="P47" s="6">
        <f>Table4131621[[#This Row],[2 - Post 15min]]*$N$27/(Table4131621[[#This Row],[10 - Post 15min]]*$N$26)</f>
        <v>1.0077578898079145</v>
      </c>
      <c r="Q47" s="6">
        <f>Table4131621[[#This Row],[2 - Post 20min]]*$N$27/(Table4131621[[#This Row],[10 - Post 20min]]*$N$26)</f>
        <v>0.98593603544163833</v>
      </c>
      <c r="R47" s="6">
        <f>-$N$29/LN((Table131722[[#This Row],[G Pre]]-1)/(Table131722[[#This Row],[G Pre]]*$O$26-$O$27))</f>
        <v>6.5607565654040521</v>
      </c>
      <c r="S47" s="6">
        <f>-$N$29/LN((Table131722[[#This Row],[G 5min]]-1)/(Table131722[[#This Row],[G 5min]]*$O$26-$O$27))</f>
        <v>1.5628507169179888</v>
      </c>
      <c r="T47" s="6">
        <f>-$N$29/LN((Table131722[[#This Row],[G 10min]]-1)/(Table131722[[#This Row],[G 10min]]*$O$26-$O$27))</f>
        <v>1.1202113004601619</v>
      </c>
      <c r="U47" s="6">
        <f>-$N$29/LN((Table131722[[#This Row],[G 15min]]-1)/(Table131722[[#This Row],[G 15min]]*$O$26-$O$27))</f>
        <v>0.15319148747148018</v>
      </c>
      <c r="V47" s="6" t="e">
        <f>-$N$29/LN((Table131722[[#This Row],[G 20min]]-1)/(Table131722[[#This Row],[G 20min]]*$O$26-$O$27))</f>
        <v>#NUM!</v>
      </c>
    </row>
    <row r="48" spans="1:22">
      <c r="A48" s="2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M48" s="6" t="e">
        <f>Table4131621[[#This Row],[2 - Pre]]*$N$27/(Table4131621[[#This Row],[10 - pre]]*$N$26)</f>
        <v>#DIV/0!</v>
      </c>
      <c r="N48" s="6" t="e">
        <f>Table4131621[[#This Row],[2 - Post 5min]]*$N$27/(Table4131621[[#This Row],[10 - Post 5min]]*$N$26)</f>
        <v>#DIV/0!</v>
      </c>
      <c r="O48" s="6" t="e">
        <f>Table4131621[[#This Row],[2 - Post 10min]]*$N$27/(Table4131621[[#This Row],[10 - Post 10min]]*$N$26)</f>
        <v>#DIV/0!</v>
      </c>
      <c r="P48" s="6" t="e">
        <f>Table4131621[[#This Row],[2 - Post 15min]]*$N$27/(Table4131621[[#This Row],[10 - Post 15min]]*$N$26)</f>
        <v>#DIV/0!</v>
      </c>
      <c r="Q48" s="6" t="e">
        <f>Table4131621[[#This Row],[2 - Post 20min]]*$N$27/(Table4131621[[#This Row],[10 - Post 20min]]*$N$26)</f>
        <v>#DIV/0!</v>
      </c>
      <c r="R48" s="6" t="e">
        <f>-$N$29/LN((Table131722[[#This Row],[G Pre]]-1)/(Table131722[[#This Row],[G Pre]]*$O$26-$O$27))</f>
        <v>#DIV/0!</v>
      </c>
      <c r="S48" s="6" t="e">
        <f>-$N$29/LN((Table131722[[#This Row],[G 5min]]-1)/(Table131722[[#This Row],[G 5min]]*$O$26-$O$27))</f>
        <v>#DIV/0!</v>
      </c>
      <c r="T48" s="6" t="e">
        <f>-$N$29/LN((Table131722[[#This Row],[G 10min]]-1)/(Table131722[[#This Row],[G 10min]]*$O$26-$O$27))</f>
        <v>#DIV/0!</v>
      </c>
      <c r="U48" s="6" t="e">
        <f>-$N$29/LN((Table131722[[#This Row],[G 15min]]-1)/(Table131722[[#This Row],[G 15min]]*$O$26-$O$27))</f>
        <v>#DIV/0!</v>
      </c>
      <c r="V48" s="6" t="e">
        <f>-$N$29/LN((Table131722[[#This Row],[G 20min]]-1)/(Table131722[[#This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4.8418419403267894</v>
      </c>
      <c r="F49" s="5">
        <f t="shared" si="6"/>
        <v>1</v>
      </c>
      <c r="G49" s="5">
        <f t="shared" si="7"/>
        <v>5.1368339791877613</v>
      </c>
      <c r="H49" s="5">
        <f t="shared" si="8"/>
        <v>1</v>
      </c>
      <c r="I49" s="5">
        <f t="shared" si="9"/>
        <v>5.1321002457509364</v>
      </c>
      <c r="J49" s="5">
        <f t="shared" si="10"/>
        <v>1</v>
      </c>
      <c r="K49" s="5">
        <f t="shared" si="11"/>
        <v>5.0024369634731398</v>
      </c>
      <c r="M49" s="6">
        <f>Table4131621[[#This Row],[2 - Pre]]*$N$27/(Table4131621[[#This Row],[10 - pre]]*$N$26)</f>
        <v>1.3738618619733967</v>
      </c>
      <c r="N49" s="6">
        <f>Table4131621[[#This Row],[2 - Post 5min]]*$N$27/(Table4131621[[#This Row],[10 - Post 5min]]*$N$26)</f>
        <v>1.0276387166961025</v>
      </c>
      <c r="O49" s="6">
        <f>Table4131621[[#This Row],[2 - Post 10min]]*$N$27/(Table4131621[[#This Row],[10 - Post 10min]]*$N$26)</f>
        <v>0.96862469337378576</v>
      </c>
      <c r="P49" s="6">
        <f>Table4131621[[#This Row],[2 - Post 15min]]*$N$27/(Table4131621[[#This Row],[10 - Post 15min]]*$N$26)</f>
        <v>0.96951813092940531</v>
      </c>
      <c r="Q49" s="6">
        <f>Table4131621[[#This Row],[2 - Post 20min]]*$N$27/(Table4131621[[#This Row],[10 - Post 20min]]*$N$26)</f>
        <v>0.99464806340073042</v>
      </c>
      <c r="R49" s="6">
        <f>-$N$29/LN((Table131722[[#This Row],[G Pre]]-1)/(Table131722[[#This Row],[G Pre]]*$O$26-$O$27))</f>
        <v>4.2995258386704629</v>
      </c>
      <c r="S49" s="6">
        <f>-$N$29/LN((Table131722[[#This Row],[G 5min]]-1)/(Table131722[[#This Row],[G 5min]]*$O$26-$O$27))</f>
        <v>0.38268918457866852</v>
      </c>
      <c r="T49" s="6">
        <f>-$N$29/LN((Table131722[[#This Row],[G 10min]]-1)/(Table131722[[#This Row],[G 10min]]*$O$26-$O$27))</f>
        <v>-0.2586852836048521</v>
      </c>
      <c r="U49" s="6">
        <f>-$N$29/LN((Table131722[[#This Row],[G 15min]]-1)/(Table131722[[#This Row],[G 15min]]*$O$26-$O$27))</f>
        <v>-0.2484444076124856</v>
      </c>
      <c r="V49" s="6" t="e">
        <f>-$N$29/LN((Table131722[[#This Row],[G 20min]]-1)/(Table131722[[#This Row],[G 20min]]*$O$26-$O$27))</f>
        <v>#NUM!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4.1970031007324433</v>
      </c>
      <c r="F50" s="5">
        <f t="shared" si="6"/>
        <v>1</v>
      </c>
      <c r="G50" s="5">
        <f t="shared" si="7"/>
        <v>5.7899048593169997</v>
      </c>
      <c r="H50" s="5">
        <f t="shared" si="8"/>
        <v>1</v>
      </c>
      <c r="I50" s="5">
        <f t="shared" si="9"/>
        <v>6.210512890855286</v>
      </c>
      <c r="J50" s="5">
        <f t="shared" si="10"/>
        <v>1</v>
      </c>
      <c r="K50" s="5">
        <f t="shared" si="11"/>
        <v>6.1613625607494544</v>
      </c>
      <c r="M50" s="6">
        <f>Table4131621[[#This Row],[2 - Pre]]*$N$27/(Table4131621[[#This Row],[10 - pre]]*$N$26)</f>
        <v>1.1528870038881018</v>
      </c>
      <c r="N50" s="6">
        <f>Table4131621[[#This Row],[2 - Post 5min]]*$N$27/(Table4131621[[#This Row],[10 - Post 5min]]*$N$26)</f>
        <v>1.1855278918270173</v>
      </c>
      <c r="O50" s="6">
        <f>Table4131621[[#This Row],[2 - Post 10min]]*$N$27/(Table4131621[[#This Row],[10 - Post 10min]]*$N$26)</f>
        <v>0.85936891173540597</v>
      </c>
      <c r="P50" s="6">
        <f>Table4131621[[#This Row],[2 - Post 15min]]*$N$27/(Table4131621[[#This Row],[10 - Post 15min]]*$N$26)</f>
        <v>0.80116800744898886</v>
      </c>
      <c r="Q50" s="6">
        <f>Table4131621[[#This Row],[2 - Post 20min]]*$N$27/(Table4131621[[#This Row],[10 - Post 20min]]*$N$26)</f>
        <v>0.80755907300439078</v>
      </c>
      <c r="R50" s="6">
        <f>-$N$29/LN((Table131722[[#This Row],[G Pre]]-1)/(Table131722[[#This Row],[G Pre]]*$O$26-$O$27))</f>
        <v>1.7890805986638842</v>
      </c>
      <c r="S50" s="6">
        <f>-$N$29/LN((Table131722[[#This Row],[G 5min]]-1)/(Table131722[[#This Row],[G 5min]]*$O$26-$O$27))</f>
        <v>2.1570700726473273</v>
      </c>
      <c r="T50" s="6">
        <f>-$N$29/LN((Table131722[[#This Row],[G 10min]]-1)/(Table131722[[#This Row],[G 10min]]*$O$26-$O$27))</f>
        <v>-1.4706276373867542</v>
      </c>
      <c r="U50" s="6">
        <f>-$N$29/LN((Table131722[[#This Row],[G 15min]]-1)/(Table131722[[#This Row],[G 15min]]*$O$26-$O$27))</f>
        <v>-2.1085471620444682</v>
      </c>
      <c r="V50" s="6">
        <f>-$N$29/LN((Table131722[[#This Row],[G 20min]]-1)/(Table131722[[#This Row],[G 20min]]*$O$26-$O$27))</f>
        <v>-2.0386610813912238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Table4131621[[#This Row],[2 - Pre]]*$N$27/(Table4131621[[#This Row],[10 - pre]]*$N$26)</f>
        <v>#DIV/0!</v>
      </c>
      <c r="N51" s="6" t="e">
        <f>Table4131621[[#This Row],[2 - Post 5min]]*$N$27/(Table4131621[[#This Row],[10 - Post 5min]]*$N$26)</f>
        <v>#DIV/0!</v>
      </c>
      <c r="O51" s="6" t="e">
        <f>Table4131621[[#This Row],[2 - Post 10min]]*$N$27/(Table4131621[[#This Row],[10 - Post 10min]]*$N$26)</f>
        <v>#DIV/0!</v>
      </c>
      <c r="P51" s="6" t="e">
        <f>Table4131621[[#This Row],[2 - Post 15min]]*$N$27/(Table4131621[[#This Row],[10 - Post 15min]]*$N$26)</f>
        <v>#DIV/0!</v>
      </c>
      <c r="Q51" s="6" t="e">
        <f>Table4131621[[#This Row],[2 - Post 20min]]*$N$27/(Table4131621[[#This Row],[10 - Post 20min]]*$N$26)</f>
        <v>#DIV/0!</v>
      </c>
      <c r="R51" s="6" t="e">
        <f>-$N$29/LN((Table131722[[#This Row],[G Pre]]-1)/(Table131722[[#This Row],[G Pre]]*$O$26-$O$27))</f>
        <v>#DIV/0!</v>
      </c>
      <c r="S51" s="6" t="e">
        <f>-$N$29/LN((Table131722[[#This Row],[G 5min]]-1)/(Table131722[[#This Row],[G 5min]]*$O$26-$O$27))</f>
        <v>#DIV/0!</v>
      </c>
      <c r="T51" s="6" t="e">
        <f>-$N$29/LN((Table131722[[#This Row],[G 10min]]-1)/(Table131722[[#This Row],[G 10min]]*$O$26-$O$27))</f>
        <v>#DIV/0!</v>
      </c>
      <c r="U51" s="6" t="e">
        <f>-$N$29/LN((Table131722[[#This Row],[G 15min]]-1)/(Table131722[[#This Row],[G 15min]]*$O$26-$O$27))</f>
        <v>#DIV/0!</v>
      </c>
      <c r="V51" s="6" t="e">
        <f>-$N$29/LN((Table131722[[#This Row],[G 20min]]-1)/(Table131722[[#This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5.4113698040687996</v>
      </c>
      <c r="F52" s="5">
        <f t="shared" si="6"/>
        <v>1</v>
      </c>
      <c r="G52" s="5">
        <f t="shared" si="7"/>
        <v>5.6301886726004993</v>
      </c>
      <c r="H52" s="5">
        <f t="shared" si="8"/>
        <v>1</v>
      </c>
      <c r="I52" s="5">
        <f t="shared" si="9"/>
        <v>5.5778067752262732</v>
      </c>
      <c r="J52" s="5">
        <f t="shared" si="10"/>
        <v>1</v>
      </c>
      <c r="K52" s="5">
        <f t="shared" si="11"/>
        <v>5.6649762758585274</v>
      </c>
      <c r="M52" s="6">
        <f>Table4131621[[#This Row],[2 - Pre]]*$N$27/(Table4131621[[#This Row],[10 - pre]]*$N$26)</f>
        <v>1.3380704444072569</v>
      </c>
      <c r="N52" s="6">
        <f>Table4131621[[#This Row],[2 - Post 5min]]*$N$27/(Table4131621[[#This Row],[10 - Post 5min]]*$N$26)</f>
        <v>0.91948331349699941</v>
      </c>
      <c r="O52" s="6">
        <f>Table4131621[[#This Row],[2 - Post 10min]]*$N$27/(Table4131621[[#This Row],[10 - Post 10min]]*$N$26)</f>
        <v>0.88374733554081841</v>
      </c>
      <c r="P52" s="6">
        <f>Table4131621[[#This Row],[2 - Post 15min]]*$N$27/(Table4131621[[#This Row],[10 - Post 15min]]*$N$26)</f>
        <v>0.89204671988676809</v>
      </c>
      <c r="Q52" s="6">
        <f>Table4131621[[#This Row],[2 - Post 20min]]*$N$27/(Table4131621[[#This Row],[10 - Post 20min]]*$N$26)</f>
        <v>0.87832040165935676</v>
      </c>
      <c r="R52" s="6">
        <f>-$N$29/LN((Table131722[[#This Row],[G Pre]]-1)/(Table131722[[#This Row],[G Pre]]*$O$26-$O$27))</f>
        <v>3.8897800838098955</v>
      </c>
      <c r="S52" s="6">
        <f>-$N$29/LN((Table131722[[#This Row],[G 5min]]-1)/(Table131722[[#This Row],[G 5min]]*$O$26-$O$27))</f>
        <v>-0.8077372463342255</v>
      </c>
      <c r="T52" s="6">
        <f>-$N$29/LN((Table131722[[#This Row],[G 10min]]-1)/(Table131722[[#This Row],[G 10min]]*$O$26-$O$27))</f>
        <v>-1.2023645505387219</v>
      </c>
      <c r="U52" s="6">
        <f>-$N$29/LN((Table131722[[#This Row],[G 15min]]-1)/(Table131722[[#This Row],[G 15min]]*$O$26-$O$27))</f>
        <v>-1.1108764007328651</v>
      </c>
      <c r="V52" s="6">
        <f>-$N$29/LN((Table131722[[#This Row],[G 20min]]-1)/(Table131722[[#This Row],[G 20min]]*$O$26-$O$27))</f>
        <v>-1.2621424254374349</v>
      </c>
    </row>
  </sheetData>
  <conditionalFormatting sqref="R2:V23">
    <cfRule type="cellIs" dxfId="254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E52"/>
  <sheetViews>
    <sheetView zoomScaleNormal="100" workbookViewId="0">
      <selection activeCell="M26" sqref="M26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2" max="22" width="14.42578125" customWidth="1"/>
    <col min="24" max="24" width="8.42578125" bestFit="1" customWidth="1"/>
    <col min="25" max="25" width="8.7109375" customWidth="1"/>
    <col min="26" max="26" width="9.140625" customWidth="1"/>
    <col min="27" max="27" width="8.140625" customWidth="1"/>
    <col min="28" max="28" width="9.5703125" customWidth="1"/>
    <col min="29" max="29" width="7.7109375" bestFit="1" customWidth="1"/>
    <col min="30" max="30" width="9" customWidth="1"/>
    <col min="31" max="31" width="9.140625" customWidth="1"/>
    <col min="32" max="32" width="9.7109375" customWidth="1"/>
    <col min="33" max="33" width="8.5703125" customWidth="1"/>
    <col min="35" max="43" width="11" customWidth="1"/>
    <col min="44" max="57" width="12" customWidth="1"/>
  </cols>
  <sheetData>
    <row r="1" spans="1:57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I1" t="s">
        <v>38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</row>
    <row r="2" spans="1:57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6">
        <f>Table41312[[#This Row],[2 - Pre]]*$Y$27/(Table41312[[#This Row],[10 - pre]]*$Y$26)</f>
        <v>0.43056809531501028</v>
      </c>
      <c r="Y2" s="6">
        <f>Table41312[[#This Row],[2 - Post 5min]]*$Y$27/(Table41312[[#This Row],[10 - Post 5min]]*$Y$26)</f>
        <v>0.51533021648041122</v>
      </c>
      <c r="Z2" s="6">
        <f>Table41312[[#This Row],[2 - Post 10min]]*$Y$27/(Table41312[[#This Row],[10 - Post 10min]]*$Y$26)</f>
        <v>0.53913209174758681</v>
      </c>
      <c r="AA2" s="6">
        <f>Table41312[[#This Row],[2 - Post 15min]]*$Y$27/(Table41312[[#This Row],[10 - Post 15min]]*$Y$26)</f>
        <v>0.152664781197621</v>
      </c>
      <c r="AB2" s="6">
        <f>Table41312[[#This Row],[2 - Post 20min]]*$Y$27/(Table41312[[#This Row],[10 - Post 20min]]*$Y$26)</f>
        <v>0.35603467738903677</v>
      </c>
      <c r="AC2" s="6">
        <f>-$Y$29/LN((Table1315[[#This Row],[G Pre]]-1)/(Table1315[[#This Row],[G Pre]]*$Z$26-$Z$27))</f>
        <v>-6.0973578078776187</v>
      </c>
      <c r="AD2" s="6">
        <f>-$Y$29/LN((Table1315[[#This Row],[G 5min]]-1)/(Table1315[[#This Row],[G 5min]]*$Z$26-$Z$27))</f>
        <v>-5.1958211275931987</v>
      </c>
      <c r="AE2" s="6">
        <f>-$Y$29/LN((Table1315[[#This Row],[G 10min]]-1)/(Table1315[[#This Row],[G 10min]]*$Z$26-$Z$27))</f>
        <v>-4.941531988469074</v>
      </c>
      <c r="AF2" s="6">
        <f>-$Y$29/LN((Table1315[[#This Row],[G 15min]]-1)/(Table1315[[#This Row],[G 15min]]*$Z$26-$Z$27))</f>
        <v>-9.0098264321081043</v>
      </c>
      <c r="AG2" s="6">
        <f>-$Y$29/LN((Table1315[[#This Row],[G 20min]]-1)/(Table1315[[#This Row],[G 20min]]*$Z$26-$Z$27))</f>
        <v>-6.884950964051213</v>
      </c>
      <c r="AI2" t="s">
        <v>54</v>
      </c>
      <c r="AJ2">
        <v>-6.0973578078776187</v>
      </c>
      <c r="AK2">
        <v>3.4644722702092752</v>
      </c>
      <c r="AL2">
        <v>-0.13605787131971925</v>
      </c>
      <c r="AM2">
        <v>1.2779698364201741</v>
      </c>
      <c r="AN2">
        <v>0.52133078970952551</v>
      </c>
      <c r="AO2">
        <v>1.6211478483778388</v>
      </c>
      <c r="AP2">
        <v>10.05211151516966</v>
      </c>
      <c r="AQ2">
        <v>0.92680581004725049</v>
      </c>
      <c r="AR2">
        <v>2.6036530622777003</v>
      </c>
      <c r="AS2">
        <v>4.8092811493515999</v>
      </c>
      <c r="AT2">
        <v>-2.5222166532319452</v>
      </c>
      <c r="AU2">
        <v>2.7314522927350668</v>
      </c>
      <c r="AV2">
        <v>0.767828532523677</v>
      </c>
      <c r="AW2">
        <v>-0.17134143476079591</v>
      </c>
      <c r="AX2" t="e">
        <v>#DIV/0!</v>
      </c>
      <c r="AY2">
        <v>5.8757962590103148</v>
      </c>
      <c r="AZ2">
        <v>6.5607565654040521</v>
      </c>
      <c r="BA2">
        <v>-6.1872606335067966</v>
      </c>
      <c r="BB2">
        <v>4.2995258386704629</v>
      </c>
      <c r="BC2">
        <v>1.7890805986638842</v>
      </c>
      <c r="BD2">
        <v>-1.8714421488718875</v>
      </c>
      <c r="BE2">
        <v>3.8897800838098955</v>
      </c>
    </row>
    <row r="3" spans="1:57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6">
        <f>Table41312[[#This Row],[2 - Pre]]*$Y$27/(Table41312[[#This Row],[10 - pre]]*$Y$26)</f>
        <v>1.3008056773482592</v>
      </c>
      <c r="Y3" s="6">
        <f>Table41312[[#This Row],[2 - Post 5min]]*$Y$27/(Table41312[[#This Row],[10 - Post 5min]]*$Y$26)</f>
        <v>0.56103467402957685</v>
      </c>
      <c r="Z3" s="6">
        <f>Table41312[[#This Row],[2 - Post 10min]]*$Y$27/(Table41312[[#This Row],[10 - Post 10min]]*$Y$26)</f>
        <v>0.60639839238045834</v>
      </c>
      <c r="AA3" s="6">
        <f>Table41312[[#This Row],[2 - Post 15min]]*$Y$27/(Table41312[[#This Row],[10 - Post 15min]]*$Y$26)</f>
        <v>0.51597758507578595</v>
      </c>
      <c r="AB3" s="6">
        <f>Table41312[[#This Row],[2 - Post 20min]]*$Y$27/(Table41312[[#This Row],[10 - Post 20min]]*$Y$26)</f>
        <v>0.41104767381925511</v>
      </c>
      <c r="AC3" s="6">
        <f>-$Y$29/LN((Table1315[[#This Row],[G Pre]]-1)/(Table1315[[#This Row],[G Pre]]*$Z$26-$Z$27))</f>
        <v>3.4644722702092752</v>
      </c>
      <c r="AD3" s="6">
        <f>-$Y$29/LN((Table1315[[#This Row],[G 5min]]-1)/(Table1315[[#This Row],[G 5min]]*$Z$26-$Z$27))</f>
        <v>-4.7070933135798345</v>
      </c>
      <c r="AE3" s="6">
        <f>-$Y$29/LN((Table1315[[#This Row],[G 10min]]-1)/(Table1315[[#This Row],[G 10min]]*$Z$26-$Z$27))</f>
        <v>-4.2201835475697465</v>
      </c>
      <c r="AF3" s="6">
        <f>-$Y$29/LN((Table1315[[#This Row],[G 15min]]-1)/(Table1315[[#This Row],[G 15min]]*$Z$26-$Z$27))</f>
        <v>-5.1889115011302795</v>
      </c>
      <c r="AG3" s="6">
        <f>-$Y$29/LN((Table1315[[#This Row],[G 20min]]-1)/(Table1315[[#This Row],[G 20min]]*$Z$26-$Z$27))</f>
        <v>-6.3040933473347236</v>
      </c>
      <c r="AI3" t="s">
        <v>55</v>
      </c>
      <c r="AJ3">
        <v>-5.1958211275931987</v>
      </c>
      <c r="AK3">
        <v>-4.7070933135798345</v>
      </c>
      <c r="AL3">
        <v>3.4447154610100181</v>
      </c>
      <c r="AM3">
        <v>-5.9750612730185466</v>
      </c>
      <c r="AN3">
        <v>-2.1613583778036585</v>
      </c>
      <c r="AO3">
        <v>-3.7283393805079239</v>
      </c>
      <c r="AP3">
        <v>-1.8116836674520544</v>
      </c>
      <c r="AQ3">
        <v>-4.1121424643846982</v>
      </c>
      <c r="AR3">
        <v>7.9640417126435494</v>
      </c>
      <c r="AS3">
        <v>-3.6582083250239772</v>
      </c>
      <c r="AT3">
        <v>-2.7314893163376026</v>
      </c>
      <c r="AU3">
        <v>-2.3792037540345978</v>
      </c>
      <c r="AV3">
        <v>-4.605853961975293</v>
      </c>
      <c r="AW3">
        <v>-4.278215092246346</v>
      </c>
      <c r="AX3">
        <v>-6.0308145065839218</v>
      </c>
      <c r="AY3">
        <v>-3.631716809050217</v>
      </c>
      <c r="AZ3">
        <v>-1.8365340138800161</v>
      </c>
      <c r="BA3">
        <v>-7.421467716359734</v>
      </c>
      <c r="BB3">
        <v>-2.227956825430629</v>
      </c>
      <c r="BC3">
        <v>3.9744191108492002</v>
      </c>
      <c r="BD3">
        <v>-1.7186402773474219</v>
      </c>
      <c r="BE3">
        <v>-4.0619694719356172</v>
      </c>
    </row>
    <row r="4" spans="1:57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6">
        <f>Table41312[[#This Row],[2 - Pre]]*$Y$27/(Table41312[[#This Row],[10 - pre]]*$Y$26)</f>
        <v>0.97902842296696546</v>
      </c>
      <c r="Y4" s="6">
        <f>Table41312[[#This Row],[2 - Post 5min]]*$Y$27/(Table41312[[#This Row],[10 - Post 5min]]*$Y$26)</f>
        <v>1.2990717943440793</v>
      </c>
      <c r="Z4" s="6">
        <f>Table41312[[#This Row],[2 - Post 10min]]*$Y$27/(Table41312[[#This Row],[10 - Post 10min]]*$Y$26)</f>
        <v>0.39924877543847787</v>
      </c>
      <c r="AA4" s="6">
        <f>Table41312[[#This Row],[2 - Post 15min]]*$Y$27/(Table41312[[#This Row],[10 - Post 15min]]*$Y$26)</f>
        <v>0.3771897486051955</v>
      </c>
      <c r="AB4" s="6">
        <f>Table41312[[#This Row],[2 - Post 20min]]*$Y$27/(Table41312[[#This Row],[10 - Post 20min]]*$Y$26)</f>
        <v>0.44304003225359107</v>
      </c>
      <c r="AC4" s="6">
        <f>-$Y$29/LN((Table1315[[#This Row],[G Pre]]-1)/(Table1315[[#This Row],[G Pre]]*$Z$26-$Z$27))</f>
        <v>-0.13605787131971925</v>
      </c>
      <c r="AD4" s="6">
        <f>-$Y$29/LN((Table1315[[#This Row],[G 5min]]-1)/(Table1315[[#This Row],[G 5min]]*$Z$26-$Z$27))</f>
        <v>3.4447154610100181</v>
      </c>
      <c r="AE4" s="6">
        <f>-$Y$29/LN((Table1315[[#This Row],[G 10min]]-1)/(Table1315[[#This Row],[G 10min]]*$Z$26-$Z$27))</f>
        <v>-6.4288924635165543</v>
      </c>
      <c r="AF4" s="6">
        <f>-$Y$29/LN((Table1315[[#This Row],[G 15min]]-1)/(Table1315[[#This Row],[G 15min]]*$Z$26-$Z$27))</f>
        <v>-6.6618925402236338</v>
      </c>
      <c r="AG4" s="6">
        <f>-$Y$29/LN((Table1315[[#This Row],[G 20min]]-1)/(Table1315[[#This Row],[G 20min]]*$Z$26-$Z$27))</f>
        <v>-5.9650979389763261</v>
      </c>
      <c r="AI4" t="s">
        <v>56</v>
      </c>
      <c r="AJ4">
        <v>-4.941531988469074</v>
      </c>
      <c r="AK4">
        <v>-4.2201835475697465</v>
      </c>
      <c r="AL4">
        <v>-6.4288924635165543</v>
      </c>
      <c r="AM4">
        <v>-5.6506040204239643</v>
      </c>
      <c r="AN4">
        <v>-3.6266421470097399</v>
      </c>
      <c r="AO4">
        <v>-3.6604386068588015</v>
      </c>
      <c r="AP4">
        <v>-4.3244746908411296</v>
      </c>
      <c r="AQ4">
        <v>-4.5170103568036657</v>
      </c>
      <c r="AR4">
        <v>-5.5106963953124328</v>
      </c>
      <c r="AS4">
        <v>-3.5264519636177609</v>
      </c>
      <c r="AT4">
        <v>-4.2659834800427978</v>
      </c>
      <c r="AU4">
        <v>-2.3129893421672998</v>
      </c>
      <c r="AV4">
        <v>-3.6219700453603019</v>
      </c>
      <c r="AW4">
        <v>-5.3657869150485897</v>
      </c>
      <c r="AX4">
        <v>-7.2875665789892015</v>
      </c>
      <c r="AY4">
        <v>-3.7660418111737894</v>
      </c>
      <c r="AZ4">
        <v>-2.2517333782076125</v>
      </c>
      <c r="BA4">
        <v>-7.7133596901369756</v>
      </c>
      <c r="BB4">
        <v>-3.6130475561858288</v>
      </c>
      <c r="BC4">
        <v>-3.8948127645071087</v>
      </c>
      <c r="BD4">
        <v>0.43498543322503991</v>
      </c>
      <c r="BE4">
        <v>-4.4041542260278446</v>
      </c>
    </row>
    <row r="5" spans="1:57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6">
        <f>Table41312[[#This Row],[2 - Pre]]*$Y$27/(Table41312[[#This Row],[10 - pre]]*$Y$26)</f>
        <v>1.1074198196834613</v>
      </c>
      <c r="Y5" s="6">
        <f>Table41312[[#This Row],[2 - Post 5min]]*$Y$27/(Table41312[[#This Row],[10 - Post 5min]]*$Y$26)</f>
        <v>0.4421009458263927</v>
      </c>
      <c r="Z5" s="6">
        <f>Table41312[[#This Row],[2 - Post 10min]]*$Y$27/(Table41312[[#This Row],[10 - Post 10min]]*$Y$26)</f>
        <v>0.47264535167549732</v>
      </c>
      <c r="AA5" s="6">
        <f>Table41312[[#This Row],[2 - Post 15min]]*$Y$27/(Table41312[[#This Row],[10 - Post 15min]]*$Y$26)</f>
        <v>0.3440991045096678</v>
      </c>
      <c r="AB5" s="6">
        <f>Table41312[[#This Row],[2 - Post 20min]]*$Y$27/(Table41312[[#This Row],[10 - Post 20min]]*$Y$26)</f>
        <v>0.40296532360130377</v>
      </c>
      <c r="AC5" s="6">
        <f>-$Y$29/LN((Table1315[[#This Row],[G Pre]]-1)/(Table1315[[#This Row],[G Pre]]*$Z$26-$Z$27))</f>
        <v>1.2779698364201741</v>
      </c>
      <c r="AD5" s="6">
        <f>-$Y$29/LN((Table1315[[#This Row],[G 5min]]-1)/(Table1315[[#This Row],[G 5min]]*$Z$26-$Z$27))</f>
        <v>-5.9750612730185466</v>
      </c>
      <c r="AE5" s="6">
        <f>-$Y$29/LN((Table1315[[#This Row],[G 10min]]-1)/(Table1315[[#This Row],[G 10min]]*$Z$26-$Z$27))</f>
        <v>-5.6506040204239643</v>
      </c>
      <c r="AF5" s="6">
        <f>-$Y$29/LN((Table1315[[#This Row],[G 15min]]-1)/(Table1315[[#This Row],[G 15min]]*$Z$26-$Z$27))</f>
        <v>-7.0106296625269557</v>
      </c>
      <c r="AG5" s="6">
        <f>-$Y$29/LN((Table1315[[#This Row],[G 20min]]-1)/(Table1315[[#This Row],[G 20min]]*$Z$26-$Z$27))</f>
        <v>-6.3895948282048183</v>
      </c>
      <c r="AI5" t="s">
        <v>57</v>
      </c>
      <c r="AJ5">
        <v>-9.0098264321081043</v>
      </c>
      <c r="AK5">
        <v>-5.1889115011302795</v>
      </c>
      <c r="AL5">
        <v>-6.6618925402236338</v>
      </c>
      <c r="AM5">
        <v>-7.0106296625269557</v>
      </c>
      <c r="AN5">
        <v>-5.8249450001689276</v>
      </c>
      <c r="AO5">
        <v>-4.3534701850085877</v>
      </c>
      <c r="AP5">
        <v>-3.1136602927528765</v>
      </c>
      <c r="AQ5">
        <v>-5.8847397764055129</v>
      </c>
      <c r="AR5">
        <v>-6.6762325775811577</v>
      </c>
      <c r="AS5">
        <v>-6.5434294777774351</v>
      </c>
      <c r="AT5">
        <v>-3.4361277856573356</v>
      </c>
      <c r="AU5">
        <v>-3.879303185844166</v>
      </c>
      <c r="AV5">
        <v>-5.8297000262282515</v>
      </c>
      <c r="AW5">
        <v>-7.1163155119789065</v>
      </c>
      <c r="AX5">
        <v>-6.9697650255710979</v>
      </c>
      <c r="AY5">
        <v>-4.0551179547737588</v>
      </c>
      <c r="AZ5">
        <v>-5.0615476428904129</v>
      </c>
      <c r="BA5">
        <v>-6.6247366438621968</v>
      </c>
      <c r="BB5">
        <v>-3.8941449584110299</v>
      </c>
      <c r="BC5">
        <v>-4.0083268935650134</v>
      </c>
      <c r="BD5">
        <v>-4.1426236677056165</v>
      </c>
      <c r="BE5">
        <v>-6.15060781532015</v>
      </c>
    </row>
    <row r="6" spans="1:57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6">
        <f>Table41312[[#This Row],[2 - Pre]]*$Y$27/(Table41312[[#This Row],[10 - pre]]*$Y$26)</f>
        <v>1.0399483775522547</v>
      </c>
      <c r="Y6" s="6">
        <f>Table41312[[#This Row],[2 - Post 5min]]*$Y$27/(Table41312[[#This Row],[10 - Post 5min]]*$Y$26)</f>
        <v>0.79633604859056917</v>
      </c>
      <c r="Z6" s="6">
        <f>Table41312[[#This Row],[2 - Post 10min]]*$Y$27/(Table41312[[#This Row],[10 - Post 10min]]*$Y$26)</f>
        <v>0.66146699308703216</v>
      </c>
      <c r="AA6" s="6">
        <f>Table41312[[#This Row],[2 - Post 15min]]*$Y$27/(Table41312[[#This Row],[10 - Post 15min]]*$Y$26)</f>
        <v>0.45624239362697377</v>
      </c>
      <c r="AB6" s="6">
        <f>Table41312[[#This Row],[2 - Post 20min]]*$Y$27/(Table41312[[#This Row],[10 - Post 20min]]*$Y$26)</f>
        <v>0.35595801038228686</v>
      </c>
      <c r="AC6" s="6">
        <f>-$Y$29/LN((Table1315[[#This Row],[G Pre]]-1)/(Table1315[[#This Row],[G Pre]]*$Z$26-$Z$27))</f>
        <v>0.52133078970952551</v>
      </c>
      <c r="AD6" s="6">
        <f>-$Y$29/LN((Table1315[[#This Row],[G 5min]]-1)/(Table1315[[#This Row],[G 5min]]*$Z$26-$Z$27))</f>
        <v>-2.1613583778036585</v>
      </c>
      <c r="AE6" s="6">
        <f>-$Y$29/LN((Table1315[[#This Row],[G 10min]]-1)/(Table1315[[#This Row],[G 10min]]*$Z$26-$Z$27))</f>
        <v>-3.6266421470097399</v>
      </c>
      <c r="AF6" s="6">
        <f>-$Y$29/LN((Table1315[[#This Row],[G 15min]]-1)/(Table1315[[#This Row],[G 15min]]*$Z$26-$Z$27))</f>
        <v>-5.8249450001689276</v>
      </c>
      <c r="AG6" s="6">
        <f>-$Y$29/LN((Table1315[[#This Row],[G 20min]]-1)/(Table1315[[#This Row],[G 20min]]*$Z$26-$Z$27))</f>
        <v>-6.8857586392048153</v>
      </c>
      <c r="AI6" t="s">
        <v>58</v>
      </c>
      <c r="AJ6">
        <v>-6.884950964051213</v>
      </c>
      <c r="AK6">
        <v>-6.3040933473347236</v>
      </c>
      <c r="AL6">
        <v>-5.9650979389763261</v>
      </c>
      <c r="AM6">
        <v>-6.3895948282048183</v>
      </c>
      <c r="AN6">
        <v>-6.8857586392048153</v>
      </c>
      <c r="AO6">
        <v>-2.820358351482648</v>
      </c>
      <c r="AP6">
        <v>-4.2767614479324436</v>
      </c>
      <c r="AQ6">
        <v>-6.3874049812551572</v>
      </c>
      <c r="AR6">
        <v>-7.8789717407597042</v>
      </c>
      <c r="AS6">
        <v>-6.7825423531739863</v>
      </c>
      <c r="AT6">
        <v>-2.7756892816919012</v>
      </c>
      <c r="AU6">
        <v>-4.4131049394314701</v>
      </c>
      <c r="AV6">
        <v>-6.7365373549305296</v>
      </c>
      <c r="AW6">
        <v>-7.4162266872750875</v>
      </c>
      <c r="AX6">
        <v>-6.6653007265481978</v>
      </c>
      <c r="AY6">
        <v>-4.1443802093380615</v>
      </c>
      <c r="AZ6">
        <v>-5.4798549404960131</v>
      </c>
      <c r="BA6">
        <v>-7.0644997401442806</v>
      </c>
      <c r="BB6">
        <v>-3.8335254016901299</v>
      </c>
      <c r="BC6">
        <v>-4.7879616123941267</v>
      </c>
      <c r="BD6">
        <v>-4.192583655171549</v>
      </c>
      <c r="BE6">
        <v>-5.6205505242602429</v>
      </c>
    </row>
    <row r="7" spans="1:57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>
        <f>Table41312[[#This Row],[2 - Pre]]*$Y$27/(Table41312[[#This Row],[10 - pre]]*$Y$26)</f>
        <v>1.1379642365071603</v>
      </c>
      <c r="Y7" s="6">
        <f>Table41312[[#This Row],[2 - Post 5min]]*$Y$27/(Table41312[[#This Row],[10 - Post 5min]]*$Y$26)</f>
        <v>0.65204943247125058</v>
      </c>
      <c r="Z7" s="6">
        <f>Table41312[[#This Row],[2 - Post 10min]]*$Y$27/(Table41312[[#This Row],[10 - Post 10min]]*$Y$26)</f>
        <v>0.65833812880257114</v>
      </c>
      <c r="AA7" s="6">
        <f>Table41312[[#This Row],[2 - Post 15min]]*$Y$27/(Table41312[[#This Row],[10 - Post 15min]]*$Y$26)</f>
        <v>0.59399743368513858</v>
      </c>
      <c r="AB7" s="6">
        <f>Table41312[[#This Row],[2 - Post 20min]]*$Y$27/(Table41312[[#This Row],[10 - Post 20min]]*$Y$26)</f>
        <v>0.73587045587573263</v>
      </c>
      <c r="AC7" s="6">
        <f>-$Y$29/LN((Table1315[[#This Row],[G Pre]]-1)/(Table1315[[#This Row],[G Pre]]*$Z$26-$Z$27))</f>
        <v>1.6211478483778388</v>
      </c>
      <c r="AD7" s="6">
        <f>-$Y$29/LN((Table1315[[#This Row],[G 5min]]-1)/(Table1315[[#This Row],[G 5min]]*$Z$26-$Z$27))</f>
        <v>-3.7283393805079239</v>
      </c>
      <c r="AE7" s="6">
        <f>-$Y$29/LN((Table1315[[#This Row],[G 10min]]-1)/(Table1315[[#This Row],[G 10min]]*$Z$26-$Z$27))</f>
        <v>-3.6604386068588015</v>
      </c>
      <c r="AF7" s="6">
        <f>-$Y$29/LN((Table1315[[#This Row],[G 15min]]-1)/(Table1315[[#This Row],[G 15min]]*$Z$26-$Z$27))</f>
        <v>-4.3534701850085877</v>
      </c>
      <c r="AG7" s="6">
        <f>-$Y$29/LN((Table1315[[#This Row],[G 20min]]-1)/(Table1315[[#This Row],[G 20min]]*$Z$26-$Z$27))</f>
        <v>-2.820358351482648</v>
      </c>
    </row>
    <row r="8" spans="1:57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>
        <f>Table41312[[#This Row],[2 - Pre]]*$Y$27/(Table41312[[#This Row],[10 - pre]]*$Y$26)</f>
        <v>1.8651689214168614</v>
      </c>
      <c r="Y8" s="6">
        <f>Table41312[[#This Row],[2 - Post 5min]]*$Y$27/(Table41312[[#This Row],[10 - Post 5min]]*$Y$26)</f>
        <v>0.82829105162858296</v>
      </c>
      <c r="Z8" s="6">
        <f>Table41312[[#This Row],[2 - Post 10min]]*$Y$27/(Table41312[[#This Row],[10 - Post 10min]]*$Y$26)</f>
        <v>0.59669625133427107</v>
      </c>
      <c r="AA8" s="6">
        <f>Table41312[[#This Row],[2 - Post 15min]]*$Y$27/(Table41312[[#This Row],[10 - Post 15min]]*$Y$26)</f>
        <v>0.70885848591152933</v>
      </c>
      <c r="AB8" s="6">
        <f>Table41312[[#This Row],[2 - Post 20min]]*$Y$27/(Table41312[[#This Row],[10 - Post 20min]]*$Y$26)</f>
        <v>0.60113595203938008</v>
      </c>
      <c r="AC8" s="6">
        <f>-$Y$29/LN((Table1315[[#This Row],[G Pre]]-1)/(Table1315[[#This Row],[G Pre]]*$Z$26-$Z$27))</f>
        <v>10.05211151516966</v>
      </c>
      <c r="AD8" s="6">
        <f>-$Y$29/LN((Table1315[[#This Row],[G 5min]]-1)/(Table1315[[#This Row],[G 5min]]*$Z$26-$Z$27))</f>
        <v>-1.8116836674520544</v>
      </c>
      <c r="AE8" s="6">
        <f>-$Y$29/LN((Table1315[[#This Row],[G 10min]]-1)/(Table1315[[#This Row],[G 10min]]*$Z$26-$Z$27))</f>
        <v>-4.3244746908411296</v>
      </c>
      <c r="AF8" s="6">
        <f>-$Y$29/LN((Table1315[[#This Row],[G 15min]]-1)/(Table1315[[#This Row],[G 15min]]*$Z$26-$Z$27))</f>
        <v>-3.1136602927528765</v>
      </c>
      <c r="AG8" s="6">
        <f>-$Y$29/LN((Table1315[[#This Row],[G 20min]]-1)/(Table1315[[#This Row],[G 20min]]*$Z$26-$Z$27))</f>
        <v>-4.2767614479324436</v>
      </c>
    </row>
    <row r="9" spans="1:57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6">
        <f>Table41312[[#This Row],[2 - Pre]]*$Y$27/(Table41312[[#This Row],[10 - pre]]*$Y$26)</f>
        <v>1.0761081462020172</v>
      </c>
      <c r="Y9" s="6">
        <f>Table41312[[#This Row],[2 - Post 5min]]*$Y$27/(Table41312[[#This Row],[10 - Post 5min]]*$Y$26)</f>
        <v>0.61644117321386094</v>
      </c>
      <c r="Z9" s="6">
        <f>Table41312[[#This Row],[2 - Post 10min]]*$Y$27/(Table41312[[#This Row],[10 - Post 10min]]*$Y$26)</f>
        <v>0.57876429367182092</v>
      </c>
      <c r="AA9" s="6">
        <f>Table41312[[#This Row],[2 - Post 15min]]*$Y$27/(Table41312[[#This Row],[10 - Post 15min]]*$Y$26)</f>
        <v>0.4506114909274691</v>
      </c>
      <c r="AB9" s="6">
        <f>Table41312[[#This Row],[2 - Post 20min]]*$Y$27/(Table41312[[#This Row],[10 - Post 20min]]*$Y$26)</f>
        <v>0.40317239375980818</v>
      </c>
      <c r="AC9" s="6">
        <f>-$Y$29/LN((Table1315[[#This Row],[G Pre]]-1)/(Table1315[[#This Row],[G Pre]]*$Z$26-$Z$27))</f>
        <v>0.92680581004725049</v>
      </c>
      <c r="AD9" s="6">
        <f>-$Y$29/LN((Table1315[[#This Row],[G 5min]]-1)/(Table1315[[#This Row],[G 5min]]*$Z$26-$Z$27))</f>
        <v>-4.1121424643846982</v>
      </c>
      <c r="AE9" s="6">
        <f>-$Y$29/LN((Table1315[[#This Row],[G 10min]]-1)/(Table1315[[#This Row],[G 10min]]*$Z$26-$Z$27))</f>
        <v>-4.5170103568036657</v>
      </c>
      <c r="AF9" s="6">
        <f>-$Y$29/LN((Table1315[[#This Row],[G 15min]]-1)/(Table1315[[#This Row],[G 15min]]*$Z$26-$Z$27))</f>
        <v>-5.8847397764055129</v>
      </c>
      <c r="AG9" s="6">
        <f>-$Y$29/LN((Table1315[[#This Row],[G 20min]]-1)/(Table1315[[#This Row],[G 20min]]*$Z$26-$Z$27))</f>
        <v>-6.3874049812551572</v>
      </c>
    </row>
    <row r="10" spans="1:57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>
        <f>Table41312[[#This Row],[2 - Pre]]*$Y$27/(Table41312[[#This Row],[10 - pre]]*$Y$26)</f>
        <v>1.2250269361684927</v>
      </c>
      <c r="Y10" s="6">
        <f>Table41312[[#This Row],[2 - Post 5min]]*$Y$27/(Table41312[[#This Row],[10 - Post 5min]]*$Y$26)</f>
        <v>1.6892170134301183</v>
      </c>
      <c r="Z10" s="6">
        <f>Table41312[[#This Row],[2 - Post 10min]]*$Y$27/(Table41312[[#This Row],[10 - Post 10min]]*$Y$26)</f>
        <v>0.4857926927804932</v>
      </c>
      <c r="AA10" s="6">
        <f>Table41312[[#This Row],[2 - Post 15min]]*$Y$27/(Table41312[[#This Row],[10 - Post 15min]]*$Y$26)</f>
        <v>0.37583082315974381</v>
      </c>
      <c r="AB10" s="6">
        <f>Table41312[[#This Row],[2 - Post 20min]]*$Y$27/(Table41312[[#This Row],[10 - Post 20min]]*$Y$26)</f>
        <v>0.26131536205187744</v>
      </c>
      <c r="AC10" s="6">
        <f>-$Y$29/LN((Table1315[[#This Row],[G Pre]]-1)/(Table1315[[#This Row],[G Pre]]*$Z$26-$Z$27))</f>
        <v>2.6036530622777003</v>
      </c>
      <c r="AD10" s="6">
        <f>-$Y$29/LN((Table1315[[#This Row],[G 5min]]-1)/(Table1315[[#This Row],[G 5min]]*$Z$26-$Z$27))</f>
        <v>7.9640417126435494</v>
      </c>
      <c r="AE10" s="6">
        <f>-$Y$29/LN((Table1315[[#This Row],[G 10min]]-1)/(Table1315[[#This Row],[G 10min]]*$Z$26-$Z$27))</f>
        <v>-5.5106963953124328</v>
      </c>
      <c r="AF10" s="6">
        <f>-$Y$29/LN((Table1315[[#This Row],[G 15min]]-1)/(Table1315[[#This Row],[G 15min]]*$Z$26-$Z$27))</f>
        <v>-6.6762325775811577</v>
      </c>
      <c r="AG10" s="6">
        <f>-$Y$29/LN((Table1315[[#This Row],[G 20min]]-1)/(Table1315[[#This Row],[G 20min]]*$Z$26-$Z$27))</f>
        <v>-7.8789717407597042</v>
      </c>
    </row>
    <row r="11" spans="1:57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6">
        <f>Table41312[[#This Row],[2 - Pre]]*$Y$27/(Table41312[[#This Row],[10 - pre]]*$Y$26)</f>
        <v>1.4182390032924583</v>
      </c>
      <c r="Y11" s="6">
        <f>Table41312[[#This Row],[2 - Post 5min]]*$Y$27/(Table41312[[#This Row],[10 - Post 5min]]*$Y$26)</f>
        <v>0.65854463265290519</v>
      </c>
      <c r="Z11" s="6">
        <f>Table41312[[#This Row],[2 - Post 10min]]*$Y$27/(Table41312[[#This Row],[10 - Post 10min]]*$Y$26)</f>
        <v>0.67073776993719925</v>
      </c>
      <c r="AA11" s="6">
        <f>Table41312[[#This Row],[2 - Post 15min]]*$Y$27/(Table41312[[#This Row],[10 - Post 15min]]*$Y$26)</f>
        <v>0.38841007277136252</v>
      </c>
      <c r="AB11" s="6">
        <f>Table41312[[#This Row],[2 - Post 20min]]*$Y$27/(Table41312[[#This Row],[10 - Post 20min]]*$Y$26)</f>
        <v>0.36575173776984826</v>
      </c>
      <c r="AC11" s="6">
        <f>-$Y$29/LN((Table1315[[#This Row],[G Pre]]-1)/(Table1315[[#This Row],[G Pre]]*$Z$26-$Z$27))</f>
        <v>4.8092811493515999</v>
      </c>
      <c r="AD11" s="6">
        <f>-$Y$29/LN((Table1315[[#This Row],[G 5min]]-1)/(Table1315[[#This Row],[G 5min]]*$Z$26-$Z$27))</f>
        <v>-3.6582083250239772</v>
      </c>
      <c r="AE11" s="6">
        <f>-$Y$29/LN((Table1315[[#This Row],[G 10min]]-1)/(Table1315[[#This Row],[G 10min]]*$Z$26-$Z$27))</f>
        <v>-3.5264519636177609</v>
      </c>
      <c r="AF11" s="6">
        <f>-$Y$29/LN((Table1315[[#This Row],[G 15min]]-1)/(Table1315[[#This Row],[G 15min]]*$Z$26-$Z$27))</f>
        <v>-6.5434294777774351</v>
      </c>
      <c r="AG11" s="6">
        <f>-$Y$29/LN((Table1315[[#This Row],[G 20min]]-1)/(Table1315[[#This Row],[G 20min]]*$Z$26-$Z$27))</f>
        <v>-6.7825423531739863</v>
      </c>
    </row>
    <row r="12" spans="1:57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6">
        <f>Table41312[[#This Row],[2 - Pre]]*$Y$27/(Table41312[[#This Row],[10 - pre]]*$Y$26)</f>
        <v>0.76326489569050726</v>
      </c>
      <c r="Y12" s="6">
        <f>Table41312[[#This Row],[2 - Post 5min]]*$Y$27/(Table41312[[#This Row],[10 - Post 5min]]*$Y$26)</f>
        <v>0.74404277966755383</v>
      </c>
      <c r="Z12" s="6">
        <f>Table41312[[#This Row],[2 - Post 10min]]*$Y$27/(Table41312[[#This Row],[10 - Post 10min]]*$Y$26)</f>
        <v>0.6021386123676804</v>
      </c>
      <c r="AA12" s="6">
        <f>Table41312[[#This Row],[2 - Post 15min]]*$Y$27/(Table41312[[#This Row],[10 - Post 15min]]*$Y$26)</f>
        <v>0.67908948174011297</v>
      </c>
      <c r="AB12" s="6">
        <f>Table41312[[#This Row],[2 - Post 20min]]*$Y$27/(Table41312[[#This Row],[10 - Post 20min]]*$Y$26)</f>
        <v>0.73997889552078777</v>
      </c>
      <c r="AC12" s="6">
        <f>-$Y$29/LN((Table1315[[#This Row],[G Pre]]-1)/(Table1315[[#This Row],[G Pre]]*$Z$26-$Z$27))</f>
        <v>-2.5222166532319452</v>
      </c>
      <c r="AD12" s="6">
        <f>-$Y$29/LN((Table1315[[#This Row],[G 5min]]-1)/(Table1315[[#This Row],[G 5min]]*$Z$26-$Z$27))</f>
        <v>-2.7314893163376026</v>
      </c>
      <c r="AE12" s="6">
        <f>-$Y$29/LN((Table1315[[#This Row],[G 10min]]-1)/(Table1315[[#This Row],[G 10min]]*$Z$26-$Z$27))</f>
        <v>-4.2659834800427978</v>
      </c>
      <c r="AF12" s="6">
        <f>-$Y$29/LN((Table1315[[#This Row],[G 15min]]-1)/(Table1315[[#This Row],[G 15min]]*$Z$26-$Z$27))</f>
        <v>-3.4361277856573356</v>
      </c>
      <c r="AG12" s="6">
        <f>-$Y$29/LN((Table1315[[#This Row],[G 20min]]-1)/(Table1315[[#This Row],[G 20min]]*$Z$26-$Z$27))</f>
        <v>-2.7756892816919012</v>
      </c>
    </row>
    <row r="13" spans="1:57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6">
        <f>Table41312[[#This Row],[2 - Pre]]*$Y$27/(Table41312[[#This Row],[10 - pre]]*$Y$26)</f>
        <v>1.2363071881879082</v>
      </c>
      <c r="Y13" s="6">
        <f>Table41312[[#This Row],[2 - Post 5min]]*$Y$27/(Table41312[[#This Row],[10 - Post 5min]]*$Y$26)</f>
        <v>0.77638274420849485</v>
      </c>
      <c r="Z13" s="6">
        <f>Table41312[[#This Row],[2 - Post 10min]]*$Y$27/(Table41312[[#This Row],[10 - Post 10min]]*$Y$26)</f>
        <v>0.78245123658299054</v>
      </c>
      <c r="AA13" s="6">
        <f>Table41312[[#This Row],[2 - Post 15min]]*$Y$27/(Table41312[[#This Row],[10 - Post 15min]]*$Y$26)</f>
        <v>0.63805596687220767</v>
      </c>
      <c r="AB13" s="6">
        <f>Table41312[[#This Row],[2 - Post 20min]]*$Y$27/(Table41312[[#This Row],[10 - Post 20min]]*$Y$26)</f>
        <v>0.58844490689280748</v>
      </c>
      <c r="AC13" s="6">
        <f>-$Y$29/LN((Table1315[[#This Row],[G Pre]]-1)/(Table1315[[#This Row],[G Pre]]*$Z$26-$Z$27))</f>
        <v>2.7314522927350668</v>
      </c>
      <c r="AD13" s="6">
        <f>-$Y$29/LN((Table1315[[#This Row],[G 5min]]-1)/(Table1315[[#This Row],[G 5min]]*$Z$26-$Z$27))</f>
        <v>-2.3792037540345978</v>
      </c>
      <c r="AE13" s="6">
        <f>-$Y$29/LN((Table1315[[#This Row],[G 10min]]-1)/(Table1315[[#This Row],[G 10min]]*$Z$26-$Z$27))</f>
        <v>-2.3129893421672998</v>
      </c>
      <c r="AF13" s="6">
        <f>-$Y$29/LN((Table1315[[#This Row],[G 15min]]-1)/(Table1315[[#This Row],[G 15min]]*$Z$26-$Z$27))</f>
        <v>-3.879303185844166</v>
      </c>
      <c r="AG13" s="6">
        <f>-$Y$29/LN((Table1315[[#This Row],[G 20min]]-1)/(Table1315[[#This Row],[G 20min]]*$Z$26-$Z$27))</f>
        <v>-4.4131049394314701</v>
      </c>
    </row>
    <row r="14" spans="1:57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6">
        <f>Table41312[[#This Row],[2 - Pre]]*$Y$27/(Table41312[[#This Row],[10 - pre]]*$Y$26)</f>
        <v>1.0619232192284132</v>
      </c>
      <c r="Y14" s="6">
        <f>Table41312[[#This Row],[2 - Post 5min]]*$Y$27/(Table41312[[#This Row],[10 - Post 5min]]*$Y$26)</f>
        <v>0.57048080817198843</v>
      </c>
      <c r="Z14" s="6">
        <f>Table41312[[#This Row],[2 - Post 10min]]*$Y$27/(Table41312[[#This Row],[10 - Post 10min]]*$Y$26)</f>
        <v>0.66189947040426877</v>
      </c>
      <c r="AA14" s="6">
        <f>Table41312[[#This Row],[2 - Post 15min]]*$Y$27/(Table41312[[#This Row],[10 - Post 15min]]*$Y$26)</f>
        <v>0.45579470559389446</v>
      </c>
      <c r="AB14" s="6">
        <f>Table41312[[#This Row],[2 - Post 20min]]*$Y$27/(Table41312[[#This Row],[10 - Post 20min]]*$Y$26)</f>
        <v>0.37011442608903877</v>
      </c>
      <c r="AC14" s="6">
        <f>-$Y$29/LN((Table1315[[#This Row],[G Pre]]-1)/(Table1315[[#This Row],[G Pre]]*$Z$26-$Z$27))</f>
        <v>0.767828532523677</v>
      </c>
      <c r="AD14" s="6">
        <f>-$Y$29/LN((Table1315[[#This Row],[G 5min]]-1)/(Table1315[[#This Row],[G 5min]]*$Z$26-$Z$27))</f>
        <v>-4.605853961975293</v>
      </c>
      <c r="AE14" s="6">
        <f>-$Y$29/LN((Table1315[[#This Row],[G 10min]]-1)/(Table1315[[#This Row],[G 10min]]*$Z$26-$Z$27))</f>
        <v>-3.6219700453603019</v>
      </c>
      <c r="AF14" s="6">
        <f>-$Y$29/LN((Table1315[[#This Row],[G 15min]]-1)/(Table1315[[#This Row],[G 15min]]*$Z$26-$Z$27))</f>
        <v>-5.8297000262282515</v>
      </c>
      <c r="AG14" s="6">
        <f>-$Y$29/LN((Table1315[[#This Row],[G 20min]]-1)/(Table1315[[#This Row],[G 20min]]*$Z$26-$Z$27))</f>
        <v>-6.7365373549305296</v>
      </c>
    </row>
    <row r="15" spans="1:57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>
        <f>Table41312[[#This Row],[2 - Pre]]*$Y$27/(Table41312[[#This Row],[10 - pre]]*$Y$26)</f>
        <v>0.97612846352329496</v>
      </c>
      <c r="Y15" s="6">
        <f>Table41312[[#This Row],[2 - Post 5min]]*$Y$27/(Table41312[[#This Row],[10 - Post 5min]]*$Y$26)</f>
        <v>0.60100071503119057</v>
      </c>
      <c r="Z15" s="6">
        <f>Table41312[[#This Row],[2 - Post 10min]]*$Y$27/(Table41312[[#This Row],[10 - Post 10min]]*$Y$26)</f>
        <v>0.49939512723837526</v>
      </c>
      <c r="AA15" s="6">
        <f>Table41312[[#This Row],[2 - Post 15min]]*$Y$27/(Table41312[[#This Row],[10 - Post 15min]]*$Y$26)</f>
        <v>0.33405324187125984</v>
      </c>
      <c r="AB15" s="6">
        <f>Table41312[[#This Row],[2 - Post 20min]]*$Y$27/(Table41312[[#This Row],[10 - Post 20min]]*$Y$26)</f>
        <v>0.30550067794450114</v>
      </c>
      <c r="AC15" s="6">
        <f>-$Y$29/LN((Table1315[[#This Row],[G Pre]]-1)/(Table1315[[#This Row],[G Pre]]*$Z$26-$Z$27))</f>
        <v>-0.17134143476079591</v>
      </c>
      <c r="AD15" s="6">
        <f>-$Y$29/LN((Table1315[[#This Row],[G 5min]]-1)/(Table1315[[#This Row],[G 5min]]*$Z$26-$Z$27))</f>
        <v>-4.278215092246346</v>
      </c>
      <c r="AE15" s="6">
        <f>-$Y$29/LN((Table1315[[#This Row],[G 10min]]-1)/(Table1315[[#This Row],[G 10min]]*$Z$26-$Z$27))</f>
        <v>-5.3657869150485897</v>
      </c>
      <c r="AF15" s="6">
        <f>-$Y$29/LN((Table1315[[#This Row],[G 15min]]-1)/(Table1315[[#This Row],[G 15min]]*$Z$26-$Z$27))</f>
        <v>-7.1163155119789065</v>
      </c>
      <c r="AG15" s="6">
        <f>-$Y$29/LN((Table1315[[#This Row],[G 20min]]-1)/(Table1315[[#This Row],[G 20min]]*$Z$26-$Z$27))</f>
        <v>-7.4162266872750875</v>
      </c>
    </row>
    <row r="16" spans="1:57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6" t="e">
        <f>Table41312[[#This Row],[2 - Pre]]*$Y$27/(Table41312[[#This Row],[10 - pre]]*$Y$26)</f>
        <v>#DIV/0!</v>
      </c>
      <c r="Y16" s="6">
        <f>Table41312[[#This Row],[2 - Post 5min]]*$Y$27/(Table41312[[#This Row],[10 - Post 5min]]*$Y$26)</f>
        <v>0.43684463488310199</v>
      </c>
      <c r="Z16" s="6">
        <f>Table41312[[#This Row],[2 - Post 10min]]*$Y$27/(Table41312[[#This Row],[10 - Post 10min]]*$Y$26)</f>
        <v>0.31775768202053734</v>
      </c>
      <c r="AA16" s="6">
        <f>Table41312[[#This Row],[2 - Post 15min]]*$Y$27/(Table41312[[#This Row],[10 - Post 15min]]*$Y$26)</f>
        <v>0.34798124931346058</v>
      </c>
      <c r="AB16" s="6">
        <f>Table41312[[#This Row],[2 - Post 20min]]*$Y$27/(Table41312[[#This Row],[10 - Post 20min]]*$Y$26)</f>
        <v>0.37686678742338203</v>
      </c>
      <c r="AC16" s="6" t="e">
        <f>-$Y$29/LN((Table1315[[#This Row],[G Pre]]-1)/(Table1315[[#This Row],[G Pre]]*$Z$26-$Z$27))</f>
        <v>#DIV/0!</v>
      </c>
      <c r="AD16" s="6">
        <f>-$Y$29/LN((Table1315[[#This Row],[G 5min]]-1)/(Table1315[[#This Row],[G 5min]]*$Z$26-$Z$27))</f>
        <v>-6.0308145065839218</v>
      </c>
      <c r="AE16" s="6">
        <f>-$Y$29/LN((Table1315[[#This Row],[G 10min]]-1)/(Table1315[[#This Row],[G 10min]]*$Z$26-$Z$27))</f>
        <v>-7.2875665789892015</v>
      </c>
      <c r="AF16" s="6">
        <f>-$Y$29/LN((Table1315[[#This Row],[G 15min]]-1)/(Table1315[[#This Row],[G 15min]]*$Z$26-$Z$27))</f>
        <v>-6.9697650255710979</v>
      </c>
      <c r="AG16" s="6">
        <f>-$Y$29/LN((Table1315[[#This Row],[G 20min]]-1)/(Table1315[[#This Row],[G 20min]]*$Z$26-$Z$27))</f>
        <v>-6.6653007265481978</v>
      </c>
    </row>
    <row r="17" spans="1:33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>
        <f>Table41312[[#This Row],[2 - Pre]]*$Y$27/(Table41312[[#This Row],[10 - pre]]*$Y$26)</f>
        <v>1.5105493732650053</v>
      </c>
      <c r="Y17" s="6">
        <f>Table41312[[#This Row],[2 - Post 5min]]*$Y$27/(Table41312[[#This Row],[10 - Post 5min]]*$Y$26)</f>
        <v>0.66099723473562866</v>
      </c>
      <c r="Z17" s="6">
        <f>Table41312[[#This Row],[2 - Post 10min]]*$Y$27/(Table41312[[#This Row],[10 - Post 10min]]*$Y$26)</f>
        <v>0.64855616265651139</v>
      </c>
      <c r="AA17" s="6">
        <f>Table41312[[#This Row],[2 - Post 15min]]*$Y$27/(Table41312[[#This Row],[10 - Post 15min]]*$Y$26)</f>
        <v>0.6217384236964516</v>
      </c>
      <c r="AB17" s="6">
        <f>Table41312[[#This Row],[2 - Post 20min]]*$Y$27/(Table41312[[#This Row],[10 - Post 20min]]*$Y$26)</f>
        <v>0.61344544151812763</v>
      </c>
      <c r="AC17" s="6">
        <f>-$Y$29/LN((Table1315[[#This Row],[G Pre]]-1)/(Table1315[[#This Row],[G Pre]]*$Z$26-$Z$27))</f>
        <v>5.8757962590103148</v>
      </c>
      <c r="AD17" s="6">
        <f>-$Y$29/LN((Table1315[[#This Row],[G 5min]]-1)/(Table1315[[#This Row],[G 5min]]*$Z$26-$Z$27))</f>
        <v>-3.631716809050217</v>
      </c>
      <c r="AE17" s="6">
        <f>-$Y$29/LN((Table1315[[#This Row],[G 10min]]-1)/(Table1315[[#This Row],[G 10min]]*$Z$26-$Z$27))</f>
        <v>-3.7660418111737894</v>
      </c>
      <c r="AF17" s="6">
        <f>-$Y$29/LN((Table1315[[#This Row],[G 15min]]-1)/(Table1315[[#This Row],[G 15min]]*$Z$26-$Z$27))</f>
        <v>-4.0551179547737588</v>
      </c>
      <c r="AG17" s="6">
        <f>-$Y$29/LN((Table1315[[#This Row],[G 20min]]-1)/(Table1315[[#This Row],[G 20min]]*$Z$26-$Z$27))</f>
        <v>-4.1443802093380615</v>
      </c>
    </row>
    <row r="18" spans="1:33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>
        <f>Table41312[[#This Row],[2 - Pre]]*$Y$27/(Table41312[[#This Row],[10 - pre]]*$Y$26)</f>
        <v>1.5694549972273848</v>
      </c>
      <c r="Y18" s="6">
        <f>Table41312[[#This Row],[2 - Post 5min]]*$Y$27/(Table41312[[#This Row],[10 - Post 5min]]*$Y$26)</f>
        <v>0.82602312065182359</v>
      </c>
      <c r="Z18" s="6">
        <f>Table41312[[#This Row],[2 - Post 10min]]*$Y$27/(Table41312[[#This Row],[10 - Post 10min]]*$Y$26)</f>
        <v>0.78806245165314204</v>
      </c>
      <c r="AA18" s="6">
        <f>Table41312[[#This Row],[2 - Post 15min]]*$Y$27/(Table41312[[#This Row],[10 - Post 15min]]*$Y$26)</f>
        <v>0.52790424087456678</v>
      </c>
      <c r="AB18" s="6">
        <f>Table41312[[#This Row],[2 - Post 20min]]*$Y$27/(Table41312[[#This Row],[10 - Post 20min]]*$Y$26)</f>
        <v>0.48868900631629913</v>
      </c>
      <c r="AC18" s="6">
        <f>-$Y$29/LN((Table1315[[#This Row],[G Pre]]-1)/(Table1315[[#This Row],[G Pre]]*$Z$26-$Z$27))</f>
        <v>6.5607565654040521</v>
      </c>
      <c r="AD18" s="6">
        <f>-$Y$29/LN((Table1315[[#This Row],[G 5min]]-1)/(Table1315[[#This Row],[G 5min]]*$Z$26-$Z$27))</f>
        <v>-1.8365340138800161</v>
      </c>
      <c r="AE18" s="6">
        <f>-$Y$29/LN((Table1315[[#This Row],[G 10min]]-1)/(Table1315[[#This Row],[G 10min]]*$Z$26-$Z$27))</f>
        <v>-2.2517333782076125</v>
      </c>
      <c r="AF18" s="6">
        <f>-$Y$29/LN((Table1315[[#This Row],[G 15min]]-1)/(Table1315[[#This Row],[G 15min]]*$Z$26-$Z$27))</f>
        <v>-5.0615476428904129</v>
      </c>
      <c r="AG18" s="6">
        <f>-$Y$29/LN((Table1315[[#This Row],[G 20min]]-1)/(Table1315[[#This Row],[G 20min]]*$Z$26-$Z$27))</f>
        <v>-5.4798549404960131</v>
      </c>
    </row>
    <row r="19" spans="1:33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>
        <f>Table41312[[#This Row],[2 - Pre]]*$Y$27/(Table41312[[#This Row],[10 - pre]]*$Y$26)</f>
        <v>0.42208310233960139</v>
      </c>
      <c r="Y19" s="6">
        <f>Table41312[[#This Row],[2 - Post 5min]]*$Y$27/(Table41312[[#This Row],[10 - Post 5min]]*$Y$26)</f>
        <v>0.30500112415426045</v>
      </c>
      <c r="Z19" s="6">
        <f>Table41312[[#This Row],[2 - Post 10min]]*$Y$27/(Table41312[[#This Row],[10 - Post 10min]]*$Y$26)</f>
        <v>0.2771470904365394</v>
      </c>
      <c r="AA19" s="6">
        <f>Table41312[[#This Row],[2 - Post 15min]]*$Y$27/(Table41312[[#This Row],[10 - Post 15min]]*$Y$26)</f>
        <v>0.38071010511854275</v>
      </c>
      <c r="AB19" s="6">
        <f>Table41312[[#This Row],[2 - Post 20min]]*$Y$27/(Table41312[[#This Row],[10 - Post 20min]]*$Y$26)</f>
        <v>0.33897956506419946</v>
      </c>
      <c r="AC19" s="6">
        <f>-$Y$29/LN((Table1315[[#This Row],[G Pre]]-1)/(Table1315[[#This Row],[G Pre]]*$Z$26-$Z$27))</f>
        <v>-6.1872606335067966</v>
      </c>
      <c r="AD19" s="6">
        <f>-$Y$29/LN((Table1315[[#This Row],[G 5min]]-1)/(Table1315[[#This Row],[G 5min]]*$Z$26-$Z$27))</f>
        <v>-7.421467716359734</v>
      </c>
      <c r="AE19" s="6">
        <f>-$Y$29/LN((Table1315[[#This Row],[G 10min]]-1)/(Table1315[[#This Row],[G 10min]]*$Z$26-$Z$27))</f>
        <v>-7.7133596901369756</v>
      </c>
      <c r="AF19" s="6">
        <f>-$Y$29/LN((Table1315[[#This Row],[G 15min]]-1)/(Table1315[[#This Row],[G 15min]]*$Z$26-$Z$27))</f>
        <v>-6.6247366438621968</v>
      </c>
      <c r="AG19" s="6">
        <f>-$Y$29/LN((Table1315[[#This Row],[G 20min]]-1)/(Table1315[[#This Row],[G 20min]]*$Z$26-$Z$27))</f>
        <v>-7.0644997401442806</v>
      </c>
    </row>
    <row r="20" spans="1:33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6">
        <f>Table41312[[#This Row],[2 - Pre]]*$Y$27/(Table41312[[#This Row],[10 - pre]]*$Y$26)</f>
        <v>1.3738618619733964</v>
      </c>
      <c r="Y20" s="6">
        <f>Table41312[[#This Row],[2 - Post 5min]]*$Y$27/(Table41312[[#This Row],[10 - Post 5min]]*$Y$26)</f>
        <v>0.79023971228624246</v>
      </c>
      <c r="Z20" s="6">
        <f>Table41312[[#This Row],[2 - Post 10min]]*$Y$27/(Table41312[[#This Row],[10 - Post 10min]]*$Y$26)</f>
        <v>0.66272534536309091</v>
      </c>
      <c r="AA20" s="6">
        <f>Table41312[[#This Row],[2 - Post 15min]]*$Y$27/(Table41312[[#This Row],[10 - Post 15min]]*$Y$26)</f>
        <v>0.63667934148405081</v>
      </c>
      <c r="AB20" s="6">
        <f>Table41312[[#This Row],[2 - Post 20min]]*$Y$27/(Table41312[[#This Row],[10 - Post 20min]]*$Y$26)</f>
        <v>0.64230102168288161</v>
      </c>
      <c r="AC20" s="6">
        <f>-$Y$29/LN((Table1315[[#This Row],[G Pre]]-1)/(Table1315[[#This Row],[G Pre]]*$Z$26-$Z$27))</f>
        <v>4.2995258386704629</v>
      </c>
      <c r="AD20" s="6">
        <f>-$Y$29/LN((Table1315[[#This Row],[G 5min]]-1)/(Table1315[[#This Row],[G 5min]]*$Z$26-$Z$27))</f>
        <v>-2.227956825430629</v>
      </c>
      <c r="AE20" s="6">
        <f>-$Y$29/LN((Table1315[[#This Row],[G 10min]]-1)/(Table1315[[#This Row],[G 10min]]*$Z$26-$Z$27))</f>
        <v>-3.6130475561858288</v>
      </c>
      <c r="AF20" s="6">
        <f>-$Y$29/LN((Table1315[[#This Row],[G 15min]]-1)/(Table1315[[#This Row],[G 15min]]*$Z$26-$Z$27))</f>
        <v>-3.8941449584110299</v>
      </c>
      <c r="AG20" s="6">
        <f>-$Y$29/LN((Table1315[[#This Row],[G 20min]]-1)/(Table1315[[#This Row],[G 20min]]*$Z$26-$Z$27))</f>
        <v>-3.8335254016901299</v>
      </c>
    </row>
    <row r="21" spans="1:33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6">
        <f>Table41312[[#This Row],[2 - Pre]]*$Y$27/(Table41312[[#This Row],[10 - pre]]*$Y$26)</f>
        <v>1.1528870038881018</v>
      </c>
      <c r="Y21" s="6">
        <f>Table41312[[#This Row],[2 - Post 5min]]*$Y$27/(Table41312[[#This Row],[10 - Post 5min]]*$Y$26)</f>
        <v>1.3454725169681516</v>
      </c>
      <c r="Z21" s="6">
        <f>Table41312[[#This Row],[2 - Post 10min]]*$Y$27/(Table41312[[#This Row],[10 - Post 10min]]*$Y$26)</f>
        <v>0.6366173964721743</v>
      </c>
      <c r="AA21" s="6">
        <f>Table41312[[#This Row],[2 - Post 15min]]*$Y$27/(Table41312[[#This Row],[10 - Post 15min]]*$Y$26)</f>
        <v>0.62608330753810471</v>
      </c>
      <c r="AB21" s="6">
        <f>Table41312[[#This Row],[2 - Post 20min]]*$Y$27/(Table41312[[#This Row],[10 - Post 20min]]*$Y$26)</f>
        <v>0.55348396844773273</v>
      </c>
      <c r="AC21" s="6">
        <f>-$Y$29/LN((Table1315[[#This Row],[G Pre]]-1)/(Table1315[[#This Row],[G Pre]]*$Z$26-$Z$27))</f>
        <v>1.7890805986638842</v>
      </c>
      <c r="AD21" s="6">
        <f>-$Y$29/LN((Table1315[[#This Row],[G 5min]]-1)/(Table1315[[#This Row],[G 5min]]*$Z$26-$Z$27))</f>
        <v>3.9744191108492002</v>
      </c>
      <c r="AE21" s="6">
        <f>-$Y$29/LN((Table1315[[#This Row],[G 10min]]-1)/(Table1315[[#This Row],[G 10min]]*$Z$26-$Z$27))</f>
        <v>-3.8948127645071087</v>
      </c>
      <c r="AF21" s="6">
        <f>-$Y$29/LN((Table1315[[#This Row],[G 15min]]-1)/(Table1315[[#This Row],[G 15min]]*$Z$26-$Z$27))</f>
        <v>-4.0083268935650134</v>
      </c>
      <c r="AG21" s="6">
        <f>-$Y$29/LN((Table1315[[#This Row],[G 20min]]-1)/(Table1315[[#This Row],[G 20min]]*$Z$26-$Z$27))</f>
        <v>-4.7879616123941267</v>
      </c>
    </row>
    <row r="22" spans="1:33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>
        <f>Table41312[[#This Row],[2 - Pre]]*$Y$27/(Table41312[[#This Row],[10 - pre]]*$Y$26)</f>
        <v>0.82283649252523594</v>
      </c>
      <c r="Y22" s="6">
        <f>Table41312[[#This Row],[2 - Post 5min]]*$Y$27/(Table41312[[#This Row],[10 - Post 5min]]*$Y$26)</f>
        <v>0.83677835213656127</v>
      </c>
      <c r="Z22" s="6">
        <f>Table41312[[#This Row],[2 - Post 10min]]*$Y$27/(Table41312[[#This Row],[10 - Post 10min]]*$Y$26)</f>
        <v>1.0322733885966608</v>
      </c>
      <c r="AA22" s="6">
        <f>Table41312[[#This Row],[2 - Post 15min]]*$Y$27/(Table41312[[#This Row],[10 - Post 15min]]*$Y$26)</f>
        <v>0.61360868945056113</v>
      </c>
      <c r="AB22" s="6">
        <f>Table41312[[#This Row],[2 - Post 20min]]*$Y$27/(Table41312[[#This Row],[10 - Post 20min]]*$Y$26)</f>
        <v>0.60896468970061512</v>
      </c>
      <c r="AC22" s="6">
        <f>-$Y$29/LN((Table1315[[#This Row],[G Pre]]-1)/(Table1315[[#This Row],[G Pre]]*$Z$26-$Z$27))</f>
        <v>-1.8714421488718875</v>
      </c>
      <c r="AD22" s="6">
        <f>-$Y$29/LN((Table1315[[#This Row],[G 5min]]-1)/(Table1315[[#This Row],[G 5min]]*$Z$26-$Z$27))</f>
        <v>-1.7186402773474219</v>
      </c>
      <c r="AE22" s="6">
        <f>-$Y$29/LN((Table1315[[#This Row],[G 10min]]-1)/(Table1315[[#This Row],[G 10min]]*$Z$26-$Z$27))</f>
        <v>0.43498543322503991</v>
      </c>
      <c r="AF22" s="6">
        <f>-$Y$29/LN((Table1315[[#This Row],[G 15min]]-1)/(Table1315[[#This Row],[G 15min]]*$Z$26-$Z$27))</f>
        <v>-4.1426236677056165</v>
      </c>
      <c r="AG22" s="6">
        <f>-$Y$29/LN((Table1315[[#This Row],[G 20min]]-1)/(Table1315[[#This Row],[G 20min]]*$Z$26-$Z$27))</f>
        <v>-4.192583655171549</v>
      </c>
    </row>
    <row r="23" spans="1:33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6">
        <f>Table41312[[#This Row],[2 - Pre]]*$Y$27/(Table41312[[#This Row],[10 - pre]]*$Y$26)</f>
        <v>1.3380704444072569</v>
      </c>
      <c r="Y23" s="6">
        <f>Table41312[[#This Row],[2 - Post 5min]]*$Y$27/(Table41312[[#This Row],[10 - Post 5min]]*$Y$26)</f>
        <v>0.6211020799720649</v>
      </c>
      <c r="Z23" s="6">
        <f>Table41312[[#This Row],[2 - Post 10min]]*$Y$27/(Table41312[[#This Row],[10 - Post 10min]]*$Y$26)</f>
        <v>0.58927846066646894</v>
      </c>
      <c r="AA23" s="6">
        <f>Table41312[[#This Row],[2 - Post 15min]]*$Y$27/(Table41312[[#This Row],[10 - Post 15min]]*$Y$26)</f>
        <v>0.4255430917564314</v>
      </c>
      <c r="AB23" s="6">
        <f>Table41312[[#This Row],[2 - Post 20min]]*$Y$27/(Table41312[[#This Row],[10 - Post 20min]]*$Y$26)</f>
        <v>0.47547072229339005</v>
      </c>
      <c r="AC23" s="6">
        <f>-$Y$29/LN((Table1315[[#This Row],[G Pre]]-1)/(Table1315[[#This Row],[G Pre]]*$Z$26-$Z$27))</f>
        <v>3.8897800838098955</v>
      </c>
      <c r="AD23" s="6">
        <f>-$Y$29/LN((Table1315[[#This Row],[G 5min]]-1)/(Table1315[[#This Row],[G 5min]]*$Z$26-$Z$27))</f>
        <v>-4.0619694719356172</v>
      </c>
      <c r="AE23" s="6">
        <f>-$Y$29/LN((Table1315[[#This Row],[G 10min]]-1)/(Table1315[[#This Row],[G 10min]]*$Z$26-$Z$27))</f>
        <v>-4.4041542260278446</v>
      </c>
      <c r="AF23" s="6">
        <f>-$Y$29/LN((Table1315[[#This Row],[G 15min]]-1)/(Table1315[[#This Row],[G 15min]]*$Z$26-$Z$27))</f>
        <v>-6.15060781532015</v>
      </c>
      <c r="AG23" s="6">
        <f>-$Y$29/LN((Table1315[[#This Row],[G 20min]]-1)/(Table1315[[#This Row],[G 20min]]*$Z$26-$Z$27))</f>
        <v>-5.6205505242602429</v>
      </c>
    </row>
    <row r="24" spans="1:33">
      <c r="X24" s="12"/>
      <c r="Y24" s="12"/>
      <c r="Z24" s="12"/>
      <c r="AA24" s="12"/>
      <c r="AB24" s="12"/>
    </row>
    <row r="25" spans="1:33">
      <c r="L25" t="s">
        <v>74</v>
      </c>
      <c r="M25">
        <v>4.7130000000000001</v>
      </c>
      <c r="X25" s="2" t="s">
        <v>32</v>
      </c>
      <c r="Y25" s="2" t="s">
        <v>33</v>
      </c>
      <c r="Z25" s="2" t="s">
        <v>34</v>
      </c>
      <c r="AA25" s="2" t="s">
        <v>35</v>
      </c>
    </row>
    <row r="26" spans="1:33">
      <c r="L26" t="s">
        <v>75</v>
      </c>
      <c r="M26">
        <v>4.8760000000000003</v>
      </c>
      <c r="X26" s="2">
        <v>2</v>
      </c>
      <c r="Y26" s="2">
        <f>SIN(X26*PI()/180)</f>
        <v>3.4899496702500969E-2</v>
      </c>
      <c r="Z26" s="2">
        <f>COS(X26*PI()/180)</f>
        <v>0.99939082701909576</v>
      </c>
      <c r="AA26" s="2">
        <f>TAN(X26*PI()/180)/2</f>
        <v>1.7460384745873865E-2</v>
      </c>
      <c r="AC26">
        <f>Y26*(1-Z27)/((Y27*(1-Z26)))</f>
        <v>5.0122221765268851</v>
      </c>
    </row>
    <row r="27" spans="1:33">
      <c r="X27" s="2">
        <v>10</v>
      </c>
      <c r="Y27" s="2">
        <f>SIN(X27*PI()/180)</f>
        <v>0.17364817766693033</v>
      </c>
      <c r="Z27" s="2">
        <f>COS(X27*PI()/180)</f>
        <v>0.98480775301220802</v>
      </c>
      <c r="AA27" s="2">
        <f>TAN(X27*PI()/180)/2</f>
        <v>8.8163490354232488E-2</v>
      </c>
    </row>
    <row r="28" spans="1:33">
      <c r="X28" s="2"/>
      <c r="Y28" s="2"/>
      <c r="Z28" s="2"/>
      <c r="AA28" s="2"/>
    </row>
    <row r="29" spans="1:33">
      <c r="X29" s="2" t="s">
        <v>29</v>
      </c>
      <c r="Y29" s="2">
        <v>0.16200000000000001</v>
      </c>
      <c r="Z29" s="2"/>
      <c r="AA29" s="2"/>
    </row>
    <row r="30" spans="1:33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L30" s="2"/>
      <c r="M30" s="2" t="s">
        <v>76</v>
      </c>
      <c r="N30" s="2" t="s">
        <v>79</v>
      </c>
      <c r="O30" s="2" t="s">
        <v>77</v>
      </c>
      <c r="P30" s="2" t="s">
        <v>78</v>
      </c>
      <c r="Q30" s="2" t="s">
        <v>80</v>
      </c>
      <c r="R30" s="2" t="s">
        <v>81</v>
      </c>
      <c r="S30" s="2" t="s">
        <v>82</v>
      </c>
      <c r="T30" s="2" t="s">
        <v>83</v>
      </c>
      <c r="U30" s="2" t="s">
        <v>84</v>
      </c>
      <c r="V30" s="2" t="s">
        <v>85</v>
      </c>
      <c r="X30" s="1" t="s">
        <v>49</v>
      </c>
      <c r="Y30" s="1" t="s">
        <v>50</v>
      </c>
      <c r="Z30" s="1" t="s">
        <v>51</v>
      </c>
      <c r="AA30" s="1" t="s">
        <v>52</v>
      </c>
      <c r="AB30" s="1" t="s">
        <v>53</v>
      </c>
      <c r="AC30" s="1" t="s">
        <v>54</v>
      </c>
      <c r="AD30" s="1" t="s">
        <v>55</v>
      </c>
      <c r="AE30" s="1" t="s">
        <v>56</v>
      </c>
      <c r="AF30" s="1" t="s">
        <v>57</v>
      </c>
      <c r="AG30" s="1" t="s">
        <v>58</v>
      </c>
    </row>
    <row r="31" spans="1:33">
      <c r="A31" s="2" t="s">
        <v>1</v>
      </c>
      <c r="B31" s="5">
        <f t="shared" ref="B31:J46" si="0">B2/B2</f>
        <v>1</v>
      </c>
      <c r="C31" s="5">
        <f t="shared" ref="C31:K46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L31" s="5"/>
      <c r="M31" s="5">
        <f>Table4131626[[#This Row],[10 - pre]]/$M$25</f>
        <v>2.4519509634609276</v>
      </c>
      <c r="N31" s="5">
        <f>Table4131626[[#This Row],[10 - pre]]/$M$32</f>
        <v>14.238623864726978</v>
      </c>
      <c r="O31" s="5">
        <f>Table4131626[[#This Row],[10 - Post 5min]]/$M$26</f>
        <v>1.9801667374686638</v>
      </c>
      <c r="P31" s="5">
        <f>Table4131626[[#This Row],[10 - Post 5min]]/$O$32</f>
        <v>5.3084507430047081</v>
      </c>
      <c r="Q31" s="5">
        <f>Table4131626[[#This Row],[10 - Post 10min]]/$M$26</f>
        <v>1.8927453384926491</v>
      </c>
      <c r="R31" s="5">
        <f>Table4131626[[#This Row],[10 - Post 10min]]/$Q$32</f>
        <v>5.4843675724490941</v>
      </c>
      <c r="S31" s="5">
        <f>Table4131626[[#This Row],[10 - Post 15min]]/$M$26</f>
        <v>6.6841857400371927</v>
      </c>
      <c r="T31" s="5">
        <f>Table4131626[[#This Row],[10 - Post 15min]]/$S$32</f>
        <v>16.479941772377419</v>
      </c>
      <c r="U31" s="5">
        <f>Table4131626[[#This Row],[10 - Post 20min]]/$M$26</f>
        <v>2.866124617327678</v>
      </c>
      <c r="V31" s="5">
        <f>Table4131626[[#This Row],[10 - Post 20min]]/$U$32</f>
        <v>5.6294192246690535</v>
      </c>
      <c r="X31" s="6">
        <f>1*$Y$27/(Table28[[#This Row],[S10 pre]]*$Y$26)</f>
        <v>0.34944839369827657</v>
      </c>
      <c r="Y31" s="6">
        <f>1*$Y$27/(Table28[[#This Row],[S10 5 min]]*$Y$26)</f>
        <v>0.93731005125356892</v>
      </c>
      <c r="Z31" s="6">
        <f>1*$Y$27/(Table28[[#This Row],[S 10]]*$Y$26)</f>
        <v>0.90724485043602965</v>
      </c>
      <c r="AA31" s="6">
        <f>1*$Y$27/(Table28[[#This Row],[S 15]]*$Y$26)</f>
        <v>0.30192244042649874</v>
      </c>
      <c r="AB31" s="6">
        <f>1*$Y$27/(Table28[[#This Row],[S 20]]*$Y$26)</f>
        <v>0.88386812909555557</v>
      </c>
      <c r="AC31" s="6">
        <f>-$Y$29/LN((Table131727[[#This Row],[G Pre]]-1)/(Table131727[[#This Row],[G Pre]]*$Z$26-$Z$27))</f>
        <v>-6.9543180523143304</v>
      </c>
      <c r="AD31" s="6">
        <f>-$Y$29/LN((Table131727[[#This Row],[G 5min]]-1)/(Table131727[[#This Row],[G 5min]]*$Z$26-$Z$27))</f>
        <v>-0.61000823059109399</v>
      </c>
      <c r="AE31" s="6">
        <f>-$Y$29/LN((Table131727[[#This Row],[G 10min]]-1)/(Table131727[[#This Row],[G 10min]]*$Z$26-$Z$27))</f>
        <v>-0.94310073435087061</v>
      </c>
      <c r="AF31" s="6">
        <f>-$Y$29/LN((Table131727[[#This Row],[G 15min]]-1)/(Table131727[[#This Row],[G 15min]]*$Z$26-$Z$27))</f>
        <v>-7.4537627856342796</v>
      </c>
      <c r="AG31" s="6">
        <f>-$Y$29/LN((Table131727[[#This Row],[G 20min]]-1)/(Table131727[[#This Row],[G 20min]]*$Z$26-$Z$27))</f>
        <v>-1.2010336007048326</v>
      </c>
    </row>
    <row r="32" spans="1:33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L32" s="5"/>
      <c r="M32" s="5">
        <f>Table4131626[[#This Row],[10 - pre]]/$M$25</f>
        <v>0.81159843820433242</v>
      </c>
      <c r="N32" s="5">
        <f>Table4131626[[#This Row],[10 - pre]]/$M$32</f>
        <v>4.7130000000000001</v>
      </c>
      <c r="O32" s="5">
        <f>Table4131626[[#This Row],[10 - Post 5min]]/$M$26</f>
        <v>1.8188532736449734</v>
      </c>
      <c r="P32" s="5">
        <f>Table4131626[[#This Row],[10 - Post 5min]]/$O$32</f>
        <v>4.8760000000000003</v>
      </c>
      <c r="Q32" s="5">
        <f>Table4131626[[#This Row],[10 - Post 10min]]/$M$26</f>
        <v>1.6827876958598624</v>
      </c>
      <c r="R32" s="5">
        <f>Table4131626[[#This Row],[10 - Post 10min]]/$Q$32</f>
        <v>4.8760000000000003</v>
      </c>
      <c r="S32" s="5">
        <f>Table4131626[[#This Row],[10 - Post 15min]]/$M$26</f>
        <v>1.9776823315632124</v>
      </c>
      <c r="T32" s="5">
        <f>Table4131626[[#This Row],[10 - Post 15min]]/$S$32</f>
        <v>4.8760000000000003</v>
      </c>
      <c r="U32" s="5">
        <f>Table4131626[[#This Row],[10 - Post 20min]]/$M$26</f>
        <v>2.482533823888617</v>
      </c>
      <c r="V32" s="5">
        <f>Table4131626[[#This Row],[10 - Post 20min]]/$U$32</f>
        <v>4.8760000000000003</v>
      </c>
      <c r="X32" s="6">
        <f>1*$Y$27/(Table28[[#This Row],[S10 pre]]*$Y$26)</f>
        <v>1.0557318561431761</v>
      </c>
      <c r="Y32" s="6">
        <f>1*$Y$27/(Table28[[#This Row],[S10 5 min]]*$Y$26)</f>
        <v>1.0204397534870362</v>
      </c>
      <c r="Z32" s="6">
        <f>1*$Y$27/(Table28[[#This Row],[S 10]]*$Y$26)</f>
        <v>1.0204397534870362</v>
      </c>
      <c r="AA32" s="6">
        <f>1*$Y$27/(Table28[[#This Row],[S 15]]*$Y$26)</f>
        <v>1.0204397534870362</v>
      </c>
      <c r="AB32" s="6">
        <f>1*$Y$27/(Table28[[#This Row],[S 20]]*$Y$26)</f>
        <v>1.0204397534870362</v>
      </c>
      <c r="AC32" s="6">
        <f>-$Y$29/LN((Table131727[[#This Row],[G Pre]]-1)/(Table131727[[#This Row],[G Pre]]*$Z$26-$Z$27))</f>
        <v>0.69842849968662957</v>
      </c>
      <c r="AD32" s="6">
        <f>-$Y$29/LN((Table131727[[#This Row],[G 5min]]-1)/(Table131727[[#This Row],[G 5min]]*$Z$26-$Z$27))</f>
        <v>0.30102416560297762</v>
      </c>
      <c r="AE32" s="6">
        <f>-$Y$29/LN((Table131727[[#This Row],[G 10min]]-1)/(Table131727[[#This Row],[G 10min]]*$Z$26-$Z$27))</f>
        <v>0.30102416560297762</v>
      </c>
      <c r="AF32" s="6">
        <f>-$Y$29/LN((Table131727[[#This Row],[G 15min]]-1)/(Table131727[[#This Row],[G 15min]]*$Z$26-$Z$27))</f>
        <v>0.30102416560297762</v>
      </c>
      <c r="AG32" s="6">
        <f>-$Y$29/LN((Table131727[[#This Row],[G 20min]]-1)/(Table131727[[#This Row],[G 20min]]*$Z$26-$Z$27))</f>
        <v>0.30102416560297762</v>
      </c>
    </row>
    <row r="33" spans="1:33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L33" s="5"/>
      <c r="M33" s="5">
        <f>Table4131626[[#This Row],[10 - pre]]/$M$25</f>
        <v>1.0783464824685673</v>
      </c>
      <c r="N33" s="5">
        <f>Table4131626[[#This Row],[10 - pre]]/$M$32</f>
        <v>6.2620216262599859</v>
      </c>
      <c r="O33" s="5">
        <f>Table4131626[[#This Row],[10 - Post 5min]]/$M$26</f>
        <v>0.78551451731139421</v>
      </c>
      <c r="P33" s="5">
        <f>Table4131626[[#This Row],[10 - Post 5min]]/$O$32</f>
        <v>2.1058151539264727</v>
      </c>
      <c r="Q33" s="5">
        <f>Table4131626[[#This Row],[10 - Post 10min]]/$M$26</f>
        <v>2.5558995199580283</v>
      </c>
      <c r="R33" s="5">
        <f>Table4131626[[#This Row],[10 - Post 10min]]/$Q$32</f>
        <v>7.4059051477359947</v>
      </c>
      <c r="S33" s="5">
        <f>Table4131626[[#This Row],[10 - Post 15min]]/$M$26</f>
        <v>2.7053750990330609</v>
      </c>
      <c r="T33" s="5">
        <f>Table4131626[[#This Row],[10 - Post 15min]]/$S$32</f>
        <v>6.6701354268854525</v>
      </c>
      <c r="U33" s="5">
        <f>Table4131626[[#This Row],[10 - Post 20min]]/$M$26</f>
        <v>2.3032676038244513</v>
      </c>
      <c r="V33" s="5">
        <f>Table4131626[[#This Row],[10 - Post 20min]]/$U$32</f>
        <v>4.5238992227128305</v>
      </c>
      <c r="X33" s="6">
        <f>1*$Y$27/(Table28[[#This Row],[S10 pre]]*$Y$26)</f>
        <v>0.79457793903763985</v>
      </c>
      <c r="Y33" s="6">
        <f>1*$Y$27/(Table28[[#This Row],[S10 5 min]]*$Y$26)</f>
        <v>2.3628209858425779</v>
      </c>
      <c r="Z33" s="6">
        <f>1*$Y$27/(Table28[[#This Row],[S 10]]*$Y$26)</f>
        <v>0.67185092689498771</v>
      </c>
      <c r="AA33" s="6">
        <f>1*$Y$27/(Table28[[#This Row],[S 15]]*$Y$26)</f>
        <v>0.74596150146326512</v>
      </c>
      <c r="AB33" s="6">
        <f>1*$Y$27/(Table28[[#This Row],[S 20]]*$Y$26)</f>
        <v>1.0998618654062435</v>
      </c>
      <c r="AC33" s="6">
        <f>-$Y$29/LN((Table131727[[#This Row],[G Pre]]-1)/(Table131727[[#This Row],[G Pre]]*$Z$26-$Z$27))</f>
        <v>-2.1805682039745902</v>
      </c>
      <c r="AD33" s="6">
        <f>-$Y$29/LN((Table131727[[#This Row],[G 5min]]-1)/(Table131727[[#This Row],[G 5min]]*$Z$26-$Z$27))</f>
        <v>16.134010781005607</v>
      </c>
      <c r="AE33" s="6">
        <f>-$Y$29/LN((Table131727[[#This Row],[G 10min]]-1)/(Table131727[[#This Row],[G 10min]]*$Z$26-$Z$27))</f>
        <v>-3.5144167552198056</v>
      </c>
      <c r="AF33" s="6">
        <f>-$Y$29/LN((Table131727[[#This Row],[G 15min]]-1)/(Table131727[[#This Row],[G 15min]]*$Z$26-$Z$27))</f>
        <v>-2.7106154447336674</v>
      </c>
      <c r="AG33" s="6">
        <f>-$Y$29/LN((Table131727[[#This Row],[G 20min]]-1)/(Table131727[[#This Row],[G 20min]]*$Z$26-$Z$27))</f>
        <v>1.193156997918041</v>
      </c>
    </row>
    <row r="34" spans="1:33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L34" s="5"/>
      <c r="M34" s="5">
        <f>Table4131626[[#This Row],[10 - pre]]/$M$25</f>
        <v>0.95332577345865144</v>
      </c>
      <c r="N34" s="5">
        <f>Table4131626[[#This Row],[10 - pre]]/$M$32</f>
        <v>5.5360189951221122</v>
      </c>
      <c r="O34" s="5">
        <f>Table4131626[[#This Row],[10 - Post 5min]]/$M$26</f>
        <v>2.3081600777387834</v>
      </c>
      <c r="P34" s="5">
        <f>Table4131626[[#This Row],[10 - Post 5min]]/$O$32</f>
        <v>6.1877385615059355</v>
      </c>
      <c r="Q34" s="5">
        <f>Table4131626[[#This Row],[10 - Post 10min]]/$M$26</f>
        <v>2.1589966977769763</v>
      </c>
      <c r="R34" s="5">
        <f>Table4131626[[#This Row],[10 - Post 10min]]/$Q$32</f>
        <v>6.2558502919058769</v>
      </c>
      <c r="S34" s="5">
        <f>Table4131626[[#This Row],[10 - Post 15min]]/$M$26</f>
        <v>2.9655402763722272</v>
      </c>
      <c r="T34" s="5">
        <f>Table4131626[[#This Row],[10 - Post 15min]]/$S$32</f>
        <v>7.3115758566551152</v>
      </c>
      <c r="U34" s="5">
        <f>Table4131626[[#This Row],[10 - Post 20min]]/$M$26</f>
        <v>2.5323264651344175</v>
      </c>
      <c r="V34" s="5">
        <f>Table4131626[[#This Row],[10 - Post 20min]]/$U$32</f>
        <v>4.9737988361641818</v>
      </c>
      <c r="X34" s="6">
        <f>1*$Y$27/(Table28[[#This Row],[S10 pre]]*$Y$26)</f>
        <v>0.89878019609162063</v>
      </c>
      <c r="Y34" s="6">
        <f>1*$Y$27/(Table28[[#This Row],[S10 5 min]]*$Y$26)</f>
        <v>0.8041167525978733</v>
      </c>
      <c r="Z34" s="6">
        <f>1*$Y$27/(Table28[[#This Row],[S 10]]*$Y$26)</f>
        <v>0.7953617823048843</v>
      </c>
      <c r="AA34" s="6">
        <f>1*$Y$27/(Table28[[#This Row],[S 15]]*$Y$26)</f>
        <v>0.68051871929549346</v>
      </c>
      <c r="AB34" s="6">
        <f>1*$Y$27/(Table28[[#This Row],[S 20]]*$Y$26)</f>
        <v>1.0003750456944587</v>
      </c>
      <c r="AC34" s="6">
        <f>-$Y$29/LN((Table131727[[#This Row],[G Pre]]-1)/(Table131727[[#This Row],[G Pre]]*$Z$26-$Z$27))</f>
        <v>-1.0365841578038706</v>
      </c>
      <c r="AD34" s="6">
        <f>-$Y$29/LN((Table131727[[#This Row],[G 5min]]-1)/(Table131727[[#This Row],[G 5min]]*$Z$26-$Z$27))</f>
        <v>-2.0763076322147356</v>
      </c>
      <c r="AE34" s="6">
        <f>-$Y$29/LN((Table131727[[#This Row],[G 10min]]-1)/(Table131727[[#This Row],[G 10min]]*$Z$26-$Z$27))</f>
        <v>-2.1720039759765131</v>
      </c>
      <c r="AF34" s="6">
        <f>-$Y$29/LN((Table131727[[#This Row],[G 15min]]-1)/(Table131727[[#This Row],[G 15min]]*$Z$26-$Z$27))</f>
        <v>-3.4206641919048999</v>
      </c>
      <c r="AG34" s="6">
        <f>-$Y$29/LN((Table131727[[#This Row],[G 20min]]-1)/(Table131727[[#This Row],[G 20min]]*$Z$26-$Z$27))</f>
        <v>4.3950720369583425E-2</v>
      </c>
    </row>
    <row r="35" spans="1:33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L35" s="5"/>
      <c r="M35" s="5">
        <f>Table4131626[[#This Row],[10 - pre]]/$M$25</f>
        <v>1.0151771750710084</v>
      </c>
      <c r="N35" s="5">
        <f>Table4131626[[#This Row],[10 - pre]]/$M$32</f>
        <v>5.8951937323776402</v>
      </c>
      <c r="O35" s="5">
        <f>Table4131626[[#This Row],[10 - Post 5min]]/$M$26</f>
        <v>1.2814185108072238</v>
      </c>
      <c r="P35" s="5">
        <f>Table4131626[[#This Row],[10 - Post 5min]]/$O$32</f>
        <v>3.4352395265917557</v>
      </c>
      <c r="Q35" s="5">
        <f>Table4131626[[#This Row],[10 - Post 10min]]/$M$26</f>
        <v>1.5426918714790239</v>
      </c>
      <c r="R35" s="5">
        <f>Table4131626[[#This Row],[10 - Post 10min]]/$Q$32</f>
        <v>4.4700621378670604</v>
      </c>
      <c r="S35" s="5">
        <f>Table4131626[[#This Row],[10 - Post 15min]]/$M$26</f>
        <v>2.2366175693908734</v>
      </c>
      <c r="T35" s="5">
        <f>Table4131626[[#This Row],[10 - Post 15min]]/$S$32</f>
        <v>5.5144079988466643</v>
      </c>
      <c r="U35" s="5">
        <f>Table4131626[[#This Row],[10 - Post 20min]]/$M$26</f>
        <v>2.8667419294515062</v>
      </c>
      <c r="V35" s="5">
        <f>Table4131626[[#This Row],[10 - Post 20min]]/$U$32</f>
        <v>5.6306317011665827</v>
      </c>
      <c r="X35" s="6">
        <f>1*$Y$27/(Table28[[#This Row],[S10 pre]]*$Y$26)</f>
        <v>0.84402047903453914</v>
      </c>
      <c r="Y35" s="6">
        <f>1*$Y$27/(Table28[[#This Row],[S10 5 min]]*$Y$26)</f>
        <v>1.4484184289004594</v>
      </c>
      <c r="Z35" s="6">
        <f>1*$Y$27/(Table28[[#This Row],[S 10]]*$Y$26)</f>
        <v>1.1131085171842783</v>
      </c>
      <c r="AA35" s="6">
        <f>1*$Y$27/(Table28[[#This Row],[S 15]]*$Y$26)</f>
        <v>0.90230252078617434</v>
      </c>
      <c r="AB35" s="6">
        <f>1*$Y$27/(Table28[[#This Row],[S 20]]*$Y$26)</f>
        <v>0.88367780065812263</v>
      </c>
      <c r="AC35" s="6">
        <f>-$Y$29/LN((Table131727[[#This Row],[G Pre]]-1)/(Table131727[[#This Row],[G Pre]]*$Z$26-$Z$27))</f>
        <v>-1.6391896026034574</v>
      </c>
      <c r="AD35" s="6">
        <f>-$Y$29/LN((Table131727[[#This Row],[G 5min]]-1)/(Table131727[[#This Row],[G 5min]]*$Z$26-$Z$27))</f>
        <v>5.1570430346388534</v>
      </c>
      <c r="AE35" s="6">
        <f>-$Y$29/LN((Table131727[[#This Row],[G 10min]]-1)/(Table131727[[#This Row],[G 10min]]*$Z$26-$Z$27))</f>
        <v>1.341831844513405</v>
      </c>
      <c r="AF35" s="6">
        <f>-$Y$29/LN((Table131727[[#This Row],[G 15min]]-1)/(Table131727[[#This Row],[G 15min]]*$Z$26-$Z$27))</f>
        <v>-0.99769645206344515</v>
      </c>
      <c r="AG35" s="6">
        <f>-$Y$29/LN((Table131727[[#This Row],[G 20min]]-1)/(Table131727[[#This Row],[G 20min]]*$Z$26-$Z$27))</f>
        <v>-1.2031307045301929</v>
      </c>
    </row>
    <row r="36" spans="1:33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L36" s="5"/>
      <c r="M36" s="5">
        <f>Table4131626[[#This Row],[10 - pre]]/$M$25</f>
        <v>0.92773728934014099</v>
      </c>
      <c r="N36" s="5">
        <f>Table4131626[[#This Row],[10 - pre]]/$M$32</f>
        <v>5.387425158597039</v>
      </c>
      <c r="O36" s="5">
        <f>Table4131626[[#This Row],[10 - Post 5min]]/$M$26</f>
        <v>1.5649729954055722</v>
      </c>
      <c r="P36" s="5">
        <f>Table4131626[[#This Row],[10 - Post 5min]]/$O$32</f>
        <v>4.195395217507274</v>
      </c>
      <c r="Q36" s="5">
        <f>Table4131626[[#This Row],[10 - Post 10min]]/$M$26</f>
        <v>1.5500237778162407</v>
      </c>
      <c r="R36" s="5">
        <f>Table4131626[[#This Row],[10 - Post 10min]]/$Q$32</f>
        <v>4.4913068708706501</v>
      </c>
      <c r="S36" s="5">
        <f>Table4131626[[#This Row],[10 - Post 15min]]/$M$26</f>
        <v>1.7179194649988045</v>
      </c>
      <c r="T36" s="5">
        <f>Table4131626[[#This Row],[10 - Post 15min]]/$S$32</f>
        <v>4.2355514723707444</v>
      </c>
      <c r="U36" s="5">
        <f>Table4131626[[#This Row],[10 - Post 20min]]/$M$26</f>
        <v>1.3867111328347161</v>
      </c>
      <c r="V36" s="5">
        <f>Table4131626[[#This Row],[10 - Post 20min]]/$U$32</f>
        <v>2.7236702350789188</v>
      </c>
      <c r="X36" s="6">
        <f>1*$Y$27/(Table28[[#This Row],[S10 pre]]*$Y$26)</f>
        <v>0.92356999708159693</v>
      </c>
      <c r="Y36" s="6">
        <f>1*$Y$27/(Table28[[#This Row],[S10 5 min]]*$Y$26)</f>
        <v>1.185982244828681</v>
      </c>
      <c r="Z36" s="6">
        <f>1*$Y$27/(Table28[[#This Row],[S 10]]*$Y$26)</f>
        <v>1.1078433028643722</v>
      </c>
      <c r="AA36" s="6">
        <f>1*$Y$27/(Table28[[#This Row],[S 15]]*$Y$26)</f>
        <v>1.1747382295929896</v>
      </c>
      <c r="AB36" s="6">
        <f>1*$Y$27/(Table28[[#This Row],[S 20]]*$Y$26)</f>
        <v>1.8268232967118423</v>
      </c>
      <c r="AC36" s="6">
        <f>-$Y$29/LN((Table131727[[#This Row],[G Pre]]-1)/(Table131727[[#This Row],[G Pre]]*$Z$26-$Z$27))</f>
        <v>-0.7624750129956186</v>
      </c>
      <c r="AD36" s="6">
        <f>-$Y$29/LN((Table131727[[#This Row],[G 5min]]-1)/(Table131727[[#This Row],[G 5min]]*$Z$26-$Z$27))</f>
        <v>2.1621990295380327</v>
      </c>
      <c r="AE36" s="6">
        <f>-$Y$29/LN((Table131727[[#This Row],[G 10min]]-1)/(Table131727[[#This Row],[G 10min]]*$Z$26-$Z$27))</f>
        <v>1.2827231388897</v>
      </c>
      <c r="AF36" s="6">
        <f>-$Y$29/LN((Table131727[[#This Row],[G 15min]]-1)/(Table131727[[#This Row],[G 15min]]*$Z$26-$Z$27))</f>
        <v>2.0353252064401639</v>
      </c>
      <c r="AG36" s="6">
        <f>-$Y$29/LN((Table131727[[#This Row],[G 20min]]-1)/(Table131727[[#This Row],[G 20min]]*$Z$26-$Z$27))</f>
        <v>9.5943462108284265</v>
      </c>
    </row>
    <row r="37" spans="1:33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L37" s="5"/>
      <c r="M37" s="5">
        <f>Table4131626[[#This Row],[10 - pre]]/$M$25</f>
        <v>0.56602479487015955</v>
      </c>
      <c r="N37" s="5">
        <f>Table4131626[[#This Row],[10 - pre]]/$M$32</f>
        <v>3.2869393688402271</v>
      </c>
      <c r="O37" s="5">
        <f>Table4131626[[#This Row],[10 - Post 5min]]/$M$26</f>
        <v>1.2319821051798774</v>
      </c>
      <c r="P37" s="5">
        <f>Table4131626[[#This Row],[10 - Post 5min]]/$O$32</f>
        <v>3.3027099172319674</v>
      </c>
      <c r="Q37" s="5">
        <f>Table4131626[[#This Row],[10 - Post 10min]]/$M$26</f>
        <v>1.7101494289686472</v>
      </c>
      <c r="R37" s="5">
        <f>Table4131626[[#This Row],[10 - Post 10min]]/$Q$32</f>
        <v>4.9552826159631875</v>
      </c>
      <c r="S37" s="5">
        <f>Table4131626[[#This Row],[10 - Post 15min]]/$M$26</f>
        <v>1.4395535551427319</v>
      </c>
      <c r="T37" s="5">
        <f>Table4131626[[#This Row],[10 - Post 15min]]/$S$32</f>
        <v>3.5492369137604372</v>
      </c>
      <c r="U37" s="5">
        <f>Table4131626[[#This Row],[10 - Post 20min]]/$M$26</f>
        <v>1.6975190886939127</v>
      </c>
      <c r="V37" s="5">
        <f>Table4131626[[#This Row],[10 - Post 20min]]/$U$32</f>
        <v>3.334135066690187</v>
      </c>
      <c r="X37" s="6">
        <f>1*$Y$27/(Table28[[#This Row],[S10 pre]]*$Y$26)</f>
        <v>1.5137681836091843</v>
      </c>
      <c r="Y37" s="6">
        <f>1*$Y$27/(Table28[[#This Row],[S10 5 min]]*$Y$26)</f>
        <v>1.5065398907854857</v>
      </c>
      <c r="Z37" s="6">
        <f>1*$Y$27/(Table28[[#This Row],[S 10]]*$Y$26)</f>
        <v>1.0041131099110157</v>
      </c>
      <c r="AA37" s="6">
        <f>1*$Y$27/(Table28[[#This Row],[S 15]]*$Y$26)</f>
        <v>1.4018969031658819</v>
      </c>
      <c r="AB37" s="6">
        <f>1*$Y$27/(Table28[[#This Row],[S 20]]*$Y$26)</f>
        <v>1.4923403336932466</v>
      </c>
      <c r="AC37" s="6">
        <f>-$Y$29/LN((Table131727[[#This Row],[G Pre]]-1)/(Table131727[[#This Row],[G Pre]]*$Z$26-$Z$27))</f>
        <v>5.9131361543526566</v>
      </c>
      <c r="AD37" s="6">
        <f>-$Y$29/LN((Table131727[[#This Row],[G 5min]]-1)/(Table131727[[#This Row],[G 5min]]*$Z$26-$Z$27))</f>
        <v>5.8292984560271712</v>
      </c>
      <c r="AE37" s="6">
        <f>-$Y$29/LN((Table131727[[#This Row],[G 10min]]-1)/(Table131727[[#This Row],[G 10min]]*$Z$26-$Z$27))</f>
        <v>0.10700089714474417</v>
      </c>
      <c r="AF37" s="6">
        <f>-$Y$29/LN((Table131727[[#This Row],[G 15min]]-1)/(Table131727[[#This Row],[G 15min]]*$Z$26-$Z$27))</f>
        <v>4.6213390462690009</v>
      </c>
      <c r="AG37" s="6">
        <f>-$Y$29/LN((Table131727[[#This Row],[G 20min]]-1)/(Table131727[[#This Row],[G 20min]]*$Z$26-$Z$27))</f>
        <v>5.6647542723870528</v>
      </c>
    </row>
    <row r="38" spans="1:33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L38" s="5"/>
      <c r="M38" s="5">
        <f>Table4131626[[#This Row],[10 - pre]]/$M$25</f>
        <v>0.98106483058347205</v>
      </c>
      <c r="N38" s="5">
        <f>Table4131626[[#This Row],[10 - pre]]/$M$32</f>
        <v>5.6971013359389948</v>
      </c>
      <c r="O38" s="5">
        <f>Table4131626[[#This Row],[10 - Post 5min]]/$M$26</f>
        <v>1.6553724796916132</v>
      </c>
      <c r="P38" s="5">
        <f>Table4131626[[#This Row],[10 - Post 5min]]/$O$32</f>
        <v>4.4377390567634221</v>
      </c>
      <c r="Q38" s="5">
        <f>Table4131626[[#This Row],[10 - Post 10min]]/$M$26</f>
        <v>1.7631352947036851</v>
      </c>
      <c r="R38" s="5">
        <f>Table4131626[[#This Row],[10 - Post 10min]]/$Q$32</f>
        <v>5.1088130238451104</v>
      </c>
      <c r="S38" s="5">
        <f>Table4131626[[#This Row],[10 - Post 15min]]/$M$26</f>
        <v>2.2645666478382975</v>
      </c>
      <c r="T38" s="5">
        <f>Table4131626[[#This Row],[10 - Post 15min]]/$S$32</f>
        <v>5.5833167939219193</v>
      </c>
      <c r="U38" s="5">
        <f>Table4131626[[#This Row],[10 - Post 20min]]/$M$26</f>
        <v>2.5310258571299107</v>
      </c>
      <c r="V38" s="5">
        <f>Table4131626[[#This Row],[10 - Post 20min]]/$U$32</f>
        <v>4.9712442830020258</v>
      </c>
      <c r="X38" s="6">
        <f>1*$Y$27/(Table28[[#This Row],[S10 pre]]*$Y$26)</f>
        <v>0.87336769079651655</v>
      </c>
      <c r="Y38" s="6">
        <f>1*$Y$27/(Table28[[#This Row],[S10 5 min]]*$Y$26)</f>
        <v>1.121216045909579</v>
      </c>
      <c r="Z38" s="6">
        <f>1*$Y$27/(Table28[[#This Row],[S 10]]*$Y$26)</f>
        <v>0.97393743219396423</v>
      </c>
      <c r="AA38" s="6">
        <f>1*$Y$27/(Table28[[#This Row],[S 15]]*$Y$26)</f>
        <v>0.8911663840066123</v>
      </c>
      <c r="AB38" s="6">
        <f>1*$Y$27/(Table28[[#This Row],[S 20]]*$Y$26)</f>
        <v>1.0008891043668637</v>
      </c>
      <c r="AC38" s="6">
        <f>-$Y$29/LN((Table131727[[#This Row],[G Pre]]-1)/(Table131727[[#This Row],[G Pre]]*$Z$26-$Z$27))</f>
        <v>-1.3166663671670356</v>
      </c>
      <c r="AD38" s="6">
        <f>-$Y$29/LN((Table131727[[#This Row],[G 5min]]-1)/(Table131727[[#This Row],[G 5min]]*$Z$26-$Z$27))</f>
        <v>1.4328881119559256</v>
      </c>
      <c r="AE38" s="6">
        <f>-$Y$29/LN((Table131727[[#This Row],[G 10min]]-1)/(Table131727[[#This Row],[G 10min]]*$Z$26-$Z$27))</f>
        <v>-0.19724302853709916</v>
      </c>
      <c r="AF38" s="6">
        <f>-$Y$29/LN((Table131727[[#This Row],[G 15min]]-1)/(Table131727[[#This Row],[G 15min]]*$Z$26-$Z$27))</f>
        <v>-1.1205849248471491</v>
      </c>
      <c r="AG38" s="6">
        <f>-$Y$29/LN((Table131727[[#This Row],[G 20min]]-1)/(Table131727[[#This Row],[G 20min]]*$Z$26-$Z$27))</f>
        <v>5.6711785297647185E-2</v>
      </c>
    </row>
    <row r="39" spans="1:33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L39" s="5"/>
      <c r="M39" s="5">
        <f>Table4131626[[#This Row],[10 - pre]]/$M$25</f>
        <v>0.86180297344740875</v>
      </c>
      <c r="N39" s="5">
        <f>Table4131626[[#This Row],[10 - pre]]/$M$32</f>
        <v>5.0045406972986903</v>
      </c>
      <c r="O39" s="5">
        <f>Table4131626[[#This Row],[10 - Post 5min]]/$M$26</f>
        <v>0.60409038351735211</v>
      </c>
      <c r="P39" s="5">
        <f>Table4131626[[#This Row],[10 - Post 5min]]/$O$32</f>
        <v>1.619451526250796</v>
      </c>
      <c r="Q39" s="5">
        <f>Table4131626[[#This Row],[10 - Post 10min]]/$M$26</f>
        <v>2.100566288155604</v>
      </c>
      <c r="R39" s="5">
        <f>Table4131626[[#This Row],[10 - Post 10min]]/$Q$32</f>
        <v>6.0865439212836261</v>
      </c>
      <c r="S39" s="5">
        <f>Table4131626[[#This Row],[10 - Post 15min]]/$M$26</f>
        <v>2.7151571680785391</v>
      </c>
      <c r="T39" s="5">
        <f>Table4131626[[#This Row],[10 - Post 15min]]/$S$32</f>
        <v>6.6942532378728474</v>
      </c>
      <c r="U39" s="5">
        <f>Table4131626[[#This Row],[10 - Post 20min]]/$M$26</f>
        <v>3.9050124932358705</v>
      </c>
      <c r="V39" s="5">
        <f>Table4131626[[#This Row],[10 - Post 20min]]/$U$32</f>
        <v>7.6699220505252637</v>
      </c>
      <c r="X39" s="6">
        <f>1*$Y$27/(Table28[[#This Row],[S10 pre]]*$Y$26)</f>
        <v>0.99422994815258703</v>
      </c>
      <c r="Y39" s="6">
        <f>1*$Y$27/(Table28[[#This Row],[S10 5 min]]*$Y$26)</f>
        <v>3.0724378947741555</v>
      </c>
      <c r="Z39" s="6">
        <f>1*$Y$27/(Table28[[#This Row],[S 10]]*$Y$26)</f>
        <v>0.81748596614964419</v>
      </c>
      <c r="AA39" s="6">
        <f>1*$Y$27/(Table28[[#This Row],[S 15]]*$Y$26)</f>
        <v>0.74327397861988354</v>
      </c>
      <c r="AB39" s="6">
        <f>1*$Y$27/(Table28[[#This Row],[S 20]]*$Y$26)</f>
        <v>0.64872422499548577</v>
      </c>
      <c r="AC39" s="6" t="e">
        <f>-$Y$29/LN((Table131727[[#This Row],[G Pre]]-1)/(Table131727[[#This Row],[G Pre]]*$Z$26-$Z$27))</f>
        <v>#NUM!</v>
      </c>
      <c r="AD39" s="6">
        <f>-$Y$29/LN((Table131727[[#This Row],[G 5min]]-1)/(Table131727[[#This Row],[G 5min]]*$Z$26-$Z$27))</f>
        <v>25.285102346494725</v>
      </c>
      <c r="AE39" s="6">
        <f>-$Y$29/LN((Table131727[[#This Row],[G 10min]]-1)/(Table131727[[#This Row],[G 10min]]*$Z$26-$Z$27))</f>
        <v>-1.93003230456366</v>
      </c>
      <c r="AF39" s="6">
        <f>-$Y$29/LN((Table131727[[#This Row],[G 15min]]-1)/(Table131727[[#This Row],[G 15min]]*$Z$26-$Z$27))</f>
        <v>-2.7398521865182297</v>
      </c>
      <c r="AG39" s="6">
        <f>-$Y$29/LN((Table131727[[#This Row],[G 20min]]-1)/(Table131727[[#This Row],[G 20min]]*$Z$26-$Z$27))</f>
        <v>-3.7642281860597153</v>
      </c>
    </row>
    <row r="40" spans="1:33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L40" s="5"/>
      <c r="M40" s="5">
        <f>Table4131626[[#This Row],[10 - pre]]/$M$25</f>
        <v>0.74439629265045049</v>
      </c>
      <c r="N40" s="5">
        <f>Table4131626[[#This Row],[10 - pre]]/$M$32</f>
        <v>4.3227531770807754</v>
      </c>
      <c r="O40" s="5">
        <f>Table4131626[[#This Row],[10 - Post 5min]]/$M$26</f>
        <v>1.5495377274221485</v>
      </c>
      <c r="P40" s="5">
        <f>Table4131626[[#This Row],[10 - Post 5min]]/$O$32</f>
        <v>4.1540161971224414</v>
      </c>
      <c r="Q40" s="5">
        <f>Table4131626[[#This Row],[10 - Post 10min]]/$M$26</f>
        <v>1.521369153823825</v>
      </c>
      <c r="R40" s="5">
        <f>Table4131626[[#This Row],[10 - Post 10min]]/$Q$32</f>
        <v>4.4082780093388187</v>
      </c>
      <c r="S40" s="5">
        <f>Table4131626[[#This Row],[10 - Post 15min]]/$M$26</f>
        <v>2.627222682990813</v>
      </c>
      <c r="T40" s="5">
        <f>Table4131626[[#This Row],[10 - Post 15min]]/$S$32</f>
        <v>6.4774496883620216</v>
      </c>
      <c r="U40" s="5">
        <f>Table4131626[[#This Row],[10 - Post 20min]]/$M$26</f>
        <v>2.789979234846875</v>
      </c>
      <c r="V40" s="5">
        <f>Table4131626[[#This Row],[10 - Post 20min]]/$U$32</f>
        <v>5.4798603822461871</v>
      </c>
      <c r="X40" s="6">
        <f>1*$Y$27/(Table28[[#This Row],[S10 pre]]*$Y$26)</f>
        <v>1.1510405600726283</v>
      </c>
      <c r="Y40" s="6">
        <f>1*$Y$27/(Table28[[#This Row],[S10 5 min]]*$Y$26)</f>
        <v>1.1977960609420633</v>
      </c>
      <c r="Z40" s="6">
        <f>1*$Y$27/(Table28[[#This Row],[S 10]]*$Y$26)</f>
        <v>1.1287092663988019</v>
      </c>
      <c r="AA40" s="6">
        <f>1*$Y$27/(Table28[[#This Row],[S 15]]*$Y$26)</f>
        <v>0.76815173832110539</v>
      </c>
      <c r="AB40" s="6">
        <f>1*$Y$27/(Table28[[#This Row],[S 20]]*$Y$26)</f>
        <v>0.90799106015968811</v>
      </c>
      <c r="AC40" s="6">
        <f>-$Y$29/LN((Table131727[[#This Row],[G Pre]]-1)/(Table131727[[#This Row],[G Pre]]*$Z$26-$Z$27))</f>
        <v>1.7682916010583554</v>
      </c>
      <c r="AD40" s="6">
        <f>-$Y$29/LN((Table131727[[#This Row],[G 5min]]-1)/(Table131727[[#This Row],[G 5min]]*$Z$26-$Z$27))</f>
        <v>2.2956242485753315</v>
      </c>
      <c r="AE40" s="6">
        <f>-$Y$29/LN((Table131727[[#This Row],[G 10min]]-1)/(Table131727[[#This Row],[G 10min]]*$Z$26-$Z$27))</f>
        <v>1.5170891148476833</v>
      </c>
      <c r="AF40" s="6">
        <f>-$Y$29/LN((Table131727[[#This Row],[G 15min]]-1)/(Table131727[[#This Row],[G 15min]]*$Z$26-$Z$27))</f>
        <v>-2.4689583552544727</v>
      </c>
      <c r="AG40" s="6">
        <f>-$Y$29/LN((Table131727[[#This Row],[G 20min]]-1)/(Table131727[[#This Row],[G 20min]]*$Z$26-$Z$27))</f>
        <v>-0.93485444840318899</v>
      </c>
    </row>
    <row r="41" spans="1:33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si="0"/>
        <v>1</v>
      </c>
      <c r="E41" s="5">
        <f t="shared" si="1"/>
        <v>6.6873362311586018</v>
      </c>
      <c r="F41" s="5">
        <f t="shared" si="0"/>
        <v>1</v>
      </c>
      <c r="G41" s="5">
        <f t="shared" si="1"/>
        <v>8.263320331572638</v>
      </c>
      <c r="H41" s="5">
        <f t="shared" si="0"/>
        <v>1</v>
      </c>
      <c r="I41" s="5">
        <f t="shared" si="1"/>
        <v>7.3269640773304925</v>
      </c>
      <c r="J41" s="5">
        <f t="shared" si="0"/>
        <v>1</v>
      </c>
      <c r="K41" s="5">
        <f t="shared" si="1"/>
        <v>6.7240623592392845</v>
      </c>
      <c r="L41" s="5"/>
      <c r="M41" s="5">
        <f>Table4131626[[#This Row],[10 - pre]]/$M$25</f>
        <v>1.3831788440736306</v>
      </c>
      <c r="N41" s="5">
        <f>Table4131626[[#This Row],[10 - pre]]/$M$32</f>
        <v>8.0322011295908649</v>
      </c>
      <c r="O41" s="5">
        <f>Table4131626[[#This Row],[10 - Post 5min]]/$M$26</f>
        <v>1.3714799489660789</v>
      </c>
      <c r="P41" s="5">
        <f>Table4131626[[#This Row],[10 - Post 5min]]/$O$32</f>
        <v>3.6766771284179574</v>
      </c>
      <c r="Q41" s="5">
        <f>Table4131626[[#This Row],[10 - Post 10min]]/$M$26</f>
        <v>1.6946924387966853</v>
      </c>
      <c r="R41" s="5">
        <f>Table4131626[[#This Row],[10 - Post 10min]]/$Q$32</f>
        <v>4.9104948603455814</v>
      </c>
      <c r="S41" s="5">
        <f>Table4131626[[#This Row],[10 - Post 15min]]/$M$26</f>
        <v>1.5026587525288129</v>
      </c>
      <c r="T41" s="5">
        <f>Table4131626[[#This Row],[10 - Post 15min]]/$S$32</f>
        <v>3.70482355047338</v>
      </c>
      <c r="U41" s="5">
        <f>Table4131626[[#This Row],[10 - Post 20min]]/$M$26</f>
        <v>1.379011968670895</v>
      </c>
      <c r="V41" s="5">
        <f>Table4131626[[#This Row],[10 - Post 20min]]/$U$32</f>
        <v>2.7085481351898677</v>
      </c>
      <c r="X41" s="6">
        <f>1*$Y$27/(Table28[[#This Row],[S10 pre]]*$Y$26)</f>
        <v>0.61946459727860836</v>
      </c>
      <c r="Y41" s="6">
        <f>1*$Y$27/(Table28[[#This Row],[S10 5 min]]*$Y$26)</f>
        <v>1.3533046455302358</v>
      </c>
      <c r="Z41" s="6">
        <f>1*$Y$27/(Table28[[#This Row],[S 10]]*$Y$26)</f>
        <v>1.0132714480944638</v>
      </c>
      <c r="AA41" s="6">
        <f>1*$Y$27/(Table28[[#This Row],[S 15]]*$Y$26)</f>
        <v>1.3430232695878401</v>
      </c>
      <c r="AB41" s="6">
        <f>1*$Y$27/(Table28[[#This Row],[S 20]]*$Y$26)</f>
        <v>1.8370226370940967</v>
      </c>
      <c r="AC41" s="6">
        <f>-$Y$29/LN((Table131727[[#This Row],[G Pre]]-1)/(Table131727[[#This Row],[G Pre]]*$Z$26-$Z$27))</f>
        <v>-4.0795985966347983</v>
      </c>
      <c r="AD41" s="6">
        <f>-$Y$29/LN((Table131727[[#This Row],[G 5min]]-1)/(Table131727[[#This Row],[G 5min]]*$Z$26-$Z$27))</f>
        <v>4.064032916311084</v>
      </c>
      <c r="AE41" s="6">
        <f>-$Y$29/LN((Table131727[[#This Row],[G 10min]]-1)/(Table131727[[#This Row],[G 10min]]*$Z$26-$Z$27))</f>
        <v>0.21859691009348284</v>
      </c>
      <c r="AF41" s="6">
        <f>-$Y$29/LN((Table131727[[#This Row],[G 15min]]-1)/(Table131727[[#This Row],[G 15min]]*$Z$26-$Z$27))</f>
        <v>3.9464073607144337</v>
      </c>
      <c r="AG41" s="6">
        <f>-$Y$29/LN((Table131727[[#This Row],[G 20min]]-1)/(Table131727[[#This Row],[G 20min]]*$Z$26-$Z$27))</f>
        <v>9.7159564212340506</v>
      </c>
    </row>
    <row r="42" spans="1:33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L42" s="5"/>
      <c r="M42" s="5">
        <f>Table4131626[[#This Row],[10 - pre]]/$M$25</f>
        <v>0.85393975399479272</v>
      </c>
      <c r="N42" s="5">
        <f>Table4131626[[#This Row],[10 - pre]]/$M$32</f>
        <v>4.9588785181523454</v>
      </c>
      <c r="O42" s="5">
        <f>Table4131626[[#This Row],[10 - Post 5min]]/$M$26</f>
        <v>1.314351408630742</v>
      </c>
      <c r="P42" s="5">
        <f>Table4131626[[#This Row],[10 - Post 5min]]/$O$32</f>
        <v>3.5235263675999207</v>
      </c>
      <c r="Q42" s="5">
        <f>Table4131626[[#This Row],[10 - Post 10min]]/$M$26</f>
        <v>1.3041576340825469</v>
      </c>
      <c r="R42" s="5">
        <f>Table4131626[[#This Row],[10 - Post 10min]]/$Q$32</f>
        <v>3.7788917992635858</v>
      </c>
      <c r="S42" s="5">
        <f>Table4131626[[#This Row],[10 - Post 15min]]/$M$26</f>
        <v>1.5992950563401187</v>
      </c>
      <c r="T42" s="5">
        <f>Table4131626[[#This Row],[10 - Post 15min]]/$S$32</f>
        <v>3.9430815405781297</v>
      </c>
      <c r="U42" s="5">
        <f>Table4131626[[#This Row],[10 - Post 20min]]/$M$26</f>
        <v>1.7341296381938469</v>
      </c>
      <c r="V42" s="5">
        <f>Table4131626[[#This Row],[10 - Post 20min]]/$U$32</f>
        <v>3.406042662729325</v>
      </c>
      <c r="X42" s="6">
        <f>1*$Y$27/(Table28[[#This Row],[S10 pre]]*$Y$26)</f>
        <v>1.003384983074096</v>
      </c>
      <c r="Y42" s="6">
        <f>1*$Y$27/(Table28[[#This Row],[S10 5 min]]*$Y$26)</f>
        <v>1.4121262959050889</v>
      </c>
      <c r="Z42" s="6">
        <f>1*$Y$27/(Table28[[#This Row],[S 10]]*$Y$26)</f>
        <v>1.3166993135321909</v>
      </c>
      <c r="AA42" s="6">
        <f>1*$Y$27/(Table28[[#This Row],[S 15]]*$Y$26)</f>
        <v>1.2618720122316476</v>
      </c>
      <c r="AB42" s="6">
        <f>1*$Y$27/(Table28[[#This Row],[S 20]]*$Y$26)</f>
        <v>1.4608343848563827</v>
      </c>
      <c r="AC42" s="6">
        <f>-$Y$29/LN((Table131727[[#This Row],[G Pre]]-1)/(Table131727[[#This Row],[G Pre]]*$Z$26-$Z$27))</f>
        <v>9.7056439897468635E-2</v>
      </c>
      <c r="AD42" s="6">
        <f>-$Y$29/LN((Table131727[[#This Row],[G 5min]]-1)/(Table131727[[#This Row],[G 5min]]*$Z$26-$Z$27))</f>
        <v>4.7389516462664112</v>
      </c>
      <c r="AE42" s="6">
        <f>-$Y$29/LN((Table131727[[#This Row],[G 10min]]-1)/(Table131727[[#This Row],[G 10min]]*$Z$26-$Z$27))</f>
        <v>3.6457063446204772</v>
      </c>
      <c r="AF42" s="6">
        <f>-$Y$29/LN((Table131727[[#This Row],[G 15min]]-1)/(Table131727[[#This Row],[G 15min]]*$Z$26-$Z$27))</f>
        <v>3.0215264714932015</v>
      </c>
      <c r="AG42" s="6">
        <f>-$Y$29/LN((Table131727[[#This Row],[G 20min]]-1)/(Table131727[[#This Row],[G 20min]]*$Z$26-$Z$27))</f>
        <v>5.3003722850436983</v>
      </c>
    </row>
    <row r="43" spans="1:33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L43" s="5"/>
      <c r="M43" s="5">
        <f>Table4131626[[#This Row],[10 - pre]]/$M$25</f>
        <v>0.99416966973399845</v>
      </c>
      <c r="N43" s="5">
        <f>Table4131626[[#This Row],[10 - pre]]/$M$32</f>
        <v>5.7732019098300462</v>
      </c>
      <c r="O43" s="5">
        <f>Table4131626[[#This Row],[10 - Post 5min]]/$M$26</f>
        <v>1.7887363411170079</v>
      </c>
      <c r="P43" s="5">
        <f>Table4131626[[#This Row],[10 - Post 5min]]/$O$32</f>
        <v>4.7952622268468792</v>
      </c>
      <c r="Q43" s="5">
        <f>Table4131626[[#This Row],[10 - Post 10min]]/$M$26</f>
        <v>1.5416838947820604</v>
      </c>
      <c r="R43" s="5">
        <f>Table4131626[[#This Row],[10 - Post 10min]]/$Q$32</f>
        <v>4.4671414519204689</v>
      </c>
      <c r="S43" s="5">
        <f>Table4131626[[#This Row],[10 - Post 15min]]/$M$26</f>
        <v>2.2388144069322102</v>
      </c>
      <c r="T43" s="5">
        <f>Table4131626[[#This Row],[10 - Post 15min]]/$S$32</f>
        <v>5.5198243286993423</v>
      </c>
      <c r="U43" s="5">
        <f>Table4131626[[#This Row],[10 - Post 20min]]/$M$26</f>
        <v>2.7570926220572338</v>
      </c>
      <c r="V43" s="5">
        <f>Table4131626[[#This Row],[10 - Post 20min]]/$U$32</f>
        <v>5.4152670532775149</v>
      </c>
      <c r="X43" s="6">
        <f>1*$Y$27/(Table28[[#This Row],[S10 pre]]*$Y$26)</f>
        <v>0.86185522621869715</v>
      </c>
      <c r="Y43" s="6">
        <f>1*$Y$27/(Table28[[#This Row],[S10 5 min]]*$Y$26)</f>
        <v>1.0376208854952511</v>
      </c>
      <c r="Z43" s="6">
        <f>1*$Y$27/(Table28[[#This Row],[S 10]]*$Y$26)</f>
        <v>1.1138362846924628</v>
      </c>
      <c r="AA43" s="6">
        <f>1*$Y$27/(Table28[[#This Row],[S 15]]*$Y$26)</f>
        <v>0.90141713607310103</v>
      </c>
      <c r="AB43" s="6">
        <f>1*$Y$27/(Table28[[#This Row],[S 20]]*$Y$26)</f>
        <v>0.91882158147516235</v>
      </c>
      <c r="AC43" s="6">
        <f>-$Y$29/LN((Table131727[[#This Row],[G Pre]]-1)/(Table131727[[#This Row],[G Pre]]*$Z$26-$Z$27))</f>
        <v>-1.4432984540779166</v>
      </c>
      <c r="AD43" s="6">
        <f>-$Y$29/LN((Table131727[[#This Row],[G 5min]]-1)/(Table131727[[#This Row],[G 5min]]*$Z$26-$Z$27))</f>
        <v>0.49517073284682794</v>
      </c>
      <c r="AE43" s="6">
        <f>-$Y$29/LN((Table131727[[#This Row],[G 10min]]-1)/(Table131727[[#This Row],[G 10min]]*$Z$26-$Z$27))</f>
        <v>1.3500034951579691</v>
      </c>
      <c r="AF43" s="6">
        <f>-$Y$29/LN((Table131727[[#This Row],[G 15min]]-1)/(Table131727[[#This Row],[G 15min]]*$Z$26-$Z$27))</f>
        <v>-1.0074730807104144</v>
      </c>
      <c r="AG43" s="6">
        <f>-$Y$29/LN((Table131727[[#This Row],[G 20min]]-1)/(Table131727[[#This Row],[G 20min]]*$Z$26-$Z$27))</f>
        <v>-0.81506316048481342</v>
      </c>
    </row>
    <row r="44" spans="1:33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L44" s="5"/>
      <c r="M44" s="5">
        <f>Table4131626[[#This Row],[10 - pre]]/$M$25</f>
        <v>1.0815501192666341</v>
      </c>
      <c r="N44" s="5">
        <f>Table4131626[[#This Row],[10 - pre]]/$M$32</f>
        <v>6.2806253341018774</v>
      </c>
      <c r="O44" s="5">
        <f>Table4131626[[#This Row],[10 - Post 5min]]/$M$26</f>
        <v>1.6979010639514422</v>
      </c>
      <c r="P44" s="5">
        <f>Table4131626[[#This Row],[10 - Post 5min]]/$O$32</f>
        <v>4.5517501096920396</v>
      </c>
      <c r="Q44" s="5">
        <f>Table4131626[[#This Row],[10 - Post 10min]]/$M$26</f>
        <v>2.0433514422337402</v>
      </c>
      <c r="R44" s="5">
        <f>Table4131626[[#This Row],[10 - Post 10min]]/$Q$32</f>
        <v>5.9207597350779766</v>
      </c>
      <c r="S44" s="5">
        <f>Table4131626[[#This Row],[10 - Post 15min]]/$M$26</f>
        <v>3.0547218993321481</v>
      </c>
      <c r="T44" s="5">
        <f>Table4131626[[#This Row],[10 - Post 15min]]/$S$32</f>
        <v>7.5314542398577693</v>
      </c>
      <c r="U44" s="5">
        <f>Table4131626[[#This Row],[10 - Post 20min]]/$M$26</f>
        <v>3.3402209132655822</v>
      </c>
      <c r="V44" s="5">
        <f>Table4131626[[#This Row],[10 - Post 20min]]/$U$32</f>
        <v>6.5606023234645443</v>
      </c>
      <c r="X44" s="6">
        <f>1*$Y$27/(Table28[[#This Row],[S10 pre]]*$Y$26)</f>
        <v>0.79222433648230095</v>
      </c>
      <c r="Y44" s="6">
        <f>1*$Y$27/(Table28[[#This Row],[S10 5 min]]*$Y$26)</f>
        <v>1.0931321179974509</v>
      </c>
      <c r="Z44" s="6">
        <f>1*$Y$27/(Table28[[#This Row],[S 10]]*$Y$26)</f>
        <v>0.84037597548910825</v>
      </c>
      <c r="AA44" s="6">
        <f>1*$Y$27/(Table28[[#This Row],[S 15]]*$Y$26)</f>
        <v>0.66065119425020291</v>
      </c>
      <c r="AB44" s="6">
        <f>1*$Y$27/(Table28[[#This Row],[S 20]]*$Y$26)</f>
        <v>0.75841576621812734</v>
      </c>
      <c r="AC44" s="6">
        <f>-$Y$29/LN((Table131727[[#This Row],[G Pre]]-1)/(Table131727[[#This Row],[G Pre]]*$Z$26-$Z$27))</f>
        <v>-2.2062800090915475</v>
      </c>
      <c r="AD44" s="6">
        <f>-$Y$29/LN((Table131727[[#This Row],[G 5min]]-1)/(Table131727[[#This Row],[G 5min]]*$Z$26-$Z$27))</f>
        <v>1.1176677460748221</v>
      </c>
      <c r="AE44" s="6">
        <f>-$Y$29/LN((Table131727[[#This Row],[G 10min]]-1)/(Table131727[[#This Row],[G 10min]]*$Z$26-$Z$27))</f>
        <v>-1.6791787908233491</v>
      </c>
      <c r="AF44" s="6">
        <f>-$Y$29/LN((Table131727[[#This Row],[G 15min]]-1)/(Table131727[[#This Row],[G 15min]]*$Z$26-$Z$27))</f>
        <v>-3.6354548560650417</v>
      </c>
      <c r="AG44" s="6">
        <f>-$Y$29/LN((Table131727[[#This Row],[G 20min]]-1)/(Table131727[[#This Row],[G 20min]]*$Z$26-$Z$27))</f>
        <v>-2.5750418993944222</v>
      </c>
    </row>
    <row r="45" spans="1:33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L45" s="5"/>
      <c r="M45" s="5" t="e">
        <f>Table4131626[[#This Row],[10 - pre]]/$M$25</f>
        <v>#DIV/0!</v>
      </c>
      <c r="N45" s="5" t="e">
        <f>Table4131626[[#This Row],[10 - pre]]/$M$32</f>
        <v>#DIV/0!</v>
      </c>
      <c r="O45" s="5">
        <f>Table4131626[[#This Row],[10 - Post 5min]]/$M$26</f>
        <v>2.335932896967138</v>
      </c>
      <c r="P45" s="5">
        <f>Table4131626[[#This Row],[10 - Post 5min]]/$O$32</f>
        <v>6.2621922123417031</v>
      </c>
      <c r="Q45" s="5">
        <f>Table4131626[[#This Row],[10 - Post 10min]]/$M$26</f>
        <v>3.2113771317764175</v>
      </c>
      <c r="R45" s="5">
        <f>Table4131626[[#This Row],[10 - Post 10min]]/$Q$32</f>
        <v>9.3051993029581919</v>
      </c>
      <c r="S45" s="5">
        <f>Table4131626[[#This Row],[10 - Post 15min]]/$M$26</f>
        <v>2.9324561467041197</v>
      </c>
      <c r="T45" s="5">
        <f>Table4131626[[#This Row],[10 - Post 15min]]/$S$32</f>
        <v>7.2300065299300389</v>
      </c>
      <c r="U45" s="5">
        <f>Table4131626[[#This Row],[10 - Post 20min]]/$M$26</f>
        <v>2.7076935074691191</v>
      </c>
      <c r="V45" s="5">
        <f>Table4131626[[#This Row],[10 - Post 20min]]/$U$32</f>
        <v>5.3182411515903629</v>
      </c>
      <c r="X45" s="6" t="e">
        <f>1*$Y$27/(Table28[[#This Row],[S10 pre]]*$Y$26)</f>
        <v>#DIV/0!</v>
      </c>
      <c r="Y45" s="6">
        <f>1*$Y$27/(Table28[[#This Row],[S10 5 min]]*$Y$26)</f>
        <v>0.79455629423137331</v>
      </c>
      <c r="Z45" s="6">
        <f>1*$Y$27/(Table28[[#This Row],[S 10]]*$Y$26)</f>
        <v>0.53471871756911094</v>
      </c>
      <c r="AA45" s="6">
        <f>1*$Y$27/(Table28[[#This Row],[S 15]]*$Y$26)</f>
        <v>0.68819636848252419</v>
      </c>
      <c r="AB45" s="6">
        <f>1*$Y$27/(Table28[[#This Row],[S 20]]*$Y$26)</f>
        <v>0.93558454687878712</v>
      </c>
      <c r="AC45" s="6" t="e">
        <f>-$Y$29/LN((Table131727[[#This Row],[G Pre]]-1)/(Table131727[[#This Row],[G Pre]]*$Z$26-$Z$27))</f>
        <v>#DIV/0!</v>
      </c>
      <c r="AD45" s="6">
        <f>-$Y$29/LN((Table131727[[#This Row],[G 5min]]-1)/(Table131727[[#This Row],[G 5min]]*$Z$26-$Z$27))</f>
        <v>-2.1808046855953802</v>
      </c>
      <c r="AE45" s="6">
        <f>-$Y$29/LN((Table131727[[#This Row],[G 10min]]-1)/(Table131727[[#This Row],[G 10min]]*$Z$26-$Z$27))</f>
        <v>-4.9887202326016462</v>
      </c>
      <c r="AF45" s="6">
        <f>-$Y$29/LN((Table131727[[#This Row],[G 15min]]-1)/(Table131727[[#This Row],[G 15min]]*$Z$26-$Z$27))</f>
        <v>-3.3375644410944281</v>
      </c>
      <c r="AG45" s="6">
        <f>-$Y$29/LN((Table131727[[#This Row],[G 20min]]-1)/(Table131727[[#This Row],[G 20min]]*$Z$26-$Z$27))</f>
        <v>-0.62918398378085472</v>
      </c>
    </row>
    <row r="46" spans="1:33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L46" s="5"/>
      <c r="M46" s="5">
        <f>Table4131626[[#This Row],[10 - pre]]/$M$25</f>
        <v>0.6989058913455074</v>
      </c>
      <c r="N46" s="5">
        <f>Table4131626[[#This Row],[10 - pre]]/$M$32</f>
        <v>4.0585877336078306</v>
      </c>
      <c r="O46" s="5">
        <f>Table4131626[[#This Row],[10 - Post 5min]]/$M$26</f>
        <v>1.5437882336908255</v>
      </c>
      <c r="P46" s="5">
        <f>Table4131626[[#This Row],[10 - Post 5min]]/$O$32</f>
        <v>4.1386028969733042</v>
      </c>
      <c r="Q46" s="5">
        <f>Table4131626[[#This Row],[10 - Post 10min]]/$M$26</f>
        <v>1.5734022930370055</v>
      </c>
      <c r="R46" s="5">
        <f>Table4131626[[#This Row],[10 - Post 10min]]/$Q$32</f>
        <v>4.5590478226834703</v>
      </c>
      <c r="S46" s="5">
        <f>Table4131626[[#This Row],[10 - Post 15min]]/$M$26</f>
        <v>1.6412686020274672</v>
      </c>
      <c r="T46" s="5">
        <f>Table4131626[[#This Row],[10 - Post 15min]]/$S$32</f>
        <v>4.0465678313262199</v>
      </c>
      <c r="U46" s="5">
        <f>Table4131626[[#This Row],[10 - Post 20min]]/$M$26</f>
        <v>1.6634564126219555</v>
      </c>
      <c r="V46" s="5">
        <f>Table4131626[[#This Row],[10 - Post 20min]]/$U$32</f>
        <v>3.267231805623354</v>
      </c>
      <c r="X46" s="6">
        <f>1*$Y$27/(Table28[[#This Row],[S10 pre]]*$Y$26)</f>
        <v>1.2259595121724114</v>
      </c>
      <c r="Y46" s="6">
        <f>1*$Y$27/(Table28[[#This Row],[S10 5 min]]*$Y$26)</f>
        <v>1.2022569842691733</v>
      </c>
      <c r="Z46" s="6">
        <f>1*$Y$27/(Table28[[#This Row],[S 10]]*$Y$26)</f>
        <v>1.091382330592465</v>
      </c>
      <c r="AA46" s="6">
        <f>1*$Y$27/(Table28[[#This Row],[S 15]]*$Y$26)</f>
        <v>1.2296010953984349</v>
      </c>
      <c r="AB46" s="6">
        <f>1*$Y$27/(Table28[[#This Row],[S 20]]*$Y$26)</f>
        <v>1.5228990576790384</v>
      </c>
      <c r="AC46" s="6">
        <f>-$Y$29/LN((Table131727[[#This Row],[G Pre]]-1)/(Table131727[[#This Row],[G Pre]]*$Z$26-$Z$27))</f>
        <v>2.6142141854549124</v>
      </c>
      <c r="AD46" s="6">
        <f>-$Y$29/LN((Table131727[[#This Row],[G 5min]]-1)/(Table131727[[#This Row],[G 5min]]*$Z$26-$Z$27))</f>
        <v>2.346038711726083</v>
      </c>
      <c r="AE46" s="6">
        <f>-$Y$29/LN((Table131727[[#This Row],[G 10min]]-1)/(Table131727[[#This Row],[G 10min]]*$Z$26-$Z$27))</f>
        <v>1.0980441377166734</v>
      </c>
      <c r="AF46" s="6">
        <f>-$Y$29/LN((Table131727[[#This Row],[G 15min]]-1)/(Table131727[[#This Row],[G 15min]]*$Z$26-$Z$27))</f>
        <v>2.6554616413862129</v>
      </c>
      <c r="AG46" s="6">
        <f>-$Y$29/LN((Table131727[[#This Row],[G 20min]]-1)/(Table131727[[#This Row],[G 20min]]*$Z$26-$Z$27))</f>
        <v>6.019114807555983</v>
      </c>
    </row>
    <row r="47" spans="1:33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L47" s="5"/>
      <c r="M47" s="5">
        <f>Table4131626[[#This Row],[10 - pre]]/$M$25</f>
        <v>0.67267418180721517</v>
      </c>
      <c r="N47" s="5">
        <f>Table4131626[[#This Row],[10 - pre]]/$M$32</f>
        <v>3.9062586491316407</v>
      </c>
      <c r="O47" s="5">
        <f>Table4131626[[#This Row],[10 - Post 5min]]/$M$26</f>
        <v>1.235364638076712</v>
      </c>
      <c r="P47" s="5">
        <f>Table4131626[[#This Row],[10 - Post 5min]]/$O$32</f>
        <v>3.3117778451643356</v>
      </c>
      <c r="Q47" s="5">
        <f>Table4131626[[#This Row],[10 - Post 10min]]/$M$26</f>
        <v>1.294871683514967</v>
      </c>
      <c r="R47" s="5">
        <f>Table4131626[[#This Row],[10 - Post 10min]]/$Q$32</f>
        <v>3.7519850806805359</v>
      </c>
      <c r="S47" s="5">
        <f>Table4131626[[#This Row],[10 - Post 15min]]/$M$26</f>
        <v>1.9330016212722545</v>
      </c>
      <c r="T47" s="5">
        <f>Table4131626[[#This Row],[10 - Post 15min]]/$S$32</f>
        <v>4.7658391617795841</v>
      </c>
      <c r="U47" s="5">
        <f>Table4131626[[#This Row],[10 - Post 20min]]/$M$26</f>
        <v>2.0881168602073417</v>
      </c>
      <c r="V47" s="5">
        <f>Table4131626[[#This Row],[10 - Post 20min]]/$U$32</f>
        <v>4.1013168531265158</v>
      </c>
      <c r="X47" s="6">
        <f>1*$Y$27/(Table28[[#This Row],[S10 pre]]*$Y$26)</f>
        <v>1.2737672245817304</v>
      </c>
      <c r="Y47" s="6">
        <f>1*$Y$27/(Table28[[#This Row],[S10 5 min]]*$Y$26)</f>
        <v>1.5024148571040061</v>
      </c>
      <c r="Z47" s="6">
        <f>1*$Y$27/(Table28[[#This Row],[S 10]]*$Y$26)</f>
        <v>1.326141797211065</v>
      </c>
      <c r="AA47" s="6">
        <f>1*$Y$27/(Table28[[#This Row],[S 15]]*$Y$26)</f>
        <v>1.0440268899349208</v>
      </c>
      <c r="AB47" s="6">
        <f>1*$Y$27/(Table28[[#This Row],[S 20]]*$Y$26)</f>
        <v>1.2131869875427306</v>
      </c>
      <c r="AC47" s="6">
        <f>-$Y$29/LN((Table131727[[#This Row],[G Pre]]-1)/(Table131727[[#This Row],[G Pre]]*$Z$26-$Z$27))</f>
        <v>3.1567056689488244</v>
      </c>
      <c r="AD47" s="6">
        <f>-$Y$29/LN((Table131727[[#This Row],[G 5min]]-1)/(Table131727[[#This Row],[G 5min]]*$Z$26-$Z$27))</f>
        <v>5.7814771644691323</v>
      </c>
      <c r="AE47" s="6">
        <f>-$Y$29/LN((Table131727[[#This Row],[G 10min]]-1)/(Table131727[[#This Row],[G 10min]]*$Z$26-$Z$27))</f>
        <v>3.7534924490373807</v>
      </c>
      <c r="AF47" s="6">
        <f>-$Y$29/LN((Table131727[[#This Row],[G 15min]]-1)/(Table131727[[#This Row],[G 15min]]*$Z$26-$Z$27))</f>
        <v>0.56713469728227961</v>
      </c>
      <c r="AG47" s="6">
        <f>-$Y$29/LN((Table131727[[#This Row],[G 20min]]-1)/(Table131727[[#This Row],[G 20min]]*$Z$26-$Z$27))</f>
        <v>2.4696391151475052</v>
      </c>
    </row>
    <row r="48" spans="1:33">
      <c r="A48" s="2" t="s">
        <v>18</v>
      </c>
      <c r="B48" s="5">
        <f t="shared" si="2"/>
        <v>1</v>
      </c>
      <c r="C48" s="5">
        <f t="shared" si="3"/>
        <v>11.788352128817154</v>
      </c>
      <c r="D48" s="5">
        <f t="shared" si="4"/>
        <v>1</v>
      </c>
      <c r="E48" s="5">
        <f t="shared" si="5"/>
        <v>16.313593111500293</v>
      </c>
      <c r="F48" s="5">
        <f t="shared" si="6"/>
        <v>1</v>
      </c>
      <c r="G48" s="5">
        <f t="shared" si="7"/>
        <v>17.95315343258892</v>
      </c>
      <c r="H48" s="5">
        <f t="shared" si="8"/>
        <v>1</v>
      </c>
      <c r="I48" s="5">
        <f t="shared" si="9"/>
        <v>13.069430443548386</v>
      </c>
      <c r="J48" s="5">
        <f t="shared" si="10"/>
        <v>1</v>
      </c>
      <c r="K48" s="5">
        <f t="shared" si="11"/>
        <v>14.678360440578317</v>
      </c>
      <c r="L48" s="5"/>
      <c r="M48" s="5">
        <f>Table4131626[[#This Row],[10 - pre]]/$M$25</f>
        <v>2.5012416993034488</v>
      </c>
      <c r="N48" s="5">
        <f>Table4131626[[#This Row],[10 - pre]]/$M$32</f>
        <v>14.524858075009325</v>
      </c>
      <c r="O48" s="5">
        <f>Table4131626[[#This Row],[10 - Post 5min]]/$M$26</f>
        <v>3.3456917784044897</v>
      </c>
      <c r="P48" s="5">
        <f>Table4131626[[#This Row],[10 - Post 5min]]/$O$32</f>
        <v>8.9691638945718406</v>
      </c>
      <c r="Q48" s="5">
        <f>Table4131626[[#This Row],[10 - Post 10min]]/$M$26</f>
        <v>3.6819428696859964</v>
      </c>
      <c r="R48" s="5">
        <f>Table4131626[[#This Row],[10 - Post 10min]]/$Q$32</f>
        <v>10.668697826088696</v>
      </c>
      <c r="S48" s="5">
        <f>Table4131626[[#This Row],[10 - Post 15min]]/$M$26</f>
        <v>2.6803589917039345</v>
      </c>
      <c r="T48" s="5">
        <f>Table4131626[[#This Row],[10 - Post 15min]]/$S$32</f>
        <v>6.6084579080088979</v>
      </c>
      <c r="U48" s="5">
        <f>Table4131626[[#This Row],[10 - Post 20min]]/$M$26</f>
        <v>3.0103282281743877</v>
      </c>
      <c r="V48" s="5">
        <f>Table4131626[[#This Row],[10 - Post 20min]]/$U$32</f>
        <v>5.9126527499175321</v>
      </c>
      <c r="X48" s="6">
        <f>1*$Y$27/(Table28[[#This Row],[S10 pre]]*$Y$26)</f>
        <v>0.34256198665125986</v>
      </c>
      <c r="Y48" s="6">
        <f>1*$Y$27/(Table28[[#This Row],[S10 5 min]]*$Y$26)</f>
        <v>0.55475229313337371</v>
      </c>
      <c r="Z48" s="6">
        <f>1*$Y$27/(Table28[[#This Row],[S 10]]*$Y$26)</f>
        <v>0.46637971372996906</v>
      </c>
      <c r="AA48" s="6">
        <f>1*$Y$27/(Table28[[#This Row],[S 15]]*$Y$26)</f>
        <v>0.75292364834051528</v>
      </c>
      <c r="AB48" s="6">
        <f>1*$Y$27/(Table28[[#This Row],[S 20]]*$Y$26)</f>
        <v>0.84152823587892722</v>
      </c>
      <c r="AC48" s="6">
        <f>-$Y$29/LN((Table131727[[#This Row],[G Pre]]-1)/(Table131727[[#This Row],[G Pre]]*$Z$26-$Z$27))</f>
        <v>-7.0268062618293197</v>
      </c>
      <c r="AD48" s="6">
        <f>-$Y$29/LN((Table131727[[#This Row],[G 5min]]-1)/(Table131727[[#This Row],[G 5min]]*$Z$26-$Z$27))</f>
        <v>-4.7743813326513838</v>
      </c>
      <c r="AE48" s="6">
        <f>-$Y$29/LN((Table131727[[#This Row],[G 10min]]-1)/(Table131727[[#This Row],[G 10min]]*$Z$26-$Z$27))</f>
        <v>-5.7172268398510697</v>
      </c>
      <c r="AF48" s="6">
        <f>-$Y$29/LN((Table131727[[#This Row],[G 15min]]-1)/(Table131727[[#This Row],[G 15min]]*$Z$26-$Z$27))</f>
        <v>-2.6348452640096425</v>
      </c>
      <c r="AG48" s="6">
        <f>-$Y$29/LN((Table131727[[#This Row],[G 20min]]-1)/(Table131727[[#This Row],[G 20min]]*$Z$26-$Z$27))</f>
        <v>-1.6665371262186288</v>
      </c>
    </row>
    <row r="49" spans="1:33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L49" s="5"/>
      <c r="M49" s="5">
        <f>Table4131626[[#This Row],[10 - pre]]/$M$25</f>
        <v>0.76844105318327793</v>
      </c>
      <c r="N49" s="5">
        <f>Table4131626[[#This Row],[10 - pre]]/$M$32</f>
        <v>4.4623825196925528</v>
      </c>
      <c r="O49" s="5">
        <f>Table4131626[[#This Row],[10 - Post 5min]]/$M$26</f>
        <v>1.2913040658698385</v>
      </c>
      <c r="P49" s="5">
        <f>Table4131626[[#This Row],[10 - Post 5min]]/$O$32</f>
        <v>3.461740821217195</v>
      </c>
      <c r="Q49" s="5">
        <f>Table4131626[[#This Row],[10 - Post 10min]]/$M$26</f>
        <v>1.5397626794067494</v>
      </c>
      <c r="R49" s="5">
        <f>Table4131626[[#This Row],[10 - Post 10min]]/$Q$32</f>
        <v>4.4615745903412787</v>
      </c>
      <c r="S49" s="5">
        <f>Table4131626[[#This Row],[10 - Post 15min]]/$M$26</f>
        <v>1.6027530453689129</v>
      </c>
      <c r="T49" s="5">
        <f>Table4131626[[#This Row],[10 - Post 15min]]/$S$32</f>
        <v>3.951607254862624</v>
      </c>
      <c r="U49" s="5">
        <f>Table4131626[[#This Row],[10 - Post 20min]]/$M$26</f>
        <v>1.5887250977951117</v>
      </c>
      <c r="V49" s="5">
        <f>Table4131626[[#This Row],[10 - Post 20min]]/$U$32</f>
        <v>3.120450364988272</v>
      </c>
      <c r="X49" s="6">
        <f>1*$Y$27/(Table28[[#This Row],[S10 pre]]*$Y$26)</f>
        <v>1.1150241414861046</v>
      </c>
      <c r="Y49" s="6">
        <f>1*$Y$27/(Table28[[#This Row],[S10 5 min]]*$Y$26)</f>
        <v>1.4373300876560939</v>
      </c>
      <c r="Z49" s="6">
        <f>1*$Y$27/(Table28[[#This Row],[S 10]]*$Y$26)</f>
        <v>1.1152260569114876</v>
      </c>
      <c r="AA49" s="6">
        <f>1*$Y$27/(Table28[[#This Row],[S 15]]*$Y$26)</f>
        <v>1.2591494845243079</v>
      </c>
      <c r="AB49" s="6">
        <f>1*$Y$27/(Table28[[#This Row],[S 20]]*$Y$26)</f>
        <v>1.5945340114459694</v>
      </c>
      <c r="AC49" s="6">
        <f>-$Y$29/LN((Table131727[[#This Row],[G Pre]]-1)/(Table131727[[#This Row],[G Pre]]*$Z$26-$Z$27))</f>
        <v>1.3633420218839076</v>
      </c>
      <c r="AD49" s="6">
        <f>-$Y$29/LN((Table131727[[#This Row],[G 5min]]-1)/(Table131727[[#This Row],[G 5min]]*$Z$26-$Z$27))</f>
        <v>5.0291671753464193</v>
      </c>
      <c r="AE49" s="6">
        <f>-$Y$29/LN((Table131727[[#This Row],[G 10min]]-1)/(Table131727[[#This Row],[G 10min]]*$Z$26-$Z$27))</f>
        <v>1.3656094457505408</v>
      </c>
      <c r="AF49" s="6">
        <f>-$Y$29/LN((Table131727[[#This Row],[G 15min]]-1)/(Table131727[[#This Row],[G 15min]]*$Z$26-$Z$27))</f>
        <v>2.990605913055572</v>
      </c>
      <c r="AG49" s="6">
        <f>-$Y$29/LN((Table131727[[#This Row],[G 20min]]-1)/(Table131727[[#This Row],[G 20min]]*$Z$26-$Z$27))</f>
        <v>6.8534245434591003</v>
      </c>
    </row>
    <row r="50" spans="1:33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L50" s="5"/>
      <c r="M50" s="5">
        <f>Table4131626[[#This Row],[10 - pre]]/$M$25</f>
        <v>0.91572882041581627</v>
      </c>
      <c r="N50" s="5">
        <f>Table4131626[[#This Row],[10 - pre]]/$M$32</f>
        <v>5.3176912712751738</v>
      </c>
      <c r="O50" s="5">
        <f>Table4131626[[#This Row],[10 - Post 5min]]/$M$26</f>
        <v>0.75842482147942003</v>
      </c>
      <c r="P50" s="5">
        <f>Table4131626[[#This Row],[10 - Post 5min]]/$O$32</f>
        <v>2.0331928271062338</v>
      </c>
      <c r="Q50" s="5">
        <f>Table4131626[[#This Row],[10 - Post 10min]]/$M$26</f>
        <v>1.6029089986258933</v>
      </c>
      <c r="R50" s="5">
        <f>Table4131626[[#This Row],[10 - Post 10min]]/$Q$32</f>
        <v>4.6445456527456876</v>
      </c>
      <c r="S50" s="5">
        <f>Table4131626[[#This Row],[10 - Post 15min]]/$M$26</f>
        <v>1.6298785500281527</v>
      </c>
      <c r="T50" s="5">
        <f>Table4131626[[#This Row],[10 - Post 15min]]/$S$32</f>
        <v>4.0184855186806097</v>
      </c>
      <c r="U50" s="5">
        <f>Table4131626[[#This Row],[10 - Post 20min]]/$M$26</f>
        <v>1.8436663239748374</v>
      </c>
      <c r="V50" s="5">
        <f>Table4131626[[#This Row],[10 - Post 20min]]/$U$32</f>
        <v>3.6211861079982799</v>
      </c>
      <c r="X50" s="6">
        <f>1*$Y$27/(Table28[[#This Row],[S10 pre]]*$Y$26)</f>
        <v>0.9356812917816556</v>
      </c>
      <c r="Y50" s="6">
        <f>1*$Y$27/(Table28[[#This Row],[S10 5 min]]*$Y$26)</f>
        <v>2.447217092086865</v>
      </c>
      <c r="Z50" s="6">
        <f>1*$Y$27/(Table28[[#This Row],[S 10]]*$Y$26)</f>
        <v>1.0712919217537147</v>
      </c>
      <c r="AA50" s="6">
        <f>1*$Y$27/(Table28[[#This Row],[S 15]]*$Y$26)</f>
        <v>1.2381938954047669</v>
      </c>
      <c r="AB50" s="6">
        <f>1*$Y$27/(Table28[[#This Row],[S 20]]*$Y$26)</f>
        <v>1.3740426726515964</v>
      </c>
      <c r="AC50" s="6">
        <f>-$Y$29/LN((Table131727[[#This Row],[G Pre]]-1)/(Table131727[[#This Row],[G Pre]]*$Z$26-$Z$27))</f>
        <v>-0.62810909443934482</v>
      </c>
      <c r="AD50" s="6">
        <f>-$Y$29/LN((Table131727[[#This Row],[G 5min]]-1)/(Table131727[[#This Row],[G 5min]]*$Z$26-$Z$27))</f>
        <v>17.192116717298813</v>
      </c>
      <c r="AE50" s="6">
        <f>-$Y$29/LN((Table131727[[#This Row],[G 10min]]-1)/(Table131727[[#This Row],[G 10min]]*$Z$26-$Z$27))</f>
        <v>0.87282683085194557</v>
      </c>
      <c r="AF50" s="6">
        <f>-$Y$29/LN((Table131727[[#This Row],[G 15min]]-1)/(Table131727[[#This Row],[G 15min]]*$Z$26-$Z$27))</f>
        <v>2.7528391963895058</v>
      </c>
      <c r="AG50" s="6">
        <f>-$Y$29/LN((Table131727[[#This Row],[G 20min]]-1)/(Table131727[[#This Row],[G 20min]]*$Z$26-$Z$27))</f>
        <v>4.3015989214719417</v>
      </c>
    </row>
    <row r="51" spans="1:33">
      <c r="A51" s="2" t="s">
        <v>21</v>
      </c>
      <c r="B51" s="5">
        <f t="shared" si="2"/>
        <v>1</v>
      </c>
      <c r="C51" s="5">
        <f t="shared" si="3"/>
        <v>6.0469659321170521</v>
      </c>
      <c r="D51" s="5">
        <f t="shared" si="4"/>
        <v>1</v>
      </c>
      <c r="E51" s="5">
        <f t="shared" si="5"/>
        <v>5.9462152973942697</v>
      </c>
      <c r="F51" s="5">
        <f t="shared" si="6"/>
        <v>1</v>
      </c>
      <c r="G51" s="5">
        <f t="shared" si="7"/>
        <v>4.8201031751550127</v>
      </c>
      <c r="H51" s="5">
        <f t="shared" si="8"/>
        <v>1</v>
      </c>
      <c r="I51" s="5">
        <f t="shared" si="9"/>
        <v>8.108855567964838</v>
      </c>
      <c r="J51" s="5">
        <f t="shared" si="10"/>
        <v>1</v>
      </c>
      <c r="K51" s="5">
        <f t="shared" si="11"/>
        <v>8.1706941669294011</v>
      </c>
      <c r="L51" s="5"/>
      <c r="M51" s="5">
        <f>Table4131626[[#This Row],[10 - pre]]/$M$25</f>
        <v>1.2830396630844583</v>
      </c>
      <c r="N51" s="5">
        <f>Table4131626[[#This Row],[10 - pre]]/$M$32</f>
        <v>7.4506869992209559</v>
      </c>
      <c r="O51" s="5">
        <f>Table4131626[[#This Row],[10 - Post 5min]]/$M$26</f>
        <v>1.2194863202203177</v>
      </c>
      <c r="P51" s="5">
        <f>Table4131626[[#This Row],[10 - Post 5min]]/$O$32</f>
        <v>3.2692110922603903</v>
      </c>
      <c r="Q51" s="5">
        <f>Table4131626[[#This Row],[10 - Post 10min]]/$M$26</f>
        <v>0.9885363361679681</v>
      </c>
      <c r="R51" s="5">
        <f>Table4131626[[#This Row],[10 - Post 10min]]/$Q$32</f>
        <v>2.8643560842605642</v>
      </c>
      <c r="S51" s="5">
        <f>Table4131626[[#This Row],[10 - Post 15min]]/$M$26</f>
        <v>1.6630138572528379</v>
      </c>
      <c r="T51" s="5">
        <f>Table4131626[[#This Row],[10 - Post 15min]]/$S$32</f>
        <v>4.1001810242979637</v>
      </c>
      <c r="U51" s="5">
        <f>Table4131626[[#This Row],[10 - Post 20min]]/$M$26</f>
        <v>1.6756960965810912</v>
      </c>
      <c r="V51" s="5">
        <f>Table4131626[[#This Row],[10 - Post 20min]]/$U$32</f>
        <v>3.2912720416154913</v>
      </c>
      <c r="X51" s="6">
        <f>1*$Y$27/(Table28[[#This Row],[S10 pre]]*$Y$26)</f>
        <v>0.6678128122310123</v>
      </c>
      <c r="Y51" s="6">
        <f>1*$Y$27/(Table28[[#This Row],[S10 5 min]]*$Y$26)</f>
        <v>1.5219770450988306</v>
      </c>
      <c r="Z51" s="6">
        <f>1*$Y$27/(Table28[[#This Row],[S 10]]*$Y$26)</f>
        <v>1.7370969570940273</v>
      </c>
      <c r="AA51" s="6">
        <f>1*$Y$27/(Table28[[#This Row],[S 15]]*$Y$26)</f>
        <v>1.2135230636200327</v>
      </c>
      <c r="AB51" s="6">
        <f>1*$Y$27/(Table28[[#This Row],[S 20]]*$Y$26)</f>
        <v>1.5117754397356133</v>
      </c>
      <c r="AC51" s="6">
        <f>-$Y$29/LN((Table131727[[#This Row],[G Pre]]-1)/(Table131727[[#This Row],[G Pre]]*$Z$26-$Z$27))</f>
        <v>-3.5580706336806132</v>
      </c>
      <c r="AD51" s="6">
        <f>-$Y$29/LN((Table131727[[#This Row],[G 5min]]-1)/(Table131727[[#This Row],[G 5min]]*$Z$26-$Z$27))</f>
        <v>6.0084096101208972</v>
      </c>
      <c r="AE51" s="6">
        <f>-$Y$29/LN((Table131727[[#This Row],[G 10min]]-1)/(Table131727[[#This Row],[G 10min]]*$Z$26-$Z$27))</f>
        <v>8.529112552832304</v>
      </c>
      <c r="AF51" s="6">
        <f>-$Y$29/LN((Table131727[[#This Row],[G 15min]]-1)/(Table131727[[#This Row],[G 15min]]*$Z$26-$Z$27))</f>
        <v>2.47344131488709</v>
      </c>
      <c r="AG51" s="6">
        <f>-$Y$29/LN((Table131727[[#This Row],[G 20min]]-1)/(Table131727[[#This Row],[G 20min]]*$Z$26-$Z$27))</f>
        <v>5.8900180695355386</v>
      </c>
    </row>
    <row r="52" spans="1:33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L52" s="5"/>
      <c r="M52" s="5">
        <f>Table4131626[[#This Row],[10 - pre]]/$M$25</f>
        <v>0.78899572182901623</v>
      </c>
      <c r="N52" s="5">
        <f>Table4131626[[#This Row],[10 - pre]]/$M$32</f>
        <v>4.5817446928649144</v>
      </c>
      <c r="O52" s="5">
        <f>Table4131626[[#This Row],[10 - Post 5min]]/$M$26</f>
        <v>1.6429501468308274</v>
      </c>
      <c r="P52" s="5">
        <f>Table4131626[[#This Row],[10 - Post 5min]]/$O$32</f>
        <v>4.404437142910961</v>
      </c>
      <c r="Q52" s="5">
        <f>Table4131626[[#This Row],[10 - Post 10min]]/$M$26</f>
        <v>1.7316766547566114</v>
      </c>
      <c r="R52" s="5">
        <f>Table4131626[[#This Row],[10 - Post 10min]]/$Q$32</f>
        <v>5.0176593217118457</v>
      </c>
      <c r="S52" s="5">
        <f>Table4131626[[#This Row],[10 - Post 15min]]/$M$26</f>
        <v>2.3979704364960215</v>
      </c>
      <c r="T52" s="5">
        <f>Table4131626[[#This Row],[10 - Post 15min]]/$S$32</f>
        <v>5.9122254680368895</v>
      </c>
      <c r="U52" s="5">
        <f>Table4131626[[#This Row],[10 - Post 20min]]/$M$26</f>
        <v>2.1461673782247561</v>
      </c>
      <c r="V52" s="5">
        <f>Table4131626[[#This Row],[10 - Post 20min]]/$U$32</f>
        <v>4.2153351690621035</v>
      </c>
      <c r="X52" s="6">
        <f>1*$Y$27/(Table28[[#This Row],[S10 pre]]*$Y$26)</f>
        <v>1.0859758828883068</v>
      </c>
      <c r="Y52" s="6">
        <f>1*$Y$27/(Table28[[#This Row],[S10 5 min]]*$Y$26)</f>
        <v>1.129693551424892</v>
      </c>
      <c r="Z52" s="6">
        <f>1*$Y$27/(Table28[[#This Row],[S 10]]*$Y$26)</f>
        <v>0.99163054304477383</v>
      </c>
      <c r="AA52" s="6">
        <f>1*$Y$27/(Table28[[#This Row],[S 15]]*$Y$26)</f>
        <v>0.84158905388547722</v>
      </c>
      <c r="AB52" s="6">
        <f>1*$Y$27/(Table28[[#This Row],[S 20]]*$Y$26)</f>
        <v>1.1803721503620923</v>
      </c>
      <c r="AC52" s="6">
        <f>-$Y$29/LN((Table131727[[#This Row],[G Pre]]-1)/(Table131727[[#This Row],[G Pre]]*$Z$26-$Z$27))</f>
        <v>1.0374214598363083</v>
      </c>
      <c r="AD52" s="6">
        <f>-$Y$29/LN((Table131727[[#This Row],[G 5min]]-1)/(Table131727[[#This Row],[G 5min]]*$Z$26-$Z$27))</f>
        <v>1.5281527285626186</v>
      </c>
      <c r="AE52" s="6" t="e">
        <f>-$Y$29/LN((Table131727[[#This Row],[G 10min]]-1)/(Table131727[[#This Row],[G 10min]]*$Z$26-$Z$27))</f>
        <v>#NUM!</v>
      </c>
      <c r="AF52" s="6">
        <f>-$Y$29/LN((Table131727[[#This Row],[G 15min]]-1)/(Table131727[[#This Row],[G 15min]]*$Z$26-$Z$27))</f>
        <v>-1.6658698427199303</v>
      </c>
      <c r="AG52" s="6">
        <f>-$Y$29/LN((Table131727[[#This Row],[G 20min]]-1)/(Table131727[[#This Row],[G 20min]]*$Z$26-$Z$27))</f>
        <v>2.0988824839241067</v>
      </c>
    </row>
  </sheetData>
  <conditionalFormatting sqref="AC2:AG23">
    <cfRule type="cellIs" dxfId="203" priority="6" operator="lessThan">
      <formula>0</formula>
    </cfRule>
  </conditionalFormatting>
  <conditionalFormatting sqref="AC31:AG52">
    <cfRule type="cellIs" dxfId="202" priority="5" operator="lessThan">
      <formula>0</formula>
    </cfRule>
  </conditionalFormatting>
  <conditionalFormatting sqref="E31:E52">
    <cfRule type="cellIs" dxfId="201" priority="4" operator="lessThan">
      <formula>$C31</formula>
    </cfRule>
  </conditionalFormatting>
  <conditionalFormatting sqref="G31:G52">
    <cfRule type="cellIs" dxfId="200" priority="3" operator="greaterThan">
      <formula>$E31</formula>
    </cfRule>
  </conditionalFormatting>
  <conditionalFormatting sqref="I31:I52">
    <cfRule type="cellIs" dxfId="199" priority="2" operator="greaterThan">
      <formula>$E31</formula>
    </cfRule>
  </conditionalFormatting>
  <conditionalFormatting sqref="K31:K52">
    <cfRule type="cellIs" dxfId="198" priority="1" operator="greaterThan">
      <formula>$E31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BE52"/>
  <sheetViews>
    <sheetView topLeftCell="T1" zoomScaleNormal="100" workbookViewId="0">
      <selection activeCell="T6" sqref="A6:XFD6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2" max="22" width="14.42578125" customWidth="1"/>
    <col min="24" max="24" width="8.42578125" bestFit="1" customWidth="1"/>
    <col min="25" max="25" width="8.7109375" customWidth="1"/>
    <col min="26" max="26" width="9.140625" customWidth="1"/>
    <col min="27" max="27" width="8.140625" customWidth="1"/>
    <col min="28" max="28" width="9.5703125" customWidth="1"/>
    <col min="29" max="29" width="7.7109375" bestFit="1" customWidth="1"/>
    <col min="30" max="30" width="9" customWidth="1"/>
    <col min="31" max="31" width="9.140625" customWidth="1"/>
    <col min="32" max="32" width="9.7109375" customWidth="1"/>
    <col min="33" max="33" width="8.5703125" customWidth="1"/>
    <col min="35" max="43" width="11" customWidth="1"/>
    <col min="44" max="57" width="12" customWidth="1"/>
  </cols>
  <sheetData>
    <row r="1" spans="1:57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I1" t="s">
        <v>38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</row>
    <row r="2" spans="1:57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6" t="e">
        <f>Table4131230[[#This Row],[2 - Pre]]*$Y$27/(Table4131230[[#This Row],[10 - pre]]*$Y$26)</f>
        <v>#DIV/0!</v>
      </c>
      <c r="Y2" s="6" t="e">
        <f>Table4131230[[#This Row],[2 - Post 5min]]*$Y$27/(Table4131230[[#This Row],[10 - Post 5min]]*$Y$26)</f>
        <v>#DIV/0!</v>
      </c>
      <c r="Z2" s="6" t="e">
        <f>Table4131230[[#This Row],[2 - Post 10min]]*$Y$27/(Table4131230[[#This Row],[10 - Post 10min]]*$Y$26)</f>
        <v>#DIV/0!</v>
      </c>
      <c r="AA2" s="6" t="e">
        <f>Table4131230[[#This Row],[2 - Post 15min]]*$Y$27/(Table4131230[[#This Row],[10 - Post 15min]]*$Y$26)</f>
        <v>#DIV/0!</v>
      </c>
      <c r="AB2" s="6" t="e">
        <f>Table4131230[[#This Row],[2 - Post 20min]]*$Y$27/(Table4131230[[#This Row],[10 - Post 20min]]*$Y$26)</f>
        <v>#DIV/0!</v>
      </c>
      <c r="AC2" s="6" t="e">
        <f>-$Y$29/LN((Table131531[[#This Row],[G Pre]]-1)/(Table131531[[#This Row],[G Pre]]*$Z$26-$Z$27))</f>
        <v>#DIV/0!</v>
      </c>
      <c r="AD2" s="6" t="e">
        <f>-$Y$29/LN((Table131531[[#This Row],[G 5min]]-1)/(Table131531[[#This Row],[G 5min]]*$Z$26-$Z$27))</f>
        <v>#DIV/0!</v>
      </c>
      <c r="AE2" s="6" t="e">
        <f>-$Y$29/LN((Table131531[[#This Row],[G 10min]]-1)/(Table131531[[#This Row],[G 10min]]*$Z$26-$Z$27))</f>
        <v>#DIV/0!</v>
      </c>
      <c r="AF2" s="6" t="e">
        <f>-$Y$29/LN((Table131531[[#This Row],[G 15min]]-1)/(Table131531[[#This Row],[G 15min]]*$Z$26-$Z$27))</f>
        <v>#DIV/0!</v>
      </c>
      <c r="AG2" s="6" t="e">
        <f>-$Y$29/LN((Table131531[[#This Row],[G 20min]]-1)/(Table131531[[#This Row],[G 20min]]*$Z$26-$Z$27))</f>
        <v>#DIV/0!</v>
      </c>
      <c r="AI2" t="s">
        <v>54</v>
      </c>
      <c r="AJ2">
        <v>-6.0973578078776187</v>
      </c>
      <c r="AK2">
        <v>3.4644722702092752</v>
      </c>
      <c r="AL2">
        <v>-0.13605787131971925</v>
      </c>
      <c r="AM2">
        <v>1.2779698364201741</v>
      </c>
      <c r="AN2">
        <v>0.52133078970952551</v>
      </c>
      <c r="AO2">
        <v>1.6211478483778388</v>
      </c>
      <c r="AP2">
        <v>10.05211151516966</v>
      </c>
      <c r="AQ2">
        <v>0.92680581004725049</v>
      </c>
      <c r="AR2">
        <v>2.6036530622777003</v>
      </c>
      <c r="AS2">
        <v>4.8092811493515999</v>
      </c>
      <c r="AT2">
        <v>-2.5222166532319452</v>
      </c>
      <c r="AU2">
        <v>2.7314522927350668</v>
      </c>
      <c r="AV2">
        <v>0.767828532523677</v>
      </c>
      <c r="AW2">
        <v>-0.17134143476079591</v>
      </c>
      <c r="AX2" t="e">
        <v>#DIV/0!</v>
      </c>
      <c r="AY2">
        <v>5.8757962590103148</v>
      </c>
      <c r="AZ2">
        <v>6.5607565654040521</v>
      </c>
      <c r="BA2">
        <v>-6.1872606335067966</v>
      </c>
      <c r="BB2">
        <v>4.2995258386704629</v>
      </c>
      <c r="BC2">
        <v>1.7890805986638842</v>
      </c>
      <c r="BD2">
        <v>-1.8714421488718875</v>
      </c>
      <c r="BE2">
        <v>3.8897800838098955</v>
      </c>
    </row>
    <row r="3" spans="1:57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6">
        <f>Table4131230[[#This Row],[2 - Pre]]*$Y$27/(Table4131230[[#This Row],[10 - pre]]*$Y$26)</f>
        <v>1.3008056773482592</v>
      </c>
      <c r="Y3" s="6">
        <f>Table4131230[[#This Row],[2 - Post 5min]]*$Y$27/(Table4131230[[#This Row],[10 - Post 5min]]*$Y$26)</f>
        <v>0.56103467402957685</v>
      </c>
      <c r="Z3" s="6">
        <f>Table4131230[[#This Row],[2 - Post 10min]]*$Y$27/(Table4131230[[#This Row],[10 - Post 10min]]*$Y$26)</f>
        <v>0.60639839238045834</v>
      </c>
      <c r="AA3" s="6">
        <f>Table4131230[[#This Row],[2 - Post 15min]]*$Y$27/(Table4131230[[#This Row],[10 - Post 15min]]*$Y$26)</f>
        <v>0.51597758507578595</v>
      </c>
      <c r="AB3" s="6">
        <f>Table4131230[[#This Row],[2 - Post 20min]]*$Y$27/(Table4131230[[#This Row],[10 - Post 20min]]*$Y$26)</f>
        <v>0.41104767381925511</v>
      </c>
      <c r="AC3" s="6">
        <f>-$Y$29/LN((Table131531[[#This Row],[G Pre]]-1)/(Table131531[[#This Row],[G Pre]]*$Z$26-$Z$27))</f>
        <v>3.4644722702092752</v>
      </c>
      <c r="AD3" s="6">
        <f>-$Y$29/LN((Table131531[[#This Row],[G 5min]]-1)/(Table131531[[#This Row],[G 5min]]*$Z$26-$Z$27))</f>
        <v>-4.7070933135798345</v>
      </c>
      <c r="AE3" s="6">
        <f>-$Y$29/LN((Table131531[[#This Row],[G 10min]]-1)/(Table131531[[#This Row],[G 10min]]*$Z$26-$Z$27))</f>
        <v>-4.2201835475697465</v>
      </c>
      <c r="AF3" s="6">
        <f>-$Y$29/LN((Table131531[[#This Row],[G 15min]]-1)/(Table131531[[#This Row],[G 15min]]*$Z$26-$Z$27))</f>
        <v>-5.1889115011302795</v>
      </c>
      <c r="AG3" s="6">
        <f>-$Y$29/LN((Table131531[[#This Row],[G 20min]]-1)/(Table131531[[#This Row],[G 20min]]*$Z$26-$Z$27))</f>
        <v>-6.3040933473347236</v>
      </c>
      <c r="AI3" t="s">
        <v>55</v>
      </c>
      <c r="AJ3">
        <v>-5.1958211275931987</v>
      </c>
      <c r="AK3">
        <v>-4.7070933135798345</v>
      </c>
      <c r="AL3">
        <v>3.4447154610100181</v>
      </c>
      <c r="AM3">
        <v>-5.9750612730185466</v>
      </c>
      <c r="AN3">
        <v>-2.1613583778036585</v>
      </c>
      <c r="AO3">
        <v>-3.7283393805079239</v>
      </c>
      <c r="AP3">
        <v>-1.8116836674520544</v>
      </c>
      <c r="AQ3">
        <v>-4.1121424643846982</v>
      </c>
      <c r="AR3">
        <v>7.9640417126435494</v>
      </c>
      <c r="AS3">
        <v>-3.6582083250239772</v>
      </c>
      <c r="AT3">
        <v>-2.7314893163376026</v>
      </c>
      <c r="AU3">
        <v>-2.3792037540345978</v>
      </c>
      <c r="AV3">
        <v>-4.605853961975293</v>
      </c>
      <c r="AW3">
        <v>-4.278215092246346</v>
      </c>
      <c r="AX3">
        <v>-6.0308145065839218</v>
      </c>
      <c r="AY3">
        <v>-3.631716809050217</v>
      </c>
      <c r="AZ3">
        <v>-1.8365340138800161</v>
      </c>
      <c r="BA3">
        <v>-7.421467716359734</v>
      </c>
      <c r="BB3">
        <v>-2.227956825430629</v>
      </c>
      <c r="BC3">
        <v>3.9744191108492002</v>
      </c>
      <c r="BD3">
        <v>-1.7186402773474219</v>
      </c>
      <c r="BE3">
        <v>-4.0619694719356172</v>
      </c>
    </row>
    <row r="4" spans="1:57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6">
        <f>Table4131230[[#This Row],[2 - Pre]]*$Y$27/(Table4131230[[#This Row],[10 - pre]]*$Y$26)</f>
        <v>0.97902842296696546</v>
      </c>
      <c r="Y4" s="6">
        <f>Table4131230[[#This Row],[2 - Post 5min]]*$Y$27/(Table4131230[[#This Row],[10 - Post 5min]]*$Y$26)</f>
        <v>1.2990717943440793</v>
      </c>
      <c r="Z4" s="6">
        <f>Table4131230[[#This Row],[2 - Post 10min]]*$Y$27/(Table4131230[[#This Row],[10 - Post 10min]]*$Y$26)</f>
        <v>0.39924877543847787</v>
      </c>
      <c r="AA4" s="6">
        <f>Table4131230[[#This Row],[2 - Post 15min]]*$Y$27/(Table4131230[[#This Row],[10 - Post 15min]]*$Y$26)</f>
        <v>0.3771897486051955</v>
      </c>
      <c r="AB4" s="6">
        <f>Table4131230[[#This Row],[2 - Post 20min]]*$Y$27/(Table4131230[[#This Row],[10 - Post 20min]]*$Y$26)</f>
        <v>0.44304003225359107</v>
      </c>
      <c r="AC4" s="6">
        <f>-$Y$29/LN((Table131531[[#This Row],[G Pre]]-1)/(Table131531[[#This Row],[G Pre]]*$Z$26-$Z$27))</f>
        <v>-0.13605787131971925</v>
      </c>
      <c r="AD4" s="6">
        <f>-$Y$29/LN((Table131531[[#This Row],[G 5min]]-1)/(Table131531[[#This Row],[G 5min]]*$Z$26-$Z$27))</f>
        <v>3.4447154610100181</v>
      </c>
      <c r="AE4" s="6">
        <f>-$Y$29/LN((Table131531[[#This Row],[G 10min]]-1)/(Table131531[[#This Row],[G 10min]]*$Z$26-$Z$27))</f>
        <v>-6.4288924635165543</v>
      </c>
      <c r="AF4" s="6">
        <f>-$Y$29/LN((Table131531[[#This Row],[G 15min]]-1)/(Table131531[[#This Row],[G 15min]]*$Z$26-$Z$27))</f>
        <v>-6.6618925402236338</v>
      </c>
      <c r="AG4" s="6">
        <f>-$Y$29/LN((Table131531[[#This Row],[G 20min]]-1)/(Table131531[[#This Row],[G 20min]]*$Z$26-$Z$27))</f>
        <v>-5.9650979389763261</v>
      </c>
      <c r="AI4" t="s">
        <v>56</v>
      </c>
      <c r="AJ4">
        <v>-4.941531988469074</v>
      </c>
      <c r="AK4">
        <v>-4.2201835475697465</v>
      </c>
      <c r="AL4">
        <v>-6.4288924635165543</v>
      </c>
      <c r="AM4">
        <v>-5.6506040204239643</v>
      </c>
      <c r="AN4">
        <v>-3.6266421470097399</v>
      </c>
      <c r="AO4">
        <v>-3.6604386068588015</v>
      </c>
      <c r="AP4">
        <v>-4.3244746908411296</v>
      </c>
      <c r="AQ4">
        <v>-4.5170103568036657</v>
      </c>
      <c r="AR4">
        <v>-5.5106963953124328</v>
      </c>
      <c r="AS4">
        <v>-3.5264519636177609</v>
      </c>
      <c r="AT4">
        <v>-4.2659834800427978</v>
      </c>
      <c r="AU4">
        <v>-2.3129893421672998</v>
      </c>
      <c r="AV4">
        <v>-3.6219700453603019</v>
      </c>
      <c r="AW4">
        <v>-5.3657869150485897</v>
      </c>
      <c r="AX4">
        <v>-7.2875665789892015</v>
      </c>
      <c r="AY4">
        <v>-3.7660418111737894</v>
      </c>
      <c r="AZ4">
        <v>-2.2517333782076125</v>
      </c>
      <c r="BA4">
        <v>-7.7133596901369756</v>
      </c>
      <c r="BB4">
        <v>-3.6130475561858288</v>
      </c>
      <c r="BC4">
        <v>-3.8948127645071087</v>
      </c>
      <c r="BD4">
        <v>0.43498543322503991</v>
      </c>
      <c r="BE4">
        <v>-4.4041542260278446</v>
      </c>
    </row>
    <row r="5" spans="1:57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6">
        <f>Table4131230[[#This Row],[2 - Pre]]*$Y$27/(Table4131230[[#This Row],[10 - pre]]*$Y$26)</f>
        <v>1.1074198196834613</v>
      </c>
      <c r="Y5" s="6">
        <f>Table4131230[[#This Row],[2 - Post 5min]]*$Y$27/(Table4131230[[#This Row],[10 - Post 5min]]*$Y$26)</f>
        <v>0.4421009458263927</v>
      </c>
      <c r="Z5" s="6">
        <f>Table4131230[[#This Row],[2 - Post 10min]]*$Y$27/(Table4131230[[#This Row],[10 - Post 10min]]*$Y$26)</f>
        <v>0.47264535167549732</v>
      </c>
      <c r="AA5" s="6">
        <f>Table4131230[[#This Row],[2 - Post 15min]]*$Y$27/(Table4131230[[#This Row],[10 - Post 15min]]*$Y$26)</f>
        <v>0.3440991045096678</v>
      </c>
      <c r="AB5" s="6">
        <f>Table4131230[[#This Row],[2 - Post 20min]]*$Y$27/(Table4131230[[#This Row],[10 - Post 20min]]*$Y$26)</f>
        <v>0.40296532360130377</v>
      </c>
      <c r="AC5" s="6">
        <f>-$Y$29/LN((Table131531[[#This Row],[G Pre]]-1)/(Table131531[[#This Row],[G Pre]]*$Z$26-$Z$27))</f>
        <v>1.2779698364201741</v>
      </c>
      <c r="AD5" s="6">
        <f>-$Y$29/LN((Table131531[[#This Row],[G 5min]]-1)/(Table131531[[#This Row],[G 5min]]*$Z$26-$Z$27))</f>
        <v>-5.9750612730185466</v>
      </c>
      <c r="AE5" s="6">
        <f>-$Y$29/LN((Table131531[[#This Row],[G 10min]]-1)/(Table131531[[#This Row],[G 10min]]*$Z$26-$Z$27))</f>
        <v>-5.6506040204239643</v>
      </c>
      <c r="AF5" s="6">
        <f>-$Y$29/LN((Table131531[[#This Row],[G 15min]]-1)/(Table131531[[#This Row],[G 15min]]*$Z$26-$Z$27))</f>
        <v>-7.0106296625269557</v>
      </c>
      <c r="AG5" s="6">
        <f>-$Y$29/LN((Table131531[[#This Row],[G 20min]]-1)/(Table131531[[#This Row],[G 20min]]*$Z$26-$Z$27))</f>
        <v>-6.3895948282048183</v>
      </c>
      <c r="AI5" t="s">
        <v>57</v>
      </c>
      <c r="AJ5">
        <v>-9.0098264321081043</v>
      </c>
      <c r="AK5">
        <v>-5.1889115011302795</v>
      </c>
      <c r="AL5">
        <v>-6.6618925402236338</v>
      </c>
      <c r="AM5">
        <v>-7.0106296625269557</v>
      </c>
      <c r="AN5">
        <v>-5.8249450001689276</v>
      </c>
      <c r="AO5">
        <v>-4.3534701850085877</v>
      </c>
      <c r="AP5">
        <v>-3.1136602927528765</v>
      </c>
      <c r="AQ5">
        <v>-5.8847397764055129</v>
      </c>
      <c r="AR5">
        <v>-6.6762325775811577</v>
      </c>
      <c r="AS5">
        <v>-6.5434294777774351</v>
      </c>
      <c r="AT5">
        <v>-3.4361277856573356</v>
      </c>
      <c r="AU5">
        <v>-3.879303185844166</v>
      </c>
      <c r="AV5">
        <v>-5.8297000262282515</v>
      </c>
      <c r="AW5">
        <v>-7.1163155119789065</v>
      </c>
      <c r="AX5">
        <v>-6.9697650255710979</v>
      </c>
      <c r="AY5">
        <v>-4.0551179547737588</v>
      </c>
      <c r="AZ5">
        <v>-5.0615476428904129</v>
      </c>
      <c r="BA5">
        <v>-6.6247366438621968</v>
      </c>
      <c r="BB5">
        <v>-3.8941449584110299</v>
      </c>
      <c r="BC5">
        <v>-4.0083268935650134</v>
      </c>
      <c r="BD5">
        <v>-4.1426236677056165</v>
      </c>
      <c r="BE5">
        <v>-6.15060781532015</v>
      </c>
    </row>
    <row r="6" spans="1:57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6">
        <f>Table4131230[[#This Row],[2 - Pre]]*$Y$27/(Table4131230[[#This Row],[10 - pre]]*$Y$26)</f>
        <v>1.0399483775522547</v>
      </c>
      <c r="Y6" s="6">
        <f>Table4131230[[#This Row],[2 - Post 5min]]*$Y$27/(Table4131230[[#This Row],[10 - Post 5min]]*$Y$26)</f>
        <v>0.79633604859056917</v>
      </c>
      <c r="Z6" s="6">
        <f>Table4131230[[#This Row],[2 - Post 10min]]*$Y$27/(Table4131230[[#This Row],[10 - Post 10min]]*$Y$26)</f>
        <v>0.66146699308703216</v>
      </c>
      <c r="AA6" s="6">
        <f>Table4131230[[#This Row],[2 - Post 15min]]*$Y$27/(Table4131230[[#This Row],[10 - Post 15min]]*$Y$26)</f>
        <v>0.45624239362697377</v>
      </c>
      <c r="AB6" s="6">
        <f>Table4131230[[#This Row],[2 - Post 20min]]*$Y$27/(Table4131230[[#This Row],[10 - Post 20min]]*$Y$26)</f>
        <v>0.35595801038228686</v>
      </c>
      <c r="AC6" s="6">
        <f>-$Y$29/LN((Table131531[[#This Row],[G Pre]]-1)/(Table131531[[#This Row],[G Pre]]*$Z$26-$Z$27))</f>
        <v>0.52133078970952551</v>
      </c>
      <c r="AD6" s="6">
        <f>-$Y$29/LN((Table131531[[#This Row],[G 5min]]-1)/(Table131531[[#This Row],[G 5min]]*$Z$26-$Z$27))</f>
        <v>-2.1613583778036585</v>
      </c>
      <c r="AE6" s="6">
        <f>-$Y$29/LN((Table131531[[#This Row],[G 10min]]-1)/(Table131531[[#This Row],[G 10min]]*$Z$26-$Z$27))</f>
        <v>-3.6266421470097399</v>
      </c>
      <c r="AF6" s="6">
        <f>-$Y$29/LN((Table131531[[#This Row],[G 15min]]-1)/(Table131531[[#This Row],[G 15min]]*$Z$26-$Z$27))</f>
        <v>-5.8249450001689276</v>
      </c>
      <c r="AG6" s="6">
        <f>-$Y$29/LN((Table131531[[#This Row],[G 20min]]-1)/(Table131531[[#This Row],[G 20min]]*$Z$26-$Z$27))</f>
        <v>-6.8857586392048153</v>
      </c>
      <c r="AI6" t="s">
        <v>58</v>
      </c>
      <c r="AJ6">
        <v>-6.884950964051213</v>
      </c>
      <c r="AK6">
        <v>-6.3040933473347236</v>
      </c>
      <c r="AL6">
        <v>-5.9650979389763261</v>
      </c>
      <c r="AM6">
        <v>-6.3895948282048183</v>
      </c>
      <c r="AN6">
        <v>-6.8857586392048153</v>
      </c>
      <c r="AO6">
        <v>-2.820358351482648</v>
      </c>
      <c r="AP6">
        <v>-4.2767614479324436</v>
      </c>
      <c r="AQ6">
        <v>-6.3874049812551572</v>
      </c>
      <c r="AR6">
        <v>-7.8789717407597042</v>
      </c>
      <c r="AS6">
        <v>-6.7825423531739863</v>
      </c>
      <c r="AT6">
        <v>-2.7756892816919012</v>
      </c>
      <c r="AU6">
        <v>-4.4131049394314701</v>
      </c>
      <c r="AV6">
        <v>-6.7365373549305296</v>
      </c>
      <c r="AW6">
        <v>-7.4162266872750875</v>
      </c>
      <c r="AX6">
        <v>-6.6653007265481978</v>
      </c>
      <c r="AY6">
        <v>-4.1443802093380615</v>
      </c>
      <c r="AZ6">
        <v>-5.4798549404960131</v>
      </c>
      <c r="BA6">
        <v>-7.0644997401442806</v>
      </c>
      <c r="BB6">
        <v>-3.8335254016901299</v>
      </c>
      <c r="BC6">
        <v>-4.7879616123941267</v>
      </c>
      <c r="BD6">
        <v>-4.192583655171549</v>
      </c>
      <c r="BE6">
        <v>-5.6205505242602429</v>
      </c>
    </row>
    <row r="7" spans="1:57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>
        <f>Table4131230[[#This Row],[2 - Pre]]*$Y$27/(Table4131230[[#This Row],[10 - pre]]*$Y$26)</f>
        <v>1.1379642365071603</v>
      </c>
      <c r="Y7" s="6">
        <f>Table4131230[[#This Row],[2 - Post 5min]]*$Y$27/(Table4131230[[#This Row],[10 - Post 5min]]*$Y$26)</f>
        <v>0.65204943247125058</v>
      </c>
      <c r="Z7" s="6">
        <f>Table4131230[[#This Row],[2 - Post 10min]]*$Y$27/(Table4131230[[#This Row],[10 - Post 10min]]*$Y$26)</f>
        <v>0.65833812880257114</v>
      </c>
      <c r="AA7" s="6">
        <f>Table4131230[[#This Row],[2 - Post 15min]]*$Y$27/(Table4131230[[#This Row],[10 - Post 15min]]*$Y$26)</f>
        <v>0.59399743368513858</v>
      </c>
      <c r="AB7" s="6">
        <f>Table4131230[[#This Row],[2 - Post 20min]]*$Y$27/(Table4131230[[#This Row],[10 - Post 20min]]*$Y$26)</f>
        <v>0.73587045587573263</v>
      </c>
      <c r="AC7" s="6">
        <f>-$Y$29/LN((Table131531[[#This Row],[G Pre]]-1)/(Table131531[[#This Row],[G Pre]]*$Z$26-$Z$27))</f>
        <v>1.6211478483778388</v>
      </c>
      <c r="AD7" s="6">
        <f>-$Y$29/LN((Table131531[[#This Row],[G 5min]]-1)/(Table131531[[#This Row],[G 5min]]*$Z$26-$Z$27))</f>
        <v>-3.7283393805079239</v>
      </c>
      <c r="AE7" s="6">
        <f>-$Y$29/LN((Table131531[[#This Row],[G 10min]]-1)/(Table131531[[#This Row],[G 10min]]*$Z$26-$Z$27))</f>
        <v>-3.6604386068588015</v>
      </c>
      <c r="AF7" s="6">
        <f>-$Y$29/LN((Table131531[[#This Row],[G 15min]]-1)/(Table131531[[#This Row],[G 15min]]*$Z$26-$Z$27))</f>
        <v>-4.3534701850085877</v>
      </c>
      <c r="AG7" s="6">
        <f>-$Y$29/LN((Table131531[[#This Row],[G 20min]]-1)/(Table131531[[#This Row],[G 20min]]*$Z$26-$Z$27))</f>
        <v>-2.820358351482648</v>
      </c>
    </row>
    <row r="8" spans="1:57">
      <c r="A8" s="2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 t="e">
        <f>Table4131230[[#This Row],[2 - Pre]]*$Y$27/(Table4131230[[#This Row],[10 - pre]]*$Y$26)</f>
        <v>#DIV/0!</v>
      </c>
      <c r="Y8" s="6" t="e">
        <f>Table4131230[[#This Row],[2 - Post 5min]]*$Y$27/(Table4131230[[#This Row],[10 - Post 5min]]*$Y$26)</f>
        <v>#DIV/0!</v>
      </c>
      <c r="Z8" s="6" t="e">
        <f>Table4131230[[#This Row],[2 - Post 10min]]*$Y$27/(Table4131230[[#This Row],[10 - Post 10min]]*$Y$26)</f>
        <v>#DIV/0!</v>
      </c>
      <c r="AA8" s="6" t="e">
        <f>Table4131230[[#This Row],[2 - Post 15min]]*$Y$27/(Table4131230[[#This Row],[10 - Post 15min]]*$Y$26)</f>
        <v>#DIV/0!</v>
      </c>
      <c r="AB8" s="6" t="e">
        <f>Table4131230[[#This Row],[2 - Post 20min]]*$Y$27/(Table4131230[[#This Row],[10 - Post 20min]]*$Y$26)</f>
        <v>#DIV/0!</v>
      </c>
      <c r="AC8" s="6" t="e">
        <f>-$Y$29/LN((Table131531[[#This Row],[G Pre]]-1)/(Table131531[[#This Row],[G Pre]]*$Z$26-$Z$27))</f>
        <v>#DIV/0!</v>
      </c>
      <c r="AD8" s="6" t="e">
        <f>-$Y$29/LN((Table131531[[#This Row],[G 5min]]-1)/(Table131531[[#This Row],[G 5min]]*$Z$26-$Z$27))</f>
        <v>#DIV/0!</v>
      </c>
      <c r="AE8" s="6" t="e">
        <f>-$Y$29/LN((Table131531[[#This Row],[G 10min]]-1)/(Table131531[[#This Row],[G 10min]]*$Z$26-$Z$27))</f>
        <v>#DIV/0!</v>
      </c>
      <c r="AF8" s="6" t="e">
        <f>-$Y$29/LN((Table131531[[#This Row],[G 15min]]-1)/(Table131531[[#This Row],[G 15min]]*$Z$26-$Z$27))</f>
        <v>#DIV/0!</v>
      </c>
      <c r="AG8" s="6" t="e">
        <f>-$Y$29/LN((Table131531[[#This Row],[G 20min]]-1)/(Table131531[[#This Row],[G 20min]]*$Z$26-$Z$27))</f>
        <v>#DIV/0!</v>
      </c>
    </row>
    <row r="9" spans="1:57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6">
        <f>Table4131230[[#This Row],[2 - Pre]]*$Y$27/(Table4131230[[#This Row],[10 - pre]]*$Y$26)</f>
        <v>1.0761081462020172</v>
      </c>
      <c r="Y9" s="6">
        <f>Table4131230[[#This Row],[2 - Post 5min]]*$Y$27/(Table4131230[[#This Row],[10 - Post 5min]]*$Y$26)</f>
        <v>0.61644117321386094</v>
      </c>
      <c r="Z9" s="6">
        <f>Table4131230[[#This Row],[2 - Post 10min]]*$Y$27/(Table4131230[[#This Row],[10 - Post 10min]]*$Y$26)</f>
        <v>0.57876429367182092</v>
      </c>
      <c r="AA9" s="6">
        <f>Table4131230[[#This Row],[2 - Post 15min]]*$Y$27/(Table4131230[[#This Row],[10 - Post 15min]]*$Y$26)</f>
        <v>0.4506114909274691</v>
      </c>
      <c r="AB9" s="6">
        <f>Table4131230[[#This Row],[2 - Post 20min]]*$Y$27/(Table4131230[[#This Row],[10 - Post 20min]]*$Y$26)</f>
        <v>0.40317239375980818</v>
      </c>
      <c r="AC9" s="6">
        <f>-$Y$29/LN((Table131531[[#This Row],[G Pre]]-1)/(Table131531[[#This Row],[G Pre]]*$Z$26-$Z$27))</f>
        <v>0.92680581004725049</v>
      </c>
      <c r="AD9" s="6">
        <f>-$Y$29/LN((Table131531[[#This Row],[G 5min]]-1)/(Table131531[[#This Row],[G 5min]]*$Z$26-$Z$27))</f>
        <v>-4.1121424643846982</v>
      </c>
      <c r="AE9" s="6">
        <f>-$Y$29/LN((Table131531[[#This Row],[G 10min]]-1)/(Table131531[[#This Row],[G 10min]]*$Z$26-$Z$27))</f>
        <v>-4.5170103568036657</v>
      </c>
      <c r="AF9" s="6">
        <f>-$Y$29/LN((Table131531[[#This Row],[G 15min]]-1)/(Table131531[[#This Row],[G 15min]]*$Z$26-$Z$27))</f>
        <v>-5.8847397764055129</v>
      </c>
      <c r="AG9" s="6">
        <f>-$Y$29/LN((Table131531[[#This Row],[G 20min]]-1)/(Table131531[[#This Row],[G 20min]]*$Z$26-$Z$27))</f>
        <v>-6.3874049812551572</v>
      </c>
    </row>
    <row r="10" spans="1:57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>
        <f>Table4131230[[#This Row],[2 - Pre]]*$Y$27/(Table4131230[[#This Row],[10 - pre]]*$Y$26)</f>
        <v>1.2250269361684927</v>
      </c>
      <c r="Y10" s="6" t="e">
        <f>Table4131230[[#This Row],[2 - Post 5min]]*$Y$27/(Table4131230[[#This Row],[10 - Post 5min]]*$Y$26)</f>
        <v>#DIV/0!</v>
      </c>
      <c r="Z10" s="6">
        <f>Table4131230[[#This Row],[2 - Post 10min]]*$Y$27/(Table4131230[[#This Row],[10 - Post 10min]]*$Y$26)</f>
        <v>0.4857926927804932</v>
      </c>
      <c r="AA10" s="6">
        <f>Table4131230[[#This Row],[2 - Post 15min]]*$Y$27/(Table4131230[[#This Row],[10 - Post 15min]]*$Y$26)</f>
        <v>0.37583082315974381</v>
      </c>
      <c r="AB10" s="6">
        <f>Table4131230[[#This Row],[2 - Post 20min]]*$Y$27/(Table4131230[[#This Row],[10 - Post 20min]]*$Y$26)</f>
        <v>0.26131536205187744</v>
      </c>
      <c r="AC10" s="6">
        <f>-$Y$29/LN((Table131531[[#This Row],[G Pre]]-1)/(Table131531[[#This Row],[G Pre]]*$Z$26-$Z$27))</f>
        <v>2.6036530622777003</v>
      </c>
      <c r="AD10" s="6" t="e">
        <f>-$Y$29/LN((Table131531[[#This Row],[G 5min]]-1)/(Table131531[[#This Row],[G 5min]]*$Z$26-$Z$27))</f>
        <v>#DIV/0!</v>
      </c>
      <c r="AE10" s="6">
        <f>-$Y$29/LN((Table131531[[#This Row],[G 10min]]-1)/(Table131531[[#This Row],[G 10min]]*$Z$26-$Z$27))</f>
        <v>-5.5106963953124328</v>
      </c>
      <c r="AF10" s="6">
        <f>-$Y$29/LN((Table131531[[#This Row],[G 15min]]-1)/(Table131531[[#This Row],[G 15min]]*$Z$26-$Z$27))</f>
        <v>-6.6762325775811577</v>
      </c>
      <c r="AG10" s="6">
        <f>-$Y$29/LN((Table131531[[#This Row],[G 20min]]-1)/(Table131531[[#This Row],[G 20min]]*$Z$26-$Z$27))</f>
        <v>-7.8789717407597042</v>
      </c>
    </row>
    <row r="11" spans="1:57">
      <c r="A11" s="2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6" t="e">
        <f>Table4131230[[#This Row],[2 - Pre]]*$Y$27/(Table4131230[[#This Row],[10 - pre]]*$Y$26)</f>
        <v>#DIV/0!</v>
      </c>
      <c r="Y11" s="6" t="e">
        <f>Table4131230[[#This Row],[2 - Post 5min]]*$Y$27/(Table4131230[[#This Row],[10 - Post 5min]]*$Y$26)</f>
        <v>#DIV/0!</v>
      </c>
      <c r="Z11" s="6" t="e">
        <f>Table4131230[[#This Row],[2 - Post 10min]]*$Y$27/(Table4131230[[#This Row],[10 - Post 10min]]*$Y$26)</f>
        <v>#DIV/0!</v>
      </c>
      <c r="AA11" s="6" t="e">
        <f>Table4131230[[#This Row],[2 - Post 15min]]*$Y$27/(Table4131230[[#This Row],[10 - Post 15min]]*$Y$26)</f>
        <v>#DIV/0!</v>
      </c>
      <c r="AB11" s="6" t="e">
        <f>Table4131230[[#This Row],[2 - Post 20min]]*$Y$27/(Table4131230[[#This Row],[10 - Post 20min]]*$Y$26)</f>
        <v>#DIV/0!</v>
      </c>
      <c r="AC11" s="6" t="e">
        <f>-$Y$29/LN((Table131531[[#This Row],[G Pre]]-1)/(Table131531[[#This Row],[G Pre]]*$Z$26-$Z$27))</f>
        <v>#DIV/0!</v>
      </c>
      <c r="AD11" s="6" t="e">
        <f>-$Y$29/LN((Table131531[[#This Row],[G 5min]]-1)/(Table131531[[#This Row],[G 5min]]*$Z$26-$Z$27))</f>
        <v>#DIV/0!</v>
      </c>
      <c r="AE11" s="6" t="e">
        <f>-$Y$29/LN((Table131531[[#This Row],[G 10min]]-1)/(Table131531[[#This Row],[G 10min]]*$Z$26-$Z$27))</f>
        <v>#DIV/0!</v>
      </c>
      <c r="AF11" s="6" t="e">
        <f>-$Y$29/LN((Table131531[[#This Row],[G 15min]]-1)/(Table131531[[#This Row],[G 15min]]*$Z$26-$Z$27))</f>
        <v>#DIV/0!</v>
      </c>
      <c r="AG11" s="6" t="e">
        <f>-$Y$29/LN((Table131531[[#This Row],[G 20min]]-1)/(Table131531[[#This Row],[G 20min]]*$Z$26-$Z$27))</f>
        <v>#DIV/0!</v>
      </c>
    </row>
    <row r="12" spans="1:57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6" t="e">
        <f>Table4131230[[#This Row],[2 - Pre]]*$Y$27/(Table4131230[[#This Row],[10 - pre]]*$Y$26)</f>
        <v>#DIV/0!</v>
      </c>
      <c r="Y12" s="6" t="e">
        <f>Table4131230[[#This Row],[2 - Post 5min]]*$Y$27/(Table4131230[[#This Row],[10 - Post 5min]]*$Y$26)</f>
        <v>#DIV/0!</v>
      </c>
      <c r="Z12" s="6" t="e">
        <f>Table4131230[[#This Row],[2 - Post 10min]]*$Y$27/(Table4131230[[#This Row],[10 - Post 10min]]*$Y$26)</f>
        <v>#DIV/0!</v>
      </c>
      <c r="AA12" s="6" t="e">
        <f>Table4131230[[#This Row],[2 - Post 15min]]*$Y$27/(Table4131230[[#This Row],[10 - Post 15min]]*$Y$26)</f>
        <v>#DIV/0!</v>
      </c>
      <c r="AB12" s="6" t="e">
        <f>Table4131230[[#This Row],[2 - Post 20min]]*$Y$27/(Table4131230[[#This Row],[10 - Post 20min]]*$Y$26)</f>
        <v>#DIV/0!</v>
      </c>
      <c r="AC12" s="6" t="e">
        <f>-$Y$29/LN((Table131531[[#This Row],[G Pre]]-1)/(Table131531[[#This Row],[G Pre]]*$Z$26-$Z$27))</f>
        <v>#DIV/0!</v>
      </c>
      <c r="AD12" s="6" t="e">
        <f>-$Y$29/LN((Table131531[[#This Row],[G 5min]]-1)/(Table131531[[#This Row],[G 5min]]*$Z$26-$Z$27))</f>
        <v>#DIV/0!</v>
      </c>
      <c r="AE12" s="6" t="e">
        <f>-$Y$29/LN((Table131531[[#This Row],[G 10min]]-1)/(Table131531[[#This Row],[G 10min]]*$Z$26-$Z$27))</f>
        <v>#DIV/0!</v>
      </c>
      <c r="AF12" s="6" t="e">
        <f>-$Y$29/LN((Table131531[[#This Row],[G 15min]]-1)/(Table131531[[#This Row],[G 15min]]*$Z$26-$Z$27))</f>
        <v>#DIV/0!</v>
      </c>
      <c r="AG12" s="6" t="e">
        <f>-$Y$29/LN((Table131531[[#This Row],[G 20min]]-1)/(Table131531[[#This Row],[G 20min]]*$Z$26-$Z$27))</f>
        <v>#DIV/0!</v>
      </c>
    </row>
    <row r="13" spans="1:57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6">
        <f>Table4131230[[#This Row],[2 - Pre]]*$Y$27/(Table4131230[[#This Row],[10 - pre]]*$Y$26)</f>
        <v>1.2363071881879082</v>
      </c>
      <c r="Y13" s="6">
        <f>Table4131230[[#This Row],[2 - Post 5min]]*$Y$27/(Table4131230[[#This Row],[10 - Post 5min]]*$Y$26)</f>
        <v>0.77638274420849485</v>
      </c>
      <c r="Z13" s="6">
        <f>Table4131230[[#This Row],[2 - Post 10min]]*$Y$27/(Table4131230[[#This Row],[10 - Post 10min]]*$Y$26)</f>
        <v>0.78245123658299054</v>
      </c>
      <c r="AA13" s="6">
        <f>Table4131230[[#This Row],[2 - Post 15min]]*$Y$27/(Table4131230[[#This Row],[10 - Post 15min]]*$Y$26)</f>
        <v>0.63805596687220767</v>
      </c>
      <c r="AB13" s="6">
        <f>Table4131230[[#This Row],[2 - Post 20min]]*$Y$27/(Table4131230[[#This Row],[10 - Post 20min]]*$Y$26)</f>
        <v>0.58844490689280748</v>
      </c>
      <c r="AC13" s="6">
        <f>-$Y$29/LN((Table131531[[#This Row],[G Pre]]-1)/(Table131531[[#This Row],[G Pre]]*$Z$26-$Z$27))</f>
        <v>2.7314522927350668</v>
      </c>
      <c r="AD13" s="6">
        <f>-$Y$29/LN((Table131531[[#This Row],[G 5min]]-1)/(Table131531[[#This Row],[G 5min]]*$Z$26-$Z$27))</f>
        <v>-2.3792037540345978</v>
      </c>
      <c r="AE13" s="6">
        <f>-$Y$29/LN((Table131531[[#This Row],[G 10min]]-1)/(Table131531[[#This Row],[G 10min]]*$Z$26-$Z$27))</f>
        <v>-2.3129893421672998</v>
      </c>
      <c r="AF13" s="6">
        <f>-$Y$29/LN((Table131531[[#This Row],[G 15min]]-1)/(Table131531[[#This Row],[G 15min]]*$Z$26-$Z$27))</f>
        <v>-3.879303185844166</v>
      </c>
      <c r="AG13" s="6">
        <f>-$Y$29/LN((Table131531[[#This Row],[G 20min]]-1)/(Table131531[[#This Row],[G 20min]]*$Z$26-$Z$27))</f>
        <v>-4.4131049394314701</v>
      </c>
    </row>
    <row r="14" spans="1:57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6">
        <f>Table4131230[[#This Row],[2 - Pre]]*$Y$27/(Table4131230[[#This Row],[10 - pre]]*$Y$26)</f>
        <v>1.0619232192284132</v>
      </c>
      <c r="Y14" s="6">
        <f>Table4131230[[#This Row],[2 - Post 5min]]*$Y$27/(Table4131230[[#This Row],[10 - Post 5min]]*$Y$26)</f>
        <v>0.57048080817198843</v>
      </c>
      <c r="Z14" s="6">
        <f>Table4131230[[#This Row],[2 - Post 10min]]*$Y$27/(Table4131230[[#This Row],[10 - Post 10min]]*$Y$26)</f>
        <v>0.66189947040426877</v>
      </c>
      <c r="AA14" s="6">
        <f>Table4131230[[#This Row],[2 - Post 15min]]*$Y$27/(Table4131230[[#This Row],[10 - Post 15min]]*$Y$26)</f>
        <v>0.45579470559389446</v>
      </c>
      <c r="AB14" s="6">
        <f>Table4131230[[#This Row],[2 - Post 20min]]*$Y$27/(Table4131230[[#This Row],[10 - Post 20min]]*$Y$26)</f>
        <v>0.37011442608903877</v>
      </c>
      <c r="AC14" s="6">
        <f>-$Y$29/LN((Table131531[[#This Row],[G Pre]]-1)/(Table131531[[#This Row],[G Pre]]*$Z$26-$Z$27))</f>
        <v>0.767828532523677</v>
      </c>
      <c r="AD14" s="6">
        <f>-$Y$29/LN((Table131531[[#This Row],[G 5min]]-1)/(Table131531[[#This Row],[G 5min]]*$Z$26-$Z$27))</f>
        <v>-4.605853961975293</v>
      </c>
      <c r="AE14" s="6">
        <f>-$Y$29/LN((Table131531[[#This Row],[G 10min]]-1)/(Table131531[[#This Row],[G 10min]]*$Z$26-$Z$27))</f>
        <v>-3.6219700453603019</v>
      </c>
      <c r="AF14" s="6">
        <f>-$Y$29/LN((Table131531[[#This Row],[G 15min]]-1)/(Table131531[[#This Row],[G 15min]]*$Z$26-$Z$27))</f>
        <v>-5.8297000262282515</v>
      </c>
      <c r="AG14" s="6">
        <f>-$Y$29/LN((Table131531[[#This Row],[G 20min]]-1)/(Table131531[[#This Row],[G 20min]]*$Z$26-$Z$27))</f>
        <v>-6.7365373549305296</v>
      </c>
    </row>
    <row r="15" spans="1:57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>
        <f>Table4131230[[#This Row],[2 - Pre]]*$Y$27/(Table4131230[[#This Row],[10 - pre]]*$Y$26)</f>
        <v>0.97612846352329496</v>
      </c>
      <c r="Y15" s="6">
        <f>Table4131230[[#This Row],[2 - Post 5min]]*$Y$27/(Table4131230[[#This Row],[10 - Post 5min]]*$Y$26)</f>
        <v>0.60100071503119057</v>
      </c>
      <c r="Z15" s="6">
        <f>Table4131230[[#This Row],[2 - Post 10min]]*$Y$27/(Table4131230[[#This Row],[10 - Post 10min]]*$Y$26)</f>
        <v>0.49939512723837526</v>
      </c>
      <c r="AA15" s="6">
        <f>Table4131230[[#This Row],[2 - Post 15min]]*$Y$27/(Table4131230[[#This Row],[10 - Post 15min]]*$Y$26)</f>
        <v>0.33405324187125984</v>
      </c>
      <c r="AB15" s="6">
        <f>Table4131230[[#This Row],[2 - Post 20min]]*$Y$27/(Table4131230[[#This Row],[10 - Post 20min]]*$Y$26)</f>
        <v>0.30550067794450114</v>
      </c>
      <c r="AC15" s="6">
        <f>-$Y$29/LN((Table131531[[#This Row],[G Pre]]-1)/(Table131531[[#This Row],[G Pre]]*$Z$26-$Z$27))</f>
        <v>-0.17134143476079591</v>
      </c>
      <c r="AD15" s="6">
        <f>-$Y$29/LN((Table131531[[#This Row],[G 5min]]-1)/(Table131531[[#This Row],[G 5min]]*$Z$26-$Z$27))</f>
        <v>-4.278215092246346</v>
      </c>
      <c r="AE15" s="6">
        <f>-$Y$29/LN((Table131531[[#This Row],[G 10min]]-1)/(Table131531[[#This Row],[G 10min]]*$Z$26-$Z$27))</f>
        <v>-5.3657869150485897</v>
      </c>
      <c r="AF15" s="6">
        <f>-$Y$29/LN((Table131531[[#This Row],[G 15min]]-1)/(Table131531[[#This Row],[G 15min]]*$Z$26-$Z$27))</f>
        <v>-7.1163155119789065</v>
      </c>
      <c r="AG15" s="6">
        <f>-$Y$29/LN((Table131531[[#This Row],[G 20min]]-1)/(Table131531[[#This Row],[G 20min]]*$Z$26-$Z$27))</f>
        <v>-7.4162266872750875</v>
      </c>
    </row>
    <row r="16" spans="1:57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6" t="e">
        <f>Table4131230[[#This Row],[2 - Pre]]*$Y$27/(Table4131230[[#This Row],[10 - pre]]*$Y$26)</f>
        <v>#DIV/0!</v>
      </c>
      <c r="Y16" s="6">
        <f>Table4131230[[#This Row],[2 - Post 5min]]*$Y$27/(Table4131230[[#This Row],[10 - Post 5min]]*$Y$26)</f>
        <v>0.43684463488310199</v>
      </c>
      <c r="Z16" s="6">
        <f>Table4131230[[#This Row],[2 - Post 10min]]*$Y$27/(Table4131230[[#This Row],[10 - Post 10min]]*$Y$26)</f>
        <v>0.31775768202053734</v>
      </c>
      <c r="AA16" s="6">
        <f>Table4131230[[#This Row],[2 - Post 15min]]*$Y$27/(Table4131230[[#This Row],[10 - Post 15min]]*$Y$26)</f>
        <v>0.34798124931346058</v>
      </c>
      <c r="AB16" s="6">
        <f>Table4131230[[#This Row],[2 - Post 20min]]*$Y$27/(Table4131230[[#This Row],[10 - Post 20min]]*$Y$26)</f>
        <v>0.37686678742338203</v>
      </c>
      <c r="AC16" s="6" t="e">
        <f>-$Y$29/LN((Table131531[[#This Row],[G Pre]]-1)/(Table131531[[#This Row],[G Pre]]*$Z$26-$Z$27))</f>
        <v>#DIV/0!</v>
      </c>
      <c r="AD16" s="6">
        <f>-$Y$29/LN((Table131531[[#This Row],[G 5min]]-1)/(Table131531[[#This Row],[G 5min]]*$Z$26-$Z$27))</f>
        <v>-6.0308145065839218</v>
      </c>
      <c r="AE16" s="6">
        <f>-$Y$29/LN((Table131531[[#This Row],[G 10min]]-1)/(Table131531[[#This Row],[G 10min]]*$Z$26-$Z$27))</f>
        <v>-7.2875665789892015</v>
      </c>
      <c r="AF16" s="6">
        <f>-$Y$29/LN((Table131531[[#This Row],[G 15min]]-1)/(Table131531[[#This Row],[G 15min]]*$Z$26-$Z$27))</f>
        <v>-6.9697650255710979</v>
      </c>
      <c r="AG16" s="6">
        <f>-$Y$29/LN((Table131531[[#This Row],[G 20min]]-1)/(Table131531[[#This Row],[G 20min]]*$Z$26-$Z$27))</f>
        <v>-6.6653007265481978</v>
      </c>
    </row>
    <row r="17" spans="1:33">
      <c r="A17" s="2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 t="e">
        <f>Table4131230[[#This Row],[2 - Pre]]*$Y$27/(Table4131230[[#This Row],[10 - pre]]*$Y$26)</f>
        <v>#DIV/0!</v>
      </c>
      <c r="Y17" s="6" t="e">
        <f>Table4131230[[#This Row],[2 - Post 5min]]*$Y$27/(Table4131230[[#This Row],[10 - Post 5min]]*$Y$26)</f>
        <v>#DIV/0!</v>
      </c>
      <c r="Z17" s="6" t="e">
        <f>Table4131230[[#This Row],[2 - Post 10min]]*$Y$27/(Table4131230[[#This Row],[10 - Post 10min]]*$Y$26)</f>
        <v>#DIV/0!</v>
      </c>
      <c r="AA17" s="6" t="e">
        <f>Table4131230[[#This Row],[2 - Post 15min]]*$Y$27/(Table4131230[[#This Row],[10 - Post 15min]]*$Y$26)</f>
        <v>#DIV/0!</v>
      </c>
      <c r="AB17" s="6" t="e">
        <f>Table4131230[[#This Row],[2 - Post 20min]]*$Y$27/(Table4131230[[#This Row],[10 - Post 20min]]*$Y$26)</f>
        <v>#DIV/0!</v>
      </c>
      <c r="AC17" s="6" t="e">
        <f>-$Y$29/LN((Table131531[[#This Row],[G Pre]]-1)/(Table131531[[#This Row],[G Pre]]*$Z$26-$Z$27))</f>
        <v>#DIV/0!</v>
      </c>
      <c r="AD17" s="6" t="e">
        <f>-$Y$29/LN((Table131531[[#This Row],[G 5min]]-1)/(Table131531[[#This Row],[G 5min]]*$Z$26-$Z$27))</f>
        <v>#DIV/0!</v>
      </c>
      <c r="AE17" s="6" t="e">
        <f>-$Y$29/LN((Table131531[[#This Row],[G 10min]]-1)/(Table131531[[#This Row],[G 10min]]*$Z$26-$Z$27))</f>
        <v>#DIV/0!</v>
      </c>
      <c r="AF17" s="6" t="e">
        <f>-$Y$29/LN((Table131531[[#This Row],[G 15min]]-1)/(Table131531[[#This Row],[G 15min]]*$Z$26-$Z$27))</f>
        <v>#DIV/0!</v>
      </c>
      <c r="AG17" s="6" t="e">
        <f>-$Y$29/LN((Table131531[[#This Row],[G 20min]]-1)/(Table131531[[#This Row],[G 20min]]*$Z$26-$Z$27))</f>
        <v>#DIV/0!</v>
      </c>
    </row>
    <row r="18" spans="1:33">
      <c r="A18" s="2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 t="e">
        <f>Table4131230[[#This Row],[2 - Pre]]*$Y$27/(Table4131230[[#This Row],[10 - pre]]*$Y$26)</f>
        <v>#DIV/0!</v>
      </c>
      <c r="Y18" s="6" t="e">
        <f>Table4131230[[#This Row],[2 - Post 5min]]*$Y$27/(Table4131230[[#This Row],[10 - Post 5min]]*$Y$26)</f>
        <v>#DIV/0!</v>
      </c>
      <c r="Z18" s="6" t="e">
        <f>Table4131230[[#This Row],[2 - Post 10min]]*$Y$27/(Table4131230[[#This Row],[10 - Post 10min]]*$Y$26)</f>
        <v>#DIV/0!</v>
      </c>
      <c r="AA18" s="6" t="e">
        <f>Table4131230[[#This Row],[2 - Post 15min]]*$Y$27/(Table4131230[[#This Row],[10 - Post 15min]]*$Y$26)</f>
        <v>#DIV/0!</v>
      </c>
      <c r="AB18" s="6" t="e">
        <f>Table4131230[[#This Row],[2 - Post 20min]]*$Y$27/(Table4131230[[#This Row],[10 - Post 20min]]*$Y$26)</f>
        <v>#DIV/0!</v>
      </c>
      <c r="AC18" s="6" t="e">
        <f>-$Y$29/LN((Table131531[[#This Row],[G Pre]]-1)/(Table131531[[#This Row],[G Pre]]*$Z$26-$Z$27))</f>
        <v>#DIV/0!</v>
      </c>
      <c r="AD18" s="6" t="e">
        <f>-$Y$29/LN((Table131531[[#This Row],[G 5min]]-1)/(Table131531[[#This Row],[G 5min]]*$Z$26-$Z$27))</f>
        <v>#DIV/0!</v>
      </c>
      <c r="AE18" s="6" t="e">
        <f>-$Y$29/LN((Table131531[[#This Row],[G 10min]]-1)/(Table131531[[#This Row],[G 10min]]*$Z$26-$Z$27))</f>
        <v>#DIV/0!</v>
      </c>
      <c r="AF18" s="6" t="e">
        <f>-$Y$29/LN((Table131531[[#This Row],[G 15min]]-1)/(Table131531[[#This Row],[G 15min]]*$Z$26-$Z$27))</f>
        <v>#DIV/0!</v>
      </c>
      <c r="AG18" s="6" t="e">
        <f>-$Y$29/LN((Table131531[[#This Row],[G 20min]]-1)/(Table131531[[#This Row],[G 20min]]*$Z$26-$Z$27))</f>
        <v>#DIV/0!</v>
      </c>
    </row>
    <row r="19" spans="1:33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 t="e">
        <f>Table4131230[[#This Row],[2 - Pre]]*$Y$27/(Table4131230[[#This Row],[10 - pre]]*$Y$26)</f>
        <v>#DIV/0!</v>
      </c>
      <c r="Y19" s="6" t="e">
        <f>Table4131230[[#This Row],[2 - Post 5min]]*$Y$27/(Table4131230[[#This Row],[10 - Post 5min]]*$Y$26)</f>
        <v>#DIV/0!</v>
      </c>
      <c r="Z19" s="6" t="e">
        <f>Table4131230[[#This Row],[2 - Post 10min]]*$Y$27/(Table4131230[[#This Row],[10 - Post 10min]]*$Y$26)</f>
        <v>#DIV/0!</v>
      </c>
      <c r="AA19" s="6" t="e">
        <f>Table4131230[[#This Row],[2 - Post 15min]]*$Y$27/(Table4131230[[#This Row],[10 - Post 15min]]*$Y$26)</f>
        <v>#DIV/0!</v>
      </c>
      <c r="AB19" s="6" t="e">
        <f>Table4131230[[#This Row],[2 - Post 20min]]*$Y$27/(Table4131230[[#This Row],[10 - Post 20min]]*$Y$26)</f>
        <v>#DIV/0!</v>
      </c>
      <c r="AC19" s="6" t="e">
        <f>-$Y$29/LN((Table131531[[#This Row],[G Pre]]-1)/(Table131531[[#This Row],[G Pre]]*$Z$26-$Z$27))</f>
        <v>#DIV/0!</v>
      </c>
      <c r="AD19" s="6" t="e">
        <f>-$Y$29/LN((Table131531[[#This Row],[G 5min]]-1)/(Table131531[[#This Row],[G 5min]]*$Z$26-$Z$27))</f>
        <v>#DIV/0!</v>
      </c>
      <c r="AE19" s="6" t="e">
        <f>-$Y$29/LN((Table131531[[#This Row],[G 10min]]-1)/(Table131531[[#This Row],[G 10min]]*$Z$26-$Z$27))</f>
        <v>#DIV/0!</v>
      </c>
      <c r="AF19" s="6" t="e">
        <f>-$Y$29/LN((Table131531[[#This Row],[G 15min]]-1)/(Table131531[[#This Row],[G 15min]]*$Z$26-$Z$27))</f>
        <v>#DIV/0!</v>
      </c>
      <c r="AG19" s="6" t="e">
        <f>-$Y$29/LN((Table131531[[#This Row],[G 20min]]-1)/(Table131531[[#This Row],[G 20min]]*$Z$26-$Z$27))</f>
        <v>#DIV/0!</v>
      </c>
    </row>
    <row r="20" spans="1:33">
      <c r="A20" s="2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6" t="e">
        <f>Table4131230[[#This Row],[2 - Pre]]*$Y$27/(Table4131230[[#This Row],[10 - pre]]*$Y$26)</f>
        <v>#DIV/0!</v>
      </c>
      <c r="Y20" s="6" t="e">
        <f>Table4131230[[#This Row],[2 - Post 5min]]*$Y$27/(Table4131230[[#This Row],[10 - Post 5min]]*$Y$26)</f>
        <v>#DIV/0!</v>
      </c>
      <c r="Z20" s="6" t="e">
        <f>Table4131230[[#This Row],[2 - Post 10min]]*$Y$27/(Table4131230[[#This Row],[10 - Post 10min]]*$Y$26)</f>
        <v>#DIV/0!</v>
      </c>
      <c r="AA20" s="6" t="e">
        <f>Table4131230[[#This Row],[2 - Post 15min]]*$Y$27/(Table4131230[[#This Row],[10 - Post 15min]]*$Y$26)</f>
        <v>#DIV/0!</v>
      </c>
      <c r="AB20" s="6" t="e">
        <f>Table4131230[[#This Row],[2 - Post 20min]]*$Y$27/(Table4131230[[#This Row],[10 - Post 20min]]*$Y$26)</f>
        <v>#DIV/0!</v>
      </c>
      <c r="AC20" s="6" t="e">
        <f>-$Y$29/LN((Table131531[[#This Row],[G Pre]]-1)/(Table131531[[#This Row],[G Pre]]*$Z$26-$Z$27))</f>
        <v>#DIV/0!</v>
      </c>
      <c r="AD20" s="6" t="e">
        <f>-$Y$29/LN((Table131531[[#This Row],[G 5min]]-1)/(Table131531[[#This Row],[G 5min]]*$Z$26-$Z$27))</f>
        <v>#DIV/0!</v>
      </c>
      <c r="AE20" s="6" t="e">
        <f>-$Y$29/LN((Table131531[[#This Row],[G 10min]]-1)/(Table131531[[#This Row],[G 10min]]*$Z$26-$Z$27))</f>
        <v>#DIV/0!</v>
      </c>
      <c r="AF20" s="6" t="e">
        <f>-$Y$29/LN((Table131531[[#This Row],[G 15min]]-1)/(Table131531[[#This Row],[G 15min]]*$Z$26-$Z$27))</f>
        <v>#DIV/0!</v>
      </c>
      <c r="AG20" s="6" t="e">
        <f>-$Y$29/LN((Table131531[[#This Row],[G 20min]]-1)/(Table131531[[#This Row],[G 20min]]*$Z$26-$Z$27))</f>
        <v>#DIV/0!</v>
      </c>
    </row>
    <row r="21" spans="1:33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6">
        <f>Table4131230[[#This Row],[2 - Pre]]*$Y$27/(Table4131230[[#This Row],[10 - pre]]*$Y$26)</f>
        <v>1.1528870038881018</v>
      </c>
      <c r="Y21" s="6">
        <f>Table4131230[[#This Row],[2 - Post 5min]]*$Y$27/(Table4131230[[#This Row],[10 - Post 5min]]*$Y$26)</f>
        <v>1.3454725169681516</v>
      </c>
      <c r="Z21" s="6">
        <f>Table4131230[[#This Row],[2 - Post 10min]]*$Y$27/(Table4131230[[#This Row],[10 - Post 10min]]*$Y$26)</f>
        <v>0.6366173964721743</v>
      </c>
      <c r="AA21" s="6">
        <f>Table4131230[[#This Row],[2 - Post 15min]]*$Y$27/(Table4131230[[#This Row],[10 - Post 15min]]*$Y$26)</f>
        <v>0.62608330753810471</v>
      </c>
      <c r="AB21" s="6">
        <f>Table4131230[[#This Row],[2 - Post 20min]]*$Y$27/(Table4131230[[#This Row],[10 - Post 20min]]*$Y$26)</f>
        <v>0.55348396844773273</v>
      </c>
      <c r="AC21" s="6">
        <f>-$Y$29/LN((Table131531[[#This Row],[G Pre]]-1)/(Table131531[[#This Row],[G Pre]]*$Z$26-$Z$27))</f>
        <v>1.7890805986638842</v>
      </c>
      <c r="AD21" s="6">
        <f>-$Y$29/LN((Table131531[[#This Row],[G 5min]]-1)/(Table131531[[#This Row],[G 5min]]*$Z$26-$Z$27))</f>
        <v>3.9744191108492002</v>
      </c>
      <c r="AE21" s="6">
        <f>-$Y$29/LN((Table131531[[#This Row],[G 10min]]-1)/(Table131531[[#This Row],[G 10min]]*$Z$26-$Z$27))</f>
        <v>-3.8948127645071087</v>
      </c>
      <c r="AF21" s="6">
        <f>-$Y$29/LN((Table131531[[#This Row],[G 15min]]-1)/(Table131531[[#This Row],[G 15min]]*$Z$26-$Z$27))</f>
        <v>-4.0083268935650134</v>
      </c>
      <c r="AG21" s="6">
        <f>-$Y$29/LN((Table131531[[#This Row],[G 20min]]-1)/(Table131531[[#This Row],[G 20min]]*$Z$26-$Z$27))</f>
        <v>-4.7879616123941267</v>
      </c>
    </row>
    <row r="22" spans="1:33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 t="e">
        <f>Table4131230[[#This Row],[2 - Pre]]*$Y$27/(Table4131230[[#This Row],[10 - pre]]*$Y$26)</f>
        <v>#DIV/0!</v>
      </c>
      <c r="Y22" s="6" t="e">
        <f>Table4131230[[#This Row],[2 - Post 5min]]*$Y$27/(Table4131230[[#This Row],[10 - Post 5min]]*$Y$26)</f>
        <v>#DIV/0!</v>
      </c>
      <c r="Z22" s="6" t="e">
        <f>Table4131230[[#This Row],[2 - Post 10min]]*$Y$27/(Table4131230[[#This Row],[10 - Post 10min]]*$Y$26)</f>
        <v>#DIV/0!</v>
      </c>
      <c r="AA22" s="6" t="e">
        <f>Table4131230[[#This Row],[2 - Post 15min]]*$Y$27/(Table4131230[[#This Row],[10 - Post 15min]]*$Y$26)</f>
        <v>#DIV/0!</v>
      </c>
      <c r="AB22" s="6" t="e">
        <f>Table4131230[[#This Row],[2 - Post 20min]]*$Y$27/(Table4131230[[#This Row],[10 - Post 20min]]*$Y$26)</f>
        <v>#DIV/0!</v>
      </c>
      <c r="AC22" s="6" t="e">
        <f>-$Y$29/LN((Table131531[[#This Row],[G Pre]]-1)/(Table131531[[#This Row],[G Pre]]*$Z$26-$Z$27))</f>
        <v>#DIV/0!</v>
      </c>
      <c r="AD22" s="6" t="e">
        <f>-$Y$29/LN((Table131531[[#This Row],[G 5min]]-1)/(Table131531[[#This Row],[G 5min]]*$Z$26-$Z$27))</f>
        <v>#DIV/0!</v>
      </c>
      <c r="AE22" s="6" t="e">
        <f>-$Y$29/LN((Table131531[[#This Row],[G 10min]]-1)/(Table131531[[#This Row],[G 10min]]*$Z$26-$Z$27))</f>
        <v>#DIV/0!</v>
      </c>
      <c r="AF22" s="6" t="e">
        <f>-$Y$29/LN((Table131531[[#This Row],[G 15min]]-1)/(Table131531[[#This Row],[G 15min]]*$Z$26-$Z$27))</f>
        <v>#DIV/0!</v>
      </c>
      <c r="AG22" s="6" t="e">
        <f>-$Y$29/LN((Table131531[[#This Row],[G 20min]]-1)/(Table131531[[#This Row],[G 20min]]*$Z$26-$Z$27))</f>
        <v>#DIV/0!</v>
      </c>
    </row>
    <row r="23" spans="1:33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6">
        <f>Table4131230[[#This Row],[2 - Pre]]*$Y$27/(Table4131230[[#This Row],[10 - pre]]*$Y$26)</f>
        <v>1.3380704444072569</v>
      </c>
      <c r="Y23" s="6">
        <f>Table4131230[[#This Row],[2 - Post 5min]]*$Y$27/(Table4131230[[#This Row],[10 - Post 5min]]*$Y$26)</f>
        <v>0.6211020799720649</v>
      </c>
      <c r="Z23" s="6">
        <f>Table4131230[[#This Row],[2 - Post 10min]]*$Y$27/(Table4131230[[#This Row],[10 - Post 10min]]*$Y$26)</f>
        <v>0.58927846066646894</v>
      </c>
      <c r="AA23" s="6">
        <f>Table4131230[[#This Row],[2 - Post 15min]]*$Y$27/(Table4131230[[#This Row],[10 - Post 15min]]*$Y$26)</f>
        <v>0.4255430917564314</v>
      </c>
      <c r="AB23" s="6">
        <f>Table4131230[[#This Row],[2 - Post 20min]]*$Y$27/(Table4131230[[#This Row],[10 - Post 20min]]*$Y$26)</f>
        <v>0.47547072229339005</v>
      </c>
      <c r="AC23" s="6">
        <f>-$Y$29/LN((Table131531[[#This Row],[G Pre]]-1)/(Table131531[[#This Row],[G Pre]]*$Z$26-$Z$27))</f>
        <v>3.8897800838098955</v>
      </c>
      <c r="AD23" s="6">
        <f>-$Y$29/LN((Table131531[[#This Row],[G 5min]]-1)/(Table131531[[#This Row],[G 5min]]*$Z$26-$Z$27))</f>
        <v>-4.0619694719356172</v>
      </c>
      <c r="AE23" s="6">
        <f>-$Y$29/LN((Table131531[[#This Row],[G 10min]]-1)/(Table131531[[#This Row],[G 10min]]*$Z$26-$Z$27))</f>
        <v>-4.4041542260278446</v>
      </c>
      <c r="AF23" s="6">
        <f>-$Y$29/LN((Table131531[[#This Row],[G 15min]]-1)/(Table131531[[#This Row],[G 15min]]*$Z$26-$Z$27))</f>
        <v>-6.15060781532015</v>
      </c>
      <c r="AG23" s="6">
        <f>-$Y$29/LN((Table131531[[#This Row],[G 20min]]-1)/(Table131531[[#This Row],[G 20min]]*$Z$26-$Z$27))</f>
        <v>-5.6205505242602429</v>
      </c>
    </row>
    <row r="24" spans="1:33">
      <c r="X24" s="12"/>
      <c r="Y24" s="12"/>
      <c r="Z24" s="12"/>
      <c r="AA24" s="12"/>
      <c r="AB24" s="12"/>
    </row>
    <row r="25" spans="1:33">
      <c r="L25" t="s">
        <v>74</v>
      </c>
      <c r="M25">
        <v>4.7130000000000001</v>
      </c>
      <c r="X25" s="2" t="s">
        <v>32</v>
      </c>
      <c r="Y25" s="2" t="s">
        <v>33</v>
      </c>
      <c r="Z25" s="2" t="s">
        <v>34</v>
      </c>
      <c r="AA25" s="2" t="s">
        <v>35</v>
      </c>
    </row>
    <row r="26" spans="1:33">
      <c r="L26" t="s">
        <v>75</v>
      </c>
      <c r="M26">
        <v>4.8760000000000003</v>
      </c>
      <c r="X26" s="2">
        <v>2</v>
      </c>
      <c r="Y26" s="2">
        <f>SIN(X26*PI()/180)</f>
        <v>3.4899496702500969E-2</v>
      </c>
      <c r="Z26" s="2">
        <f>COS(X26*PI()/180)</f>
        <v>0.99939082701909576</v>
      </c>
      <c r="AA26" s="2">
        <f>TAN(X26*PI()/180)/2</f>
        <v>1.7460384745873865E-2</v>
      </c>
      <c r="AC26">
        <f>Y26*(1-Z27)/((Y27*(1-Z26)))</f>
        <v>5.0122221765268851</v>
      </c>
    </row>
    <row r="27" spans="1:33">
      <c r="X27" s="2">
        <v>10</v>
      </c>
      <c r="Y27" s="2">
        <f>SIN(X27*PI()/180)</f>
        <v>0.17364817766693033</v>
      </c>
      <c r="Z27" s="2">
        <f>COS(X27*PI()/180)</f>
        <v>0.98480775301220802</v>
      </c>
      <c r="AA27" s="2">
        <f>TAN(X27*PI()/180)/2</f>
        <v>8.8163490354232488E-2</v>
      </c>
    </row>
    <row r="28" spans="1:33">
      <c r="X28" s="2"/>
      <c r="Y28" s="2"/>
      <c r="Z28" s="2"/>
      <c r="AA28" s="2"/>
    </row>
    <row r="29" spans="1:33">
      <c r="X29" s="2" t="s">
        <v>29</v>
      </c>
      <c r="Y29" s="2">
        <v>0.16200000000000001</v>
      </c>
      <c r="Z29" s="2"/>
      <c r="AA29" s="2"/>
    </row>
    <row r="30" spans="1:33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L30" s="2"/>
      <c r="M30" s="2" t="s">
        <v>76</v>
      </c>
      <c r="N30" s="2" t="s">
        <v>79</v>
      </c>
      <c r="O30" s="2" t="s">
        <v>77</v>
      </c>
      <c r="P30" s="2" t="s">
        <v>78</v>
      </c>
      <c r="Q30" s="2" t="s">
        <v>80</v>
      </c>
      <c r="R30" s="2" t="s">
        <v>81</v>
      </c>
      <c r="S30" s="2" t="s">
        <v>82</v>
      </c>
      <c r="T30" s="2" t="s">
        <v>83</v>
      </c>
      <c r="U30" s="2" t="s">
        <v>84</v>
      </c>
      <c r="V30" s="2" t="s">
        <v>85</v>
      </c>
      <c r="X30" s="1" t="s">
        <v>49</v>
      </c>
      <c r="Y30" s="1" t="s">
        <v>50</v>
      </c>
      <c r="Z30" s="1" t="s">
        <v>51</v>
      </c>
      <c r="AA30" s="1" t="s">
        <v>52</v>
      </c>
      <c r="AB30" s="1" t="s">
        <v>53</v>
      </c>
      <c r="AC30" s="1" t="s">
        <v>54</v>
      </c>
      <c r="AD30" s="1" t="s">
        <v>55</v>
      </c>
      <c r="AE30" s="1" t="s">
        <v>56</v>
      </c>
      <c r="AF30" s="1" t="s">
        <v>57</v>
      </c>
      <c r="AG30" s="1" t="s">
        <v>58</v>
      </c>
    </row>
    <row r="31" spans="1:33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L31" s="5"/>
      <c r="M31" s="5" t="e">
        <f>Table413162632[[#This Row],[10 - pre]]/$M$25</f>
        <v>#DIV/0!</v>
      </c>
      <c r="N31" s="5" t="e">
        <f>Table413162632[[#This Row],[10 - pre]]/$M$32</f>
        <v>#DIV/0!</v>
      </c>
      <c r="O31" s="5" t="e">
        <f>Table413162632[[#This Row],[10 - Post 5min]]/$M$26</f>
        <v>#DIV/0!</v>
      </c>
      <c r="P31" s="5" t="e">
        <f>Table413162632[[#This Row],[10 - Post 5min]]/$O$32</f>
        <v>#DIV/0!</v>
      </c>
      <c r="Q31" s="5" t="e">
        <f>Table413162632[[#This Row],[10 - Post 10min]]/$M$26</f>
        <v>#DIV/0!</v>
      </c>
      <c r="R31" s="5" t="e">
        <f>Table413162632[[#This Row],[10 - Post 10min]]/$Q$32</f>
        <v>#DIV/0!</v>
      </c>
      <c r="S31" s="5" t="e">
        <f>Table413162632[[#This Row],[10 - Post 15min]]/$M$26</f>
        <v>#DIV/0!</v>
      </c>
      <c r="T31" s="5" t="e">
        <f>Table413162632[[#This Row],[10 - Post 15min]]/$S$32</f>
        <v>#DIV/0!</v>
      </c>
      <c r="U31" s="5" t="e">
        <f>Table413162632[[#This Row],[10 - Post 20min]]/$M$26</f>
        <v>#DIV/0!</v>
      </c>
      <c r="V31" s="5" t="e">
        <f>Table413162632[[#This Row],[10 - Post 20min]]/$U$32</f>
        <v>#DIV/0!</v>
      </c>
      <c r="X31" s="6" t="e">
        <f>1*$Y$27/(Table2835[[#This Row],[S10 pre]]*$Y$26)</f>
        <v>#DIV/0!</v>
      </c>
      <c r="Y31" s="6" t="e">
        <f>1*$Y$27/(Table2835[[#This Row],[S10 5 min]]*$Y$26)</f>
        <v>#DIV/0!</v>
      </c>
      <c r="Z31" s="6" t="e">
        <f>1*$Y$27/(Table2835[[#This Row],[S 10]]*$Y$26)</f>
        <v>#DIV/0!</v>
      </c>
      <c r="AA31" s="6" t="e">
        <f>1*$Y$27/(Table2835[[#This Row],[S 15]]*$Y$26)</f>
        <v>#DIV/0!</v>
      </c>
      <c r="AB31" s="6" t="e">
        <f>1*$Y$27/(Table2835[[#This Row],[S 20]]*$Y$26)</f>
        <v>#DIV/0!</v>
      </c>
      <c r="AC31" s="6" t="e">
        <f>-$Y$29/LN((Table13172733[[#This Row],[G Pre]]-1)/(Table13172733[[#This Row],[G Pre]]*$Z$26-$Z$27))</f>
        <v>#DIV/0!</v>
      </c>
      <c r="AD31" s="6" t="e">
        <f>-$Y$29/LN((Table13172733[[#This Row],[G 5min]]-1)/(Table13172733[[#This Row],[G 5min]]*$Z$26-$Z$27))</f>
        <v>#DIV/0!</v>
      </c>
      <c r="AE31" s="6" t="e">
        <f>-$Y$29/LN((Table13172733[[#This Row],[G 10min]]-1)/(Table13172733[[#This Row],[G 10min]]*$Z$26-$Z$27))</f>
        <v>#DIV/0!</v>
      </c>
      <c r="AF31" s="6" t="e">
        <f>-$Y$29/LN((Table13172733[[#This Row],[G 15min]]-1)/(Table13172733[[#This Row],[G 15min]]*$Z$26-$Z$27))</f>
        <v>#DIV/0!</v>
      </c>
      <c r="AG31" s="6" t="e">
        <f>-$Y$29/LN((Table13172733[[#This Row],[G 20min]]-1)/(Table13172733[[#This Row],[G 20min]]*$Z$26-$Z$27))</f>
        <v>#DIV/0!</v>
      </c>
    </row>
    <row r="32" spans="1:33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L32" s="5"/>
      <c r="M32" s="5">
        <f>Table413162632[[#This Row],[10 - pre]]/$M$25</f>
        <v>0.81159843820433242</v>
      </c>
      <c r="N32" s="5">
        <f>Table413162632[[#This Row],[10 - pre]]/$M$32</f>
        <v>4.7130000000000001</v>
      </c>
      <c r="O32" s="5">
        <f>Table413162632[[#This Row],[10 - Post 5min]]/$M$26</f>
        <v>1.8188532736449734</v>
      </c>
      <c r="P32" s="5">
        <f>Table413162632[[#This Row],[10 - Post 5min]]/$O$32</f>
        <v>4.8760000000000003</v>
      </c>
      <c r="Q32" s="5">
        <f>Table413162632[[#This Row],[10 - Post 10min]]/$M$26</f>
        <v>1.6827876958598624</v>
      </c>
      <c r="R32" s="5">
        <f>Table413162632[[#This Row],[10 - Post 10min]]/$Q$32</f>
        <v>4.8760000000000003</v>
      </c>
      <c r="S32" s="5">
        <f>Table413162632[[#This Row],[10 - Post 15min]]/$M$26</f>
        <v>1.9776823315632124</v>
      </c>
      <c r="T32" s="5">
        <f>Table413162632[[#This Row],[10 - Post 15min]]/$S$32</f>
        <v>4.8760000000000003</v>
      </c>
      <c r="U32" s="5">
        <f>Table413162632[[#This Row],[10 - Post 20min]]/$M$26</f>
        <v>2.482533823888617</v>
      </c>
      <c r="V32" s="5">
        <f>Table413162632[[#This Row],[10 - Post 20min]]/$U$32</f>
        <v>4.8760000000000003</v>
      </c>
      <c r="X32" s="6">
        <f>1*$Y$27/(Table2835[[#This Row],[S10 pre]]*$Y$26)</f>
        <v>1.0557318561431761</v>
      </c>
      <c r="Y32" s="6">
        <f>1*$Y$27/(Table2835[[#This Row],[S10 5 min]]*$Y$26)</f>
        <v>1.0204397534870362</v>
      </c>
      <c r="Z32" s="6">
        <f>1*$Y$27/(Table2835[[#This Row],[S 10]]*$Y$26)</f>
        <v>1.0204397534870362</v>
      </c>
      <c r="AA32" s="6">
        <f>1*$Y$27/(Table2835[[#This Row],[S 15]]*$Y$26)</f>
        <v>1.0204397534870362</v>
      </c>
      <c r="AB32" s="6">
        <f>1*$Y$27/(Table2835[[#This Row],[S 20]]*$Y$26)</f>
        <v>1.0204397534870362</v>
      </c>
      <c r="AC32" s="6">
        <f>-$Y$29/LN((Table13172733[[#This Row],[G Pre]]-1)/(Table13172733[[#This Row],[G Pre]]*$Z$26-$Z$27))</f>
        <v>0.69842849968662957</v>
      </c>
      <c r="AD32" s="6">
        <f>-$Y$29/LN((Table13172733[[#This Row],[G 5min]]-1)/(Table13172733[[#This Row],[G 5min]]*$Z$26-$Z$27))</f>
        <v>0.30102416560297762</v>
      </c>
      <c r="AE32" s="6">
        <f>-$Y$29/LN((Table13172733[[#This Row],[G 10min]]-1)/(Table13172733[[#This Row],[G 10min]]*$Z$26-$Z$27))</f>
        <v>0.30102416560297762</v>
      </c>
      <c r="AF32" s="6">
        <f>-$Y$29/LN((Table13172733[[#This Row],[G 15min]]-1)/(Table13172733[[#This Row],[G 15min]]*$Z$26-$Z$27))</f>
        <v>0.30102416560297762</v>
      </c>
      <c r="AG32" s="6">
        <f>-$Y$29/LN((Table13172733[[#This Row],[G 20min]]-1)/(Table13172733[[#This Row],[G 20min]]*$Z$26-$Z$27))</f>
        <v>0.30102416560297762</v>
      </c>
    </row>
    <row r="33" spans="1:33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L33" s="5"/>
      <c r="M33" s="5">
        <f>Table413162632[[#This Row],[10 - pre]]/$M$25</f>
        <v>1.0783464824685673</v>
      </c>
      <c r="N33" s="5">
        <f>Table413162632[[#This Row],[10 - pre]]/$M$32</f>
        <v>6.2620216262599859</v>
      </c>
      <c r="O33" s="5">
        <f>Table413162632[[#This Row],[10 - Post 5min]]/$M$26</f>
        <v>0.78551451731139421</v>
      </c>
      <c r="P33" s="5">
        <f>Table413162632[[#This Row],[10 - Post 5min]]/$O$32</f>
        <v>2.1058151539264727</v>
      </c>
      <c r="Q33" s="5">
        <f>Table413162632[[#This Row],[10 - Post 10min]]/$M$26</f>
        <v>2.5558995199580283</v>
      </c>
      <c r="R33" s="5">
        <f>Table413162632[[#This Row],[10 - Post 10min]]/$Q$32</f>
        <v>7.4059051477359947</v>
      </c>
      <c r="S33" s="5">
        <f>Table413162632[[#This Row],[10 - Post 15min]]/$M$26</f>
        <v>2.7053750990330609</v>
      </c>
      <c r="T33" s="5">
        <f>Table413162632[[#This Row],[10 - Post 15min]]/$S$32</f>
        <v>6.6701354268854525</v>
      </c>
      <c r="U33" s="5">
        <f>Table413162632[[#This Row],[10 - Post 20min]]/$M$26</f>
        <v>2.3032676038244513</v>
      </c>
      <c r="V33" s="5">
        <f>Table413162632[[#This Row],[10 - Post 20min]]/$U$32</f>
        <v>4.5238992227128305</v>
      </c>
      <c r="X33" s="6">
        <f>1*$Y$27/(Table2835[[#This Row],[S10 pre]]*$Y$26)</f>
        <v>0.79457793903763985</v>
      </c>
      <c r="Y33" s="6">
        <f>1*$Y$27/(Table2835[[#This Row],[S10 5 min]]*$Y$26)</f>
        <v>2.3628209858425779</v>
      </c>
      <c r="Z33" s="6">
        <f>1*$Y$27/(Table2835[[#This Row],[S 10]]*$Y$26)</f>
        <v>0.67185092689498771</v>
      </c>
      <c r="AA33" s="6">
        <f>1*$Y$27/(Table2835[[#This Row],[S 15]]*$Y$26)</f>
        <v>0.74596150146326512</v>
      </c>
      <c r="AB33" s="6">
        <f>1*$Y$27/(Table2835[[#This Row],[S 20]]*$Y$26)</f>
        <v>1.0998618654062435</v>
      </c>
      <c r="AC33" s="6">
        <f>-$Y$29/LN((Table13172733[[#This Row],[G Pre]]-1)/(Table13172733[[#This Row],[G Pre]]*$Z$26-$Z$27))</f>
        <v>-2.1805682039745902</v>
      </c>
      <c r="AD33" s="6">
        <f>-$Y$29/LN((Table13172733[[#This Row],[G 5min]]-1)/(Table13172733[[#This Row],[G 5min]]*$Z$26-$Z$27))</f>
        <v>16.134010781005607</v>
      </c>
      <c r="AE33" s="6">
        <f>-$Y$29/LN((Table13172733[[#This Row],[G 10min]]-1)/(Table13172733[[#This Row],[G 10min]]*$Z$26-$Z$27))</f>
        <v>-3.5144167552198056</v>
      </c>
      <c r="AF33" s="6">
        <f>-$Y$29/LN((Table13172733[[#This Row],[G 15min]]-1)/(Table13172733[[#This Row],[G 15min]]*$Z$26-$Z$27))</f>
        <v>-2.7106154447336674</v>
      </c>
      <c r="AG33" s="6">
        <f>-$Y$29/LN((Table13172733[[#This Row],[G 20min]]-1)/(Table13172733[[#This Row],[G 20min]]*$Z$26-$Z$27))</f>
        <v>1.193156997918041</v>
      </c>
    </row>
    <row r="34" spans="1:33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L34" s="5"/>
      <c r="M34" s="5">
        <f>Table413162632[[#This Row],[10 - pre]]/$M$25</f>
        <v>0.95332577345865144</v>
      </c>
      <c r="N34" s="5">
        <f>Table413162632[[#This Row],[10 - pre]]/$M$32</f>
        <v>5.5360189951221122</v>
      </c>
      <c r="O34" s="5">
        <f>Table413162632[[#This Row],[10 - Post 5min]]/$M$26</f>
        <v>2.3081600777387834</v>
      </c>
      <c r="P34" s="5">
        <f>Table413162632[[#This Row],[10 - Post 5min]]/$O$32</f>
        <v>6.1877385615059355</v>
      </c>
      <c r="Q34" s="5">
        <f>Table413162632[[#This Row],[10 - Post 10min]]/$M$26</f>
        <v>2.1589966977769763</v>
      </c>
      <c r="R34" s="5">
        <f>Table413162632[[#This Row],[10 - Post 10min]]/$Q$32</f>
        <v>6.2558502919058769</v>
      </c>
      <c r="S34" s="5">
        <f>Table413162632[[#This Row],[10 - Post 15min]]/$M$26</f>
        <v>2.9655402763722272</v>
      </c>
      <c r="T34" s="5">
        <f>Table413162632[[#This Row],[10 - Post 15min]]/$S$32</f>
        <v>7.3115758566551152</v>
      </c>
      <c r="U34" s="5">
        <f>Table413162632[[#This Row],[10 - Post 20min]]/$M$26</f>
        <v>2.5323264651344175</v>
      </c>
      <c r="V34" s="5">
        <f>Table413162632[[#This Row],[10 - Post 20min]]/$U$32</f>
        <v>4.9737988361641818</v>
      </c>
      <c r="X34" s="6">
        <f>1*$Y$27/(Table2835[[#This Row],[S10 pre]]*$Y$26)</f>
        <v>0.89878019609162063</v>
      </c>
      <c r="Y34" s="6">
        <f>1*$Y$27/(Table2835[[#This Row],[S10 5 min]]*$Y$26)</f>
        <v>0.8041167525978733</v>
      </c>
      <c r="Z34" s="6">
        <f>1*$Y$27/(Table2835[[#This Row],[S 10]]*$Y$26)</f>
        <v>0.7953617823048843</v>
      </c>
      <c r="AA34" s="6">
        <f>1*$Y$27/(Table2835[[#This Row],[S 15]]*$Y$26)</f>
        <v>0.68051871929549346</v>
      </c>
      <c r="AB34" s="6">
        <f>1*$Y$27/(Table2835[[#This Row],[S 20]]*$Y$26)</f>
        <v>1.0003750456944587</v>
      </c>
      <c r="AC34" s="6">
        <f>-$Y$29/LN((Table13172733[[#This Row],[G Pre]]-1)/(Table13172733[[#This Row],[G Pre]]*$Z$26-$Z$27))</f>
        <v>-1.0365841578038706</v>
      </c>
      <c r="AD34" s="6">
        <f>-$Y$29/LN((Table13172733[[#This Row],[G 5min]]-1)/(Table13172733[[#This Row],[G 5min]]*$Z$26-$Z$27))</f>
        <v>-2.0763076322147356</v>
      </c>
      <c r="AE34" s="6">
        <f>-$Y$29/LN((Table13172733[[#This Row],[G 10min]]-1)/(Table13172733[[#This Row],[G 10min]]*$Z$26-$Z$27))</f>
        <v>-2.1720039759765131</v>
      </c>
      <c r="AF34" s="6">
        <f>-$Y$29/LN((Table13172733[[#This Row],[G 15min]]-1)/(Table13172733[[#This Row],[G 15min]]*$Z$26-$Z$27))</f>
        <v>-3.4206641919048999</v>
      </c>
      <c r="AG34" s="6">
        <f>-$Y$29/LN((Table13172733[[#This Row],[G 20min]]-1)/(Table13172733[[#This Row],[G 20min]]*$Z$26-$Z$27))</f>
        <v>4.3950720369583425E-2</v>
      </c>
    </row>
    <row r="35" spans="1:33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L35" s="5"/>
      <c r="M35" s="5">
        <f>Table413162632[[#This Row],[10 - pre]]/$M$25</f>
        <v>1.0151771750710084</v>
      </c>
      <c r="N35" s="5">
        <f>Table413162632[[#This Row],[10 - pre]]/$M$32</f>
        <v>5.8951937323776402</v>
      </c>
      <c r="O35" s="5">
        <f>Table413162632[[#This Row],[10 - Post 5min]]/$M$26</f>
        <v>1.2814185108072238</v>
      </c>
      <c r="P35" s="5">
        <f>Table413162632[[#This Row],[10 - Post 5min]]/$O$32</f>
        <v>3.4352395265917557</v>
      </c>
      <c r="Q35" s="5">
        <f>Table413162632[[#This Row],[10 - Post 10min]]/$M$26</f>
        <v>1.5426918714790239</v>
      </c>
      <c r="R35" s="5">
        <f>Table413162632[[#This Row],[10 - Post 10min]]/$Q$32</f>
        <v>4.4700621378670604</v>
      </c>
      <c r="S35" s="5">
        <f>Table413162632[[#This Row],[10 - Post 15min]]/$M$26</f>
        <v>2.2366175693908734</v>
      </c>
      <c r="T35" s="5">
        <f>Table413162632[[#This Row],[10 - Post 15min]]/$S$32</f>
        <v>5.5144079988466643</v>
      </c>
      <c r="U35" s="5">
        <f>Table413162632[[#This Row],[10 - Post 20min]]/$M$26</f>
        <v>2.8667419294515062</v>
      </c>
      <c r="V35" s="5">
        <f>Table413162632[[#This Row],[10 - Post 20min]]/$U$32</f>
        <v>5.6306317011665827</v>
      </c>
      <c r="X35" s="6">
        <f>1*$Y$27/(Table2835[[#This Row],[S10 pre]]*$Y$26)</f>
        <v>0.84402047903453914</v>
      </c>
      <c r="Y35" s="6">
        <f>1*$Y$27/(Table2835[[#This Row],[S10 5 min]]*$Y$26)</f>
        <v>1.4484184289004594</v>
      </c>
      <c r="Z35" s="6">
        <f>1*$Y$27/(Table2835[[#This Row],[S 10]]*$Y$26)</f>
        <v>1.1131085171842783</v>
      </c>
      <c r="AA35" s="6">
        <f>1*$Y$27/(Table2835[[#This Row],[S 15]]*$Y$26)</f>
        <v>0.90230252078617434</v>
      </c>
      <c r="AB35" s="6">
        <f>1*$Y$27/(Table2835[[#This Row],[S 20]]*$Y$26)</f>
        <v>0.88367780065812263</v>
      </c>
      <c r="AC35" s="6">
        <f>-$Y$29/LN((Table13172733[[#This Row],[G Pre]]-1)/(Table13172733[[#This Row],[G Pre]]*$Z$26-$Z$27))</f>
        <v>-1.6391896026034574</v>
      </c>
      <c r="AD35" s="6">
        <f>-$Y$29/LN((Table13172733[[#This Row],[G 5min]]-1)/(Table13172733[[#This Row],[G 5min]]*$Z$26-$Z$27))</f>
        <v>5.1570430346388534</v>
      </c>
      <c r="AE35" s="6">
        <f>-$Y$29/LN((Table13172733[[#This Row],[G 10min]]-1)/(Table13172733[[#This Row],[G 10min]]*$Z$26-$Z$27))</f>
        <v>1.341831844513405</v>
      </c>
      <c r="AF35" s="6">
        <f>-$Y$29/LN((Table13172733[[#This Row],[G 15min]]-1)/(Table13172733[[#This Row],[G 15min]]*$Z$26-$Z$27))</f>
        <v>-0.99769645206344515</v>
      </c>
      <c r="AG35" s="6">
        <f>-$Y$29/LN((Table13172733[[#This Row],[G 20min]]-1)/(Table13172733[[#This Row],[G 20min]]*$Z$26-$Z$27))</f>
        <v>-1.2031307045301929</v>
      </c>
    </row>
    <row r="36" spans="1:33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L36" s="5"/>
      <c r="M36" s="5">
        <f>Table413162632[[#This Row],[10 - pre]]/$M$25</f>
        <v>0.92773728934014099</v>
      </c>
      <c r="N36" s="5">
        <f>Table413162632[[#This Row],[10 - pre]]/$M$32</f>
        <v>5.387425158597039</v>
      </c>
      <c r="O36" s="5">
        <f>Table413162632[[#This Row],[10 - Post 5min]]/$M$26</f>
        <v>1.5649729954055722</v>
      </c>
      <c r="P36" s="5">
        <f>Table413162632[[#This Row],[10 - Post 5min]]/$O$32</f>
        <v>4.195395217507274</v>
      </c>
      <c r="Q36" s="5">
        <f>Table413162632[[#This Row],[10 - Post 10min]]/$M$26</f>
        <v>1.5500237778162407</v>
      </c>
      <c r="R36" s="5">
        <f>Table413162632[[#This Row],[10 - Post 10min]]/$Q$32</f>
        <v>4.4913068708706501</v>
      </c>
      <c r="S36" s="5">
        <f>Table413162632[[#This Row],[10 - Post 15min]]/$M$26</f>
        <v>1.7179194649988045</v>
      </c>
      <c r="T36" s="5">
        <f>Table413162632[[#This Row],[10 - Post 15min]]/$S$32</f>
        <v>4.2355514723707444</v>
      </c>
      <c r="U36" s="5">
        <f>Table413162632[[#This Row],[10 - Post 20min]]/$M$26</f>
        <v>1.3867111328347161</v>
      </c>
      <c r="V36" s="5">
        <f>Table413162632[[#This Row],[10 - Post 20min]]/$U$32</f>
        <v>2.7236702350789188</v>
      </c>
      <c r="X36" s="6">
        <f>1*$Y$27/(Table2835[[#This Row],[S10 pre]]*$Y$26)</f>
        <v>0.92356999708159693</v>
      </c>
      <c r="Y36" s="6">
        <f>1*$Y$27/(Table2835[[#This Row],[S10 5 min]]*$Y$26)</f>
        <v>1.185982244828681</v>
      </c>
      <c r="Z36" s="6">
        <f>1*$Y$27/(Table2835[[#This Row],[S 10]]*$Y$26)</f>
        <v>1.1078433028643722</v>
      </c>
      <c r="AA36" s="6">
        <f>1*$Y$27/(Table2835[[#This Row],[S 15]]*$Y$26)</f>
        <v>1.1747382295929896</v>
      </c>
      <c r="AB36" s="6">
        <f>1*$Y$27/(Table2835[[#This Row],[S 20]]*$Y$26)</f>
        <v>1.8268232967118423</v>
      </c>
      <c r="AC36" s="6">
        <f>-$Y$29/LN((Table13172733[[#This Row],[G Pre]]-1)/(Table13172733[[#This Row],[G Pre]]*$Z$26-$Z$27))</f>
        <v>-0.7624750129956186</v>
      </c>
      <c r="AD36" s="6">
        <f>-$Y$29/LN((Table13172733[[#This Row],[G 5min]]-1)/(Table13172733[[#This Row],[G 5min]]*$Z$26-$Z$27))</f>
        <v>2.1621990295380327</v>
      </c>
      <c r="AE36" s="6">
        <f>-$Y$29/LN((Table13172733[[#This Row],[G 10min]]-1)/(Table13172733[[#This Row],[G 10min]]*$Z$26-$Z$27))</f>
        <v>1.2827231388897</v>
      </c>
      <c r="AF36" s="6">
        <f>-$Y$29/LN((Table13172733[[#This Row],[G 15min]]-1)/(Table13172733[[#This Row],[G 15min]]*$Z$26-$Z$27))</f>
        <v>2.0353252064401639</v>
      </c>
      <c r="AG36" s="6">
        <f>-$Y$29/LN((Table13172733[[#This Row],[G 20min]]-1)/(Table13172733[[#This Row],[G 20min]]*$Z$26-$Z$27))</f>
        <v>9.5943462108284265</v>
      </c>
    </row>
    <row r="37" spans="1:33">
      <c r="A37" s="2" t="s">
        <v>7</v>
      </c>
      <c r="B37" s="5" t="e">
        <f t="shared" si="0"/>
        <v>#DIV/0!</v>
      </c>
      <c r="C37" s="5" t="e">
        <f t="shared" si="1"/>
        <v>#DIV/0!</v>
      </c>
      <c r="D37" s="5" t="e">
        <f t="shared" si="0"/>
        <v>#DIV/0!</v>
      </c>
      <c r="E37" s="5" t="e">
        <f t="shared" si="1"/>
        <v>#DIV/0!</v>
      </c>
      <c r="F37" s="5" t="e">
        <f t="shared" si="0"/>
        <v>#DIV/0!</v>
      </c>
      <c r="G37" s="5" t="e">
        <f t="shared" si="1"/>
        <v>#DIV/0!</v>
      </c>
      <c r="H37" s="5" t="e">
        <f t="shared" si="0"/>
        <v>#DIV/0!</v>
      </c>
      <c r="I37" s="5" t="e">
        <f t="shared" si="1"/>
        <v>#DIV/0!</v>
      </c>
      <c r="J37" s="5" t="e">
        <f t="shared" si="0"/>
        <v>#DIV/0!</v>
      </c>
      <c r="K37" s="5" t="e">
        <f t="shared" si="1"/>
        <v>#DIV/0!</v>
      </c>
      <c r="L37" s="5"/>
      <c r="M37" s="5" t="e">
        <f>Table413162632[[#This Row],[10 - pre]]/$M$25</f>
        <v>#DIV/0!</v>
      </c>
      <c r="N37" s="5" t="e">
        <f>Table413162632[[#This Row],[10 - pre]]/$M$32</f>
        <v>#DIV/0!</v>
      </c>
      <c r="O37" s="5" t="e">
        <f>Table413162632[[#This Row],[10 - Post 5min]]/$M$26</f>
        <v>#DIV/0!</v>
      </c>
      <c r="P37" s="5" t="e">
        <f>Table413162632[[#This Row],[10 - Post 5min]]/$O$32</f>
        <v>#DIV/0!</v>
      </c>
      <c r="Q37" s="5" t="e">
        <f>Table413162632[[#This Row],[10 - Post 10min]]/$M$26</f>
        <v>#DIV/0!</v>
      </c>
      <c r="R37" s="5" t="e">
        <f>Table413162632[[#This Row],[10 - Post 10min]]/$Q$32</f>
        <v>#DIV/0!</v>
      </c>
      <c r="S37" s="5" t="e">
        <f>Table413162632[[#This Row],[10 - Post 15min]]/$M$26</f>
        <v>#DIV/0!</v>
      </c>
      <c r="T37" s="5" t="e">
        <f>Table413162632[[#This Row],[10 - Post 15min]]/$S$32</f>
        <v>#DIV/0!</v>
      </c>
      <c r="U37" s="5" t="e">
        <f>Table413162632[[#This Row],[10 - Post 20min]]/$M$26</f>
        <v>#DIV/0!</v>
      </c>
      <c r="V37" s="5" t="e">
        <f>Table413162632[[#This Row],[10 - Post 20min]]/$U$32</f>
        <v>#DIV/0!</v>
      </c>
      <c r="X37" s="6" t="e">
        <f>1*$Y$27/(Table2835[[#This Row],[S10 pre]]*$Y$26)</f>
        <v>#DIV/0!</v>
      </c>
      <c r="Y37" s="6" t="e">
        <f>1*$Y$27/(Table2835[[#This Row],[S10 5 min]]*$Y$26)</f>
        <v>#DIV/0!</v>
      </c>
      <c r="Z37" s="6" t="e">
        <f>1*$Y$27/(Table2835[[#This Row],[S 10]]*$Y$26)</f>
        <v>#DIV/0!</v>
      </c>
      <c r="AA37" s="6" t="e">
        <f>1*$Y$27/(Table2835[[#This Row],[S 15]]*$Y$26)</f>
        <v>#DIV/0!</v>
      </c>
      <c r="AB37" s="6" t="e">
        <f>1*$Y$27/(Table2835[[#This Row],[S 20]]*$Y$26)</f>
        <v>#DIV/0!</v>
      </c>
      <c r="AC37" s="6" t="e">
        <f>-$Y$29/LN((Table13172733[[#This Row],[G Pre]]-1)/(Table13172733[[#This Row],[G Pre]]*$Z$26-$Z$27))</f>
        <v>#DIV/0!</v>
      </c>
      <c r="AD37" s="6" t="e">
        <f>-$Y$29/LN((Table13172733[[#This Row],[G 5min]]-1)/(Table13172733[[#This Row],[G 5min]]*$Z$26-$Z$27))</f>
        <v>#DIV/0!</v>
      </c>
      <c r="AE37" s="6" t="e">
        <f>-$Y$29/LN((Table13172733[[#This Row],[G 10min]]-1)/(Table13172733[[#This Row],[G 10min]]*$Z$26-$Z$27))</f>
        <v>#DIV/0!</v>
      </c>
      <c r="AF37" s="6" t="e">
        <f>-$Y$29/LN((Table13172733[[#This Row],[G 15min]]-1)/(Table13172733[[#This Row],[G 15min]]*$Z$26-$Z$27))</f>
        <v>#DIV/0!</v>
      </c>
      <c r="AG37" s="6" t="e">
        <f>-$Y$29/LN((Table13172733[[#This Row],[G 20min]]-1)/(Table13172733[[#This Row],[G 20min]]*$Z$26-$Z$27))</f>
        <v>#DIV/0!</v>
      </c>
    </row>
    <row r="38" spans="1:33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L38" s="5"/>
      <c r="M38" s="5">
        <f>Table413162632[[#This Row],[10 - pre]]/$M$25</f>
        <v>0.98106483058347205</v>
      </c>
      <c r="N38" s="5">
        <f>Table413162632[[#This Row],[10 - pre]]/$M$32</f>
        <v>5.6971013359389948</v>
      </c>
      <c r="O38" s="5">
        <f>Table413162632[[#This Row],[10 - Post 5min]]/$M$26</f>
        <v>1.6553724796916132</v>
      </c>
      <c r="P38" s="5">
        <f>Table413162632[[#This Row],[10 - Post 5min]]/$O$32</f>
        <v>4.4377390567634221</v>
      </c>
      <c r="Q38" s="5">
        <f>Table413162632[[#This Row],[10 - Post 10min]]/$M$26</f>
        <v>1.7631352947036851</v>
      </c>
      <c r="R38" s="5">
        <f>Table413162632[[#This Row],[10 - Post 10min]]/$Q$32</f>
        <v>5.1088130238451104</v>
      </c>
      <c r="S38" s="5">
        <f>Table413162632[[#This Row],[10 - Post 15min]]/$M$26</f>
        <v>2.2645666478382975</v>
      </c>
      <c r="T38" s="5">
        <f>Table413162632[[#This Row],[10 - Post 15min]]/$S$32</f>
        <v>5.5833167939219193</v>
      </c>
      <c r="U38" s="5">
        <f>Table413162632[[#This Row],[10 - Post 20min]]/$M$26</f>
        <v>2.5310258571299107</v>
      </c>
      <c r="V38" s="5">
        <f>Table413162632[[#This Row],[10 - Post 20min]]/$U$32</f>
        <v>4.9712442830020258</v>
      </c>
      <c r="X38" s="6">
        <f>1*$Y$27/(Table2835[[#This Row],[S10 pre]]*$Y$26)</f>
        <v>0.87336769079651655</v>
      </c>
      <c r="Y38" s="6">
        <f>1*$Y$27/(Table2835[[#This Row],[S10 5 min]]*$Y$26)</f>
        <v>1.121216045909579</v>
      </c>
      <c r="Z38" s="6">
        <f>1*$Y$27/(Table2835[[#This Row],[S 10]]*$Y$26)</f>
        <v>0.97393743219396423</v>
      </c>
      <c r="AA38" s="6">
        <f>1*$Y$27/(Table2835[[#This Row],[S 15]]*$Y$26)</f>
        <v>0.8911663840066123</v>
      </c>
      <c r="AB38" s="6">
        <f>1*$Y$27/(Table2835[[#This Row],[S 20]]*$Y$26)</f>
        <v>1.0008891043668637</v>
      </c>
      <c r="AC38" s="6">
        <f>-$Y$29/LN((Table13172733[[#This Row],[G Pre]]-1)/(Table13172733[[#This Row],[G Pre]]*$Z$26-$Z$27))</f>
        <v>-1.3166663671670356</v>
      </c>
      <c r="AD38" s="6">
        <f>-$Y$29/LN((Table13172733[[#This Row],[G 5min]]-1)/(Table13172733[[#This Row],[G 5min]]*$Z$26-$Z$27))</f>
        <v>1.4328881119559256</v>
      </c>
      <c r="AE38" s="6">
        <f>-$Y$29/LN((Table13172733[[#This Row],[G 10min]]-1)/(Table13172733[[#This Row],[G 10min]]*$Z$26-$Z$27))</f>
        <v>-0.19724302853709916</v>
      </c>
      <c r="AF38" s="6">
        <f>-$Y$29/LN((Table13172733[[#This Row],[G 15min]]-1)/(Table13172733[[#This Row],[G 15min]]*$Z$26-$Z$27))</f>
        <v>-1.1205849248471491</v>
      </c>
      <c r="AG38" s="6">
        <f>-$Y$29/LN((Table13172733[[#This Row],[G 20min]]-1)/(Table13172733[[#This Row],[G 20min]]*$Z$26-$Z$27))</f>
        <v>5.6711785297647185E-2</v>
      </c>
    </row>
    <row r="39" spans="1:33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L39" s="5"/>
      <c r="M39" s="5">
        <f>Table413162632[[#This Row],[10 - pre]]/$M$25</f>
        <v>0.86180297344740875</v>
      </c>
      <c r="N39" s="5">
        <f>Table413162632[[#This Row],[10 - pre]]/$M$32</f>
        <v>5.0045406972986903</v>
      </c>
      <c r="O39" s="5" t="e">
        <f>Table413162632[[#This Row],[10 - Post 5min]]/$M$26</f>
        <v>#DIV/0!</v>
      </c>
      <c r="P39" s="5" t="e">
        <f>Table413162632[[#This Row],[10 - Post 5min]]/$O$32</f>
        <v>#DIV/0!</v>
      </c>
      <c r="Q39" s="5">
        <f>Table413162632[[#This Row],[10 - Post 10min]]/$M$26</f>
        <v>2.100566288155604</v>
      </c>
      <c r="R39" s="5">
        <f>Table413162632[[#This Row],[10 - Post 10min]]/$Q$32</f>
        <v>6.0865439212836261</v>
      </c>
      <c r="S39" s="5">
        <f>Table413162632[[#This Row],[10 - Post 15min]]/$M$26</f>
        <v>2.7151571680785391</v>
      </c>
      <c r="T39" s="5">
        <f>Table413162632[[#This Row],[10 - Post 15min]]/$S$32</f>
        <v>6.6942532378728474</v>
      </c>
      <c r="U39" s="5">
        <f>Table413162632[[#This Row],[10 - Post 20min]]/$M$26</f>
        <v>3.9050124932358705</v>
      </c>
      <c r="V39" s="5">
        <f>Table413162632[[#This Row],[10 - Post 20min]]/$U$32</f>
        <v>7.6699220505252637</v>
      </c>
      <c r="X39" s="6">
        <f>1*$Y$27/(Table2835[[#This Row],[S10 pre]]*$Y$26)</f>
        <v>0.99422994815258703</v>
      </c>
      <c r="Y39" s="6" t="e">
        <f>1*$Y$27/(Table2835[[#This Row],[S10 5 min]]*$Y$26)</f>
        <v>#DIV/0!</v>
      </c>
      <c r="Z39" s="6">
        <f>1*$Y$27/(Table2835[[#This Row],[S 10]]*$Y$26)</f>
        <v>0.81748596614964419</v>
      </c>
      <c r="AA39" s="6">
        <f>1*$Y$27/(Table2835[[#This Row],[S 15]]*$Y$26)</f>
        <v>0.74327397861988354</v>
      </c>
      <c r="AB39" s="6">
        <f>1*$Y$27/(Table2835[[#This Row],[S 20]]*$Y$26)</f>
        <v>0.64872422499548577</v>
      </c>
      <c r="AC39" s="6" t="e">
        <f>-$Y$29/LN((Table13172733[[#This Row],[G Pre]]-1)/(Table13172733[[#This Row],[G Pre]]*$Z$26-$Z$27))</f>
        <v>#NUM!</v>
      </c>
      <c r="AD39" s="6" t="e">
        <f>-$Y$29/LN((Table13172733[[#This Row],[G 5min]]-1)/(Table13172733[[#This Row],[G 5min]]*$Z$26-$Z$27))</f>
        <v>#DIV/0!</v>
      </c>
      <c r="AE39" s="6">
        <f>-$Y$29/LN((Table13172733[[#This Row],[G 10min]]-1)/(Table13172733[[#This Row],[G 10min]]*$Z$26-$Z$27))</f>
        <v>-1.93003230456366</v>
      </c>
      <c r="AF39" s="6">
        <f>-$Y$29/LN((Table13172733[[#This Row],[G 15min]]-1)/(Table13172733[[#This Row],[G 15min]]*$Z$26-$Z$27))</f>
        <v>-2.7398521865182297</v>
      </c>
      <c r="AG39" s="6">
        <f>-$Y$29/LN((Table13172733[[#This Row],[G 20min]]-1)/(Table13172733[[#This Row],[G 20min]]*$Z$26-$Z$27))</f>
        <v>-3.7642281860597153</v>
      </c>
    </row>
    <row r="40" spans="1:33">
      <c r="A40" s="2" t="s">
        <v>10</v>
      </c>
      <c r="B40" s="5" t="e">
        <f t="shared" si="0"/>
        <v>#DIV/0!</v>
      </c>
      <c r="C40" s="5" t="e">
        <f t="shared" si="1"/>
        <v>#DIV/0!</v>
      </c>
      <c r="D40" s="5" t="e">
        <f t="shared" si="0"/>
        <v>#DIV/0!</v>
      </c>
      <c r="E40" s="5" t="e">
        <f t="shared" si="1"/>
        <v>#DIV/0!</v>
      </c>
      <c r="F40" s="5" t="e">
        <f t="shared" si="0"/>
        <v>#DIV/0!</v>
      </c>
      <c r="G40" s="5" t="e">
        <f t="shared" si="1"/>
        <v>#DIV/0!</v>
      </c>
      <c r="H40" s="5" t="e">
        <f t="shared" si="0"/>
        <v>#DIV/0!</v>
      </c>
      <c r="I40" s="5" t="e">
        <f t="shared" si="1"/>
        <v>#DIV/0!</v>
      </c>
      <c r="J40" s="5" t="e">
        <f t="shared" si="0"/>
        <v>#DIV/0!</v>
      </c>
      <c r="K40" s="5" t="e">
        <f t="shared" si="1"/>
        <v>#DIV/0!</v>
      </c>
      <c r="L40" s="5"/>
      <c r="M40" s="5" t="e">
        <f>Table413162632[[#This Row],[10 - pre]]/$M$25</f>
        <v>#DIV/0!</v>
      </c>
      <c r="N40" s="5" t="e">
        <f>Table413162632[[#This Row],[10 - pre]]/$M$32</f>
        <v>#DIV/0!</v>
      </c>
      <c r="O40" s="5" t="e">
        <f>Table413162632[[#This Row],[10 - Post 5min]]/$M$26</f>
        <v>#DIV/0!</v>
      </c>
      <c r="P40" s="5" t="e">
        <f>Table413162632[[#This Row],[10 - Post 5min]]/$O$32</f>
        <v>#DIV/0!</v>
      </c>
      <c r="Q40" s="5" t="e">
        <f>Table413162632[[#This Row],[10 - Post 10min]]/$M$26</f>
        <v>#DIV/0!</v>
      </c>
      <c r="R40" s="5" t="e">
        <f>Table413162632[[#This Row],[10 - Post 10min]]/$Q$32</f>
        <v>#DIV/0!</v>
      </c>
      <c r="S40" s="5" t="e">
        <f>Table413162632[[#This Row],[10 - Post 15min]]/$M$26</f>
        <v>#DIV/0!</v>
      </c>
      <c r="T40" s="5" t="e">
        <f>Table413162632[[#This Row],[10 - Post 15min]]/$S$32</f>
        <v>#DIV/0!</v>
      </c>
      <c r="U40" s="5" t="e">
        <f>Table413162632[[#This Row],[10 - Post 20min]]/$M$26</f>
        <v>#DIV/0!</v>
      </c>
      <c r="V40" s="5" t="e">
        <f>Table413162632[[#This Row],[10 - Post 20min]]/$U$32</f>
        <v>#DIV/0!</v>
      </c>
      <c r="X40" s="6" t="e">
        <f>1*$Y$27/(Table2835[[#This Row],[S10 pre]]*$Y$26)</f>
        <v>#DIV/0!</v>
      </c>
      <c r="Y40" s="6" t="e">
        <f>1*$Y$27/(Table2835[[#This Row],[S10 5 min]]*$Y$26)</f>
        <v>#DIV/0!</v>
      </c>
      <c r="Z40" s="6" t="e">
        <f>1*$Y$27/(Table2835[[#This Row],[S 10]]*$Y$26)</f>
        <v>#DIV/0!</v>
      </c>
      <c r="AA40" s="6" t="e">
        <f>1*$Y$27/(Table2835[[#This Row],[S 15]]*$Y$26)</f>
        <v>#DIV/0!</v>
      </c>
      <c r="AB40" s="6" t="e">
        <f>1*$Y$27/(Table2835[[#This Row],[S 20]]*$Y$26)</f>
        <v>#DIV/0!</v>
      </c>
      <c r="AC40" s="6" t="e">
        <f>-$Y$29/LN((Table13172733[[#This Row],[G Pre]]-1)/(Table13172733[[#This Row],[G Pre]]*$Z$26-$Z$27))</f>
        <v>#DIV/0!</v>
      </c>
      <c r="AD40" s="6" t="e">
        <f>-$Y$29/LN((Table13172733[[#This Row],[G 5min]]-1)/(Table13172733[[#This Row],[G 5min]]*$Z$26-$Z$27))</f>
        <v>#DIV/0!</v>
      </c>
      <c r="AE40" s="6" t="e">
        <f>-$Y$29/LN((Table13172733[[#This Row],[G 10min]]-1)/(Table13172733[[#This Row],[G 10min]]*$Z$26-$Z$27))</f>
        <v>#DIV/0!</v>
      </c>
      <c r="AF40" s="6" t="e">
        <f>-$Y$29/LN((Table13172733[[#This Row],[G 15min]]-1)/(Table13172733[[#This Row],[G 15min]]*$Z$26-$Z$27))</f>
        <v>#DIV/0!</v>
      </c>
      <c r="AG40" s="6" t="e">
        <f>-$Y$29/LN((Table13172733[[#This Row],[G 20min]]-1)/(Table13172733[[#This Row],[G 20min]]*$Z$26-$Z$27))</f>
        <v>#DIV/0!</v>
      </c>
    </row>
    <row r="41" spans="1:33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L41" s="5"/>
      <c r="M41" s="5" t="e">
        <f>Table413162632[[#This Row],[10 - pre]]/$M$25</f>
        <v>#DIV/0!</v>
      </c>
      <c r="N41" s="5" t="e">
        <f>Table413162632[[#This Row],[10 - pre]]/$M$32</f>
        <v>#DIV/0!</v>
      </c>
      <c r="O41" s="5" t="e">
        <f>Table413162632[[#This Row],[10 - Post 5min]]/$M$26</f>
        <v>#DIV/0!</v>
      </c>
      <c r="P41" s="5" t="e">
        <f>Table413162632[[#This Row],[10 - Post 5min]]/$O$32</f>
        <v>#DIV/0!</v>
      </c>
      <c r="Q41" s="5" t="e">
        <f>Table413162632[[#This Row],[10 - Post 10min]]/$M$26</f>
        <v>#DIV/0!</v>
      </c>
      <c r="R41" s="5" t="e">
        <f>Table413162632[[#This Row],[10 - Post 10min]]/$Q$32</f>
        <v>#DIV/0!</v>
      </c>
      <c r="S41" s="5" t="e">
        <f>Table413162632[[#This Row],[10 - Post 15min]]/$M$26</f>
        <v>#DIV/0!</v>
      </c>
      <c r="T41" s="5" t="e">
        <f>Table413162632[[#This Row],[10 - Post 15min]]/$S$32</f>
        <v>#DIV/0!</v>
      </c>
      <c r="U41" s="5" t="e">
        <f>Table413162632[[#This Row],[10 - Post 20min]]/$M$26</f>
        <v>#DIV/0!</v>
      </c>
      <c r="V41" s="5" t="e">
        <f>Table413162632[[#This Row],[10 - Post 20min]]/$U$32</f>
        <v>#DIV/0!</v>
      </c>
      <c r="X41" s="6" t="e">
        <f>1*$Y$27/(Table2835[[#This Row],[S10 pre]]*$Y$26)</f>
        <v>#DIV/0!</v>
      </c>
      <c r="Y41" s="6" t="e">
        <f>1*$Y$27/(Table2835[[#This Row],[S10 5 min]]*$Y$26)</f>
        <v>#DIV/0!</v>
      </c>
      <c r="Z41" s="6" t="e">
        <f>1*$Y$27/(Table2835[[#This Row],[S 10]]*$Y$26)</f>
        <v>#DIV/0!</v>
      </c>
      <c r="AA41" s="6" t="e">
        <f>1*$Y$27/(Table2835[[#This Row],[S 15]]*$Y$26)</f>
        <v>#DIV/0!</v>
      </c>
      <c r="AB41" s="6" t="e">
        <f>1*$Y$27/(Table2835[[#This Row],[S 20]]*$Y$26)</f>
        <v>#DIV/0!</v>
      </c>
      <c r="AC41" s="6" t="e">
        <f>-$Y$29/LN((Table13172733[[#This Row],[G Pre]]-1)/(Table13172733[[#This Row],[G Pre]]*$Z$26-$Z$27))</f>
        <v>#DIV/0!</v>
      </c>
      <c r="AD41" s="6" t="e">
        <f>-$Y$29/LN((Table13172733[[#This Row],[G 5min]]-1)/(Table13172733[[#This Row],[G 5min]]*$Z$26-$Z$27))</f>
        <v>#DIV/0!</v>
      </c>
      <c r="AE41" s="6" t="e">
        <f>-$Y$29/LN((Table13172733[[#This Row],[G 10min]]-1)/(Table13172733[[#This Row],[G 10min]]*$Z$26-$Z$27))</f>
        <v>#DIV/0!</v>
      </c>
      <c r="AF41" s="6" t="e">
        <f>-$Y$29/LN((Table13172733[[#This Row],[G 15min]]-1)/(Table13172733[[#This Row],[G 15min]]*$Z$26-$Z$27))</f>
        <v>#DIV/0!</v>
      </c>
      <c r="AG41" s="6" t="e">
        <f>-$Y$29/LN((Table13172733[[#This Row],[G 20min]]-1)/(Table13172733[[#This Row],[G 20min]]*$Z$26-$Z$27))</f>
        <v>#DIV/0!</v>
      </c>
    </row>
    <row r="42" spans="1:33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L42" s="5"/>
      <c r="M42" s="5">
        <f>Table413162632[[#This Row],[10 - pre]]/$M$25</f>
        <v>0.85393975399479272</v>
      </c>
      <c r="N42" s="5">
        <f>Table413162632[[#This Row],[10 - pre]]/$M$32</f>
        <v>4.9588785181523454</v>
      </c>
      <c r="O42" s="5">
        <f>Table413162632[[#This Row],[10 - Post 5min]]/$M$26</f>
        <v>1.314351408630742</v>
      </c>
      <c r="P42" s="5">
        <f>Table413162632[[#This Row],[10 - Post 5min]]/$O$32</f>
        <v>3.5235263675999207</v>
      </c>
      <c r="Q42" s="5">
        <f>Table413162632[[#This Row],[10 - Post 10min]]/$M$26</f>
        <v>1.3041576340825469</v>
      </c>
      <c r="R42" s="5">
        <f>Table413162632[[#This Row],[10 - Post 10min]]/$Q$32</f>
        <v>3.7788917992635858</v>
      </c>
      <c r="S42" s="5">
        <f>Table413162632[[#This Row],[10 - Post 15min]]/$M$26</f>
        <v>1.5992950563401187</v>
      </c>
      <c r="T42" s="5">
        <f>Table413162632[[#This Row],[10 - Post 15min]]/$S$32</f>
        <v>3.9430815405781297</v>
      </c>
      <c r="U42" s="5">
        <f>Table413162632[[#This Row],[10 - Post 20min]]/$M$26</f>
        <v>1.7341296381938469</v>
      </c>
      <c r="V42" s="5">
        <f>Table413162632[[#This Row],[10 - Post 20min]]/$U$32</f>
        <v>3.406042662729325</v>
      </c>
      <c r="X42" s="6">
        <f>1*$Y$27/(Table2835[[#This Row],[S10 pre]]*$Y$26)</f>
        <v>1.003384983074096</v>
      </c>
      <c r="Y42" s="6">
        <f>1*$Y$27/(Table2835[[#This Row],[S10 5 min]]*$Y$26)</f>
        <v>1.4121262959050889</v>
      </c>
      <c r="Z42" s="6">
        <f>1*$Y$27/(Table2835[[#This Row],[S 10]]*$Y$26)</f>
        <v>1.3166993135321909</v>
      </c>
      <c r="AA42" s="6">
        <f>1*$Y$27/(Table2835[[#This Row],[S 15]]*$Y$26)</f>
        <v>1.2618720122316476</v>
      </c>
      <c r="AB42" s="6">
        <f>1*$Y$27/(Table2835[[#This Row],[S 20]]*$Y$26)</f>
        <v>1.4608343848563827</v>
      </c>
      <c r="AC42" s="6">
        <f>-$Y$29/LN((Table13172733[[#This Row],[G Pre]]-1)/(Table13172733[[#This Row],[G Pre]]*$Z$26-$Z$27))</f>
        <v>9.7056439897468635E-2</v>
      </c>
      <c r="AD42" s="6">
        <f>-$Y$29/LN((Table13172733[[#This Row],[G 5min]]-1)/(Table13172733[[#This Row],[G 5min]]*$Z$26-$Z$27))</f>
        <v>4.7389516462664112</v>
      </c>
      <c r="AE42" s="6">
        <f>-$Y$29/LN((Table13172733[[#This Row],[G 10min]]-1)/(Table13172733[[#This Row],[G 10min]]*$Z$26-$Z$27))</f>
        <v>3.6457063446204772</v>
      </c>
      <c r="AF42" s="6">
        <f>-$Y$29/LN((Table13172733[[#This Row],[G 15min]]-1)/(Table13172733[[#This Row],[G 15min]]*$Z$26-$Z$27))</f>
        <v>3.0215264714932015</v>
      </c>
      <c r="AG42" s="6">
        <f>-$Y$29/LN((Table13172733[[#This Row],[G 20min]]-1)/(Table13172733[[#This Row],[G 20min]]*$Z$26-$Z$27))</f>
        <v>5.3003722850436983</v>
      </c>
    </row>
    <row r="43" spans="1:33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L43" s="5"/>
      <c r="M43" s="5">
        <f>Table413162632[[#This Row],[10 - pre]]/$M$25</f>
        <v>0.99416966973399845</v>
      </c>
      <c r="N43" s="5">
        <f>Table413162632[[#This Row],[10 - pre]]/$M$32</f>
        <v>5.7732019098300462</v>
      </c>
      <c r="O43" s="5">
        <f>Table413162632[[#This Row],[10 - Post 5min]]/$M$26</f>
        <v>1.7887363411170079</v>
      </c>
      <c r="P43" s="5">
        <f>Table413162632[[#This Row],[10 - Post 5min]]/$O$32</f>
        <v>4.7952622268468792</v>
      </c>
      <c r="Q43" s="5">
        <f>Table413162632[[#This Row],[10 - Post 10min]]/$M$26</f>
        <v>1.5416838947820604</v>
      </c>
      <c r="R43" s="5">
        <f>Table413162632[[#This Row],[10 - Post 10min]]/$Q$32</f>
        <v>4.4671414519204689</v>
      </c>
      <c r="S43" s="5">
        <f>Table413162632[[#This Row],[10 - Post 15min]]/$M$26</f>
        <v>2.2388144069322102</v>
      </c>
      <c r="T43" s="5">
        <f>Table413162632[[#This Row],[10 - Post 15min]]/$S$32</f>
        <v>5.5198243286993423</v>
      </c>
      <c r="U43" s="5">
        <f>Table413162632[[#This Row],[10 - Post 20min]]/$M$26</f>
        <v>2.7570926220572338</v>
      </c>
      <c r="V43" s="5">
        <f>Table413162632[[#This Row],[10 - Post 20min]]/$U$32</f>
        <v>5.4152670532775149</v>
      </c>
      <c r="X43" s="6">
        <f>1*$Y$27/(Table2835[[#This Row],[S10 pre]]*$Y$26)</f>
        <v>0.86185522621869715</v>
      </c>
      <c r="Y43" s="6">
        <f>1*$Y$27/(Table2835[[#This Row],[S10 5 min]]*$Y$26)</f>
        <v>1.0376208854952511</v>
      </c>
      <c r="Z43" s="6">
        <f>1*$Y$27/(Table2835[[#This Row],[S 10]]*$Y$26)</f>
        <v>1.1138362846924628</v>
      </c>
      <c r="AA43" s="6">
        <f>1*$Y$27/(Table2835[[#This Row],[S 15]]*$Y$26)</f>
        <v>0.90141713607310103</v>
      </c>
      <c r="AB43" s="6">
        <f>1*$Y$27/(Table2835[[#This Row],[S 20]]*$Y$26)</f>
        <v>0.91882158147516235</v>
      </c>
      <c r="AC43" s="6">
        <f>-$Y$29/LN((Table13172733[[#This Row],[G Pre]]-1)/(Table13172733[[#This Row],[G Pre]]*$Z$26-$Z$27))</f>
        <v>-1.4432984540779166</v>
      </c>
      <c r="AD43" s="6">
        <f>-$Y$29/LN((Table13172733[[#This Row],[G 5min]]-1)/(Table13172733[[#This Row],[G 5min]]*$Z$26-$Z$27))</f>
        <v>0.49517073284682794</v>
      </c>
      <c r="AE43" s="6">
        <f>-$Y$29/LN((Table13172733[[#This Row],[G 10min]]-1)/(Table13172733[[#This Row],[G 10min]]*$Z$26-$Z$27))</f>
        <v>1.3500034951579691</v>
      </c>
      <c r="AF43" s="6">
        <f>-$Y$29/LN((Table13172733[[#This Row],[G 15min]]-1)/(Table13172733[[#This Row],[G 15min]]*$Z$26-$Z$27))</f>
        <v>-1.0074730807104144</v>
      </c>
      <c r="AG43" s="6">
        <f>-$Y$29/LN((Table13172733[[#This Row],[G 20min]]-1)/(Table13172733[[#This Row],[G 20min]]*$Z$26-$Z$27))</f>
        <v>-0.81506316048481342</v>
      </c>
    </row>
    <row r="44" spans="1:33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L44" s="5"/>
      <c r="M44" s="5">
        <f>Table413162632[[#This Row],[10 - pre]]/$M$25</f>
        <v>1.0815501192666341</v>
      </c>
      <c r="N44" s="5">
        <f>Table413162632[[#This Row],[10 - pre]]/$M$32</f>
        <v>6.2806253341018774</v>
      </c>
      <c r="O44" s="5">
        <f>Table413162632[[#This Row],[10 - Post 5min]]/$M$26</f>
        <v>1.6979010639514422</v>
      </c>
      <c r="P44" s="5">
        <f>Table413162632[[#This Row],[10 - Post 5min]]/$O$32</f>
        <v>4.5517501096920396</v>
      </c>
      <c r="Q44" s="5">
        <f>Table413162632[[#This Row],[10 - Post 10min]]/$M$26</f>
        <v>2.0433514422337402</v>
      </c>
      <c r="R44" s="5">
        <f>Table413162632[[#This Row],[10 - Post 10min]]/$Q$32</f>
        <v>5.9207597350779766</v>
      </c>
      <c r="S44" s="5">
        <f>Table413162632[[#This Row],[10 - Post 15min]]/$M$26</f>
        <v>3.0547218993321481</v>
      </c>
      <c r="T44" s="5">
        <f>Table413162632[[#This Row],[10 - Post 15min]]/$S$32</f>
        <v>7.5314542398577693</v>
      </c>
      <c r="U44" s="5">
        <f>Table413162632[[#This Row],[10 - Post 20min]]/$M$26</f>
        <v>3.3402209132655822</v>
      </c>
      <c r="V44" s="5">
        <f>Table413162632[[#This Row],[10 - Post 20min]]/$U$32</f>
        <v>6.5606023234645443</v>
      </c>
      <c r="X44" s="6">
        <f>1*$Y$27/(Table2835[[#This Row],[S10 pre]]*$Y$26)</f>
        <v>0.79222433648230095</v>
      </c>
      <c r="Y44" s="6">
        <f>1*$Y$27/(Table2835[[#This Row],[S10 5 min]]*$Y$26)</f>
        <v>1.0931321179974509</v>
      </c>
      <c r="Z44" s="6">
        <f>1*$Y$27/(Table2835[[#This Row],[S 10]]*$Y$26)</f>
        <v>0.84037597548910825</v>
      </c>
      <c r="AA44" s="6">
        <f>1*$Y$27/(Table2835[[#This Row],[S 15]]*$Y$26)</f>
        <v>0.66065119425020291</v>
      </c>
      <c r="AB44" s="6">
        <f>1*$Y$27/(Table2835[[#This Row],[S 20]]*$Y$26)</f>
        <v>0.75841576621812734</v>
      </c>
      <c r="AC44" s="6">
        <f>-$Y$29/LN((Table13172733[[#This Row],[G Pre]]-1)/(Table13172733[[#This Row],[G Pre]]*$Z$26-$Z$27))</f>
        <v>-2.2062800090915475</v>
      </c>
      <c r="AD44" s="6">
        <f>-$Y$29/LN((Table13172733[[#This Row],[G 5min]]-1)/(Table13172733[[#This Row],[G 5min]]*$Z$26-$Z$27))</f>
        <v>1.1176677460748221</v>
      </c>
      <c r="AE44" s="6">
        <f>-$Y$29/LN((Table13172733[[#This Row],[G 10min]]-1)/(Table13172733[[#This Row],[G 10min]]*$Z$26-$Z$27))</f>
        <v>-1.6791787908233491</v>
      </c>
      <c r="AF44" s="6">
        <f>-$Y$29/LN((Table13172733[[#This Row],[G 15min]]-1)/(Table13172733[[#This Row],[G 15min]]*$Z$26-$Z$27))</f>
        <v>-3.6354548560650417</v>
      </c>
      <c r="AG44" s="6">
        <f>-$Y$29/LN((Table13172733[[#This Row],[G 20min]]-1)/(Table13172733[[#This Row],[G 20min]]*$Z$26-$Z$27))</f>
        <v>-2.5750418993944222</v>
      </c>
    </row>
    <row r="45" spans="1:33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L45" s="5"/>
      <c r="M45" s="5" t="e">
        <f>Table413162632[[#This Row],[10 - pre]]/$M$25</f>
        <v>#DIV/0!</v>
      </c>
      <c r="N45" s="5" t="e">
        <f>Table413162632[[#This Row],[10 - pre]]/$M$32</f>
        <v>#DIV/0!</v>
      </c>
      <c r="O45" s="5">
        <f>Table413162632[[#This Row],[10 - Post 5min]]/$M$26</f>
        <v>2.335932896967138</v>
      </c>
      <c r="P45" s="5">
        <f>Table413162632[[#This Row],[10 - Post 5min]]/$O$32</f>
        <v>6.2621922123417031</v>
      </c>
      <c r="Q45" s="5">
        <f>Table413162632[[#This Row],[10 - Post 10min]]/$M$26</f>
        <v>3.2113771317764175</v>
      </c>
      <c r="R45" s="5">
        <f>Table413162632[[#This Row],[10 - Post 10min]]/$Q$32</f>
        <v>9.3051993029581919</v>
      </c>
      <c r="S45" s="5">
        <f>Table413162632[[#This Row],[10 - Post 15min]]/$M$26</f>
        <v>2.9324561467041197</v>
      </c>
      <c r="T45" s="5">
        <f>Table413162632[[#This Row],[10 - Post 15min]]/$S$32</f>
        <v>7.2300065299300389</v>
      </c>
      <c r="U45" s="5">
        <f>Table413162632[[#This Row],[10 - Post 20min]]/$M$26</f>
        <v>2.7076935074691191</v>
      </c>
      <c r="V45" s="5">
        <f>Table413162632[[#This Row],[10 - Post 20min]]/$U$32</f>
        <v>5.3182411515903629</v>
      </c>
      <c r="X45" s="6" t="e">
        <f>1*$Y$27/(Table2835[[#This Row],[S10 pre]]*$Y$26)</f>
        <v>#DIV/0!</v>
      </c>
      <c r="Y45" s="6">
        <f>1*$Y$27/(Table2835[[#This Row],[S10 5 min]]*$Y$26)</f>
        <v>0.79455629423137331</v>
      </c>
      <c r="Z45" s="6">
        <f>1*$Y$27/(Table2835[[#This Row],[S 10]]*$Y$26)</f>
        <v>0.53471871756911094</v>
      </c>
      <c r="AA45" s="6">
        <f>1*$Y$27/(Table2835[[#This Row],[S 15]]*$Y$26)</f>
        <v>0.68819636848252419</v>
      </c>
      <c r="AB45" s="6">
        <f>1*$Y$27/(Table2835[[#This Row],[S 20]]*$Y$26)</f>
        <v>0.93558454687878712</v>
      </c>
      <c r="AC45" s="6" t="e">
        <f>-$Y$29/LN((Table13172733[[#This Row],[G Pre]]-1)/(Table13172733[[#This Row],[G Pre]]*$Z$26-$Z$27))</f>
        <v>#DIV/0!</v>
      </c>
      <c r="AD45" s="6">
        <f>-$Y$29/LN((Table13172733[[#This Row],[G 5min]]-1)/(Table13172733[[#This Row],[G 5min]]*$Z$26-$Z$27))</f>
        <v>-2.1808046855953802</v>
      </c>
      <c r="AE45" s="6">
        <f>-$Y$29/LN((Table13172733[[#This Row],[G 10min]]-1)/(Table13172733[[#This Row],[G 10min]]*$Z$26-$Z$27))</f>
        <v>-4.9887202326016462</v>
      </c>
      <c r="AF45" s="6">
        <f>-$Y$29/LN((Table13172733[[#This Row],[G 15min]]-1)/(Table13172733[[#This Row],[G 15min]]*$Z$26-$Z$27))</f>
        <v>-3.3375644410944281</v>
      </c>
      <c r="AG45" s="6">
        <f>-$Y$29/LN((Table13172733[[#This Row],[G 20min]]-1)/(Table13172733[[#This Row],[G 20min]]*$Z$26-$Z$27))</f>
        <v>-0.62918398378085472</v>
      </c>
    </row>
    <row r="46" spans="1:33">
      <c r="A46" s="2" t="s">
        <v>16</v>
      </c>
      <c r="B46" s="5" t="e">
        <f t="shared" si="0"/>
        <v>#DIV/0!</v>
      </c>
      <c r="C46" s="5" t="e">
        <f t="shared" si="1"/>
        <v>#DIV/0!</v>
      </c>
      <c r="D46" s="5" t="e">
        <f t="shared" si="0"/>
        <v>#DIV/0!</v>
      </c>
      <c r="E46" s="5" t="e">
        <f t="shared" si="1"/>
        <v>#DIV/0!</v>
      </c>
      <c r="F46" s="5" t="e">
        <f t="shared" si="0"/>
        <v>#DIV/0!</v>
      </c>
      <c r="G46" s="5" t="e">
        <f t="shared" si="1"/>
        <v>#DIV/0!</v>
      </c>
      <c r="H46" s="5" t="e">
        <f t="shared" si="0"/>
        <v>#DIV/0!</v>
      </c>
      <c r="I46" s="5" t="e">
        <f t="shared" si="1"/>
        <v>#DIV/0!</v>
      </c>
      <c r="J46" s="5" t="e">
        <f t="shared" si="0"/>
        <v>#DIV/0!</v>
      </c>
      <c r="K46" s="5" t="e">
        <f t="shared" si="1"/>
        <v>#DIV/0!</v>
      </c>
      <c r="L46" s="5"/>
      <c r="M46" s="5" t="e">
        <f>Table413162632[[#This Row],[10 - pre]]/$M$25</f>
        <v>#DIV/0!</v>
      </c>
      <c r="N46" s="5" t="e">
        <f>Table413162632[[#This Row],[10 - pre]]/$M$32</f>
        <v>#DIV/0!</v>
      </c>
      <c r="O46" s="5" t="e">
        <f>Table413162632[[#This Row],[10 - Post 5min]]/$M$26</f>
        <v>#DIV/0!</v>
      </c>
      <c r="P46" s="5" t="e">
        <f>Table413162632[[#This Row],[10 - Post 5min]]/$O$32</f>
        <v>#DIV/0!</v>
      </c>
      <c r="Q46" s="5" t="e">
        <f>Table413162632[[#This Row],[10 - Post 10min]]/$M$26</f>
        <v>#DIV/0!</v>
      </c>
      <c r="R46" s="5" t="e">
        <f>Table413162632[[#This Row],[10 - Post 10min]]/$Q$32</f>
        <v>#DIV/0!</v>
      </c>
      <c r="S46" s="5" t="e">
        <f>Table413162632[[#This Row],[10 - Post 15min]]/$M$26</f>
        <v>#DIV/0!</v>
      </c>
      <c r="T46" s="5" t="e">
        <f>Table413162632[[#This Row],[10 - Post 15min]]/$S$32</f>
        <v>#DIV/0!</v>
      </c>
      <c r="U46" s="5" t="e">
        <f>Table413162632[[#This Row],[10 - Post 20min]]/$M$26</f>
        <v>#DIV/0!</v>
      </c>
      <c r="V46" s="5" t="e">
        <f>Table413162632[[#This Row],[10 - Post 20min]]/$U$32</f>
        <v>#DIV/0!</v>
      </c>
      <c r="X46" s="6" t="e">
        <f>1*$Y$27/(Table2835[[#This Row],[S10 pre]]*$Y$26)</f>
        <v>#DIV/0!</v>
      </c>
      <c r="Y46" s="6" t="e">
        <f>1*$Y$27/(Table2835[[#This Row],[S10 5 min]]*$Y$26)</f>
        <v>#DIV/0!</v>
      </c>
      <c r="Z46" s="6" t="e">
        <f>1*$Y$27/(Table2835[[#This Row],[S 10]]*$Y$26)</f>
        <v>#DIV/0!</v>
      </c>
      <c r="AA46" s="6" t="e">
        <f>1*$Y$27/(Table2835[[#This Row],[S 15]]*$Y$26)</f>
        <v>#DIV/0!</v>
      </c>
      <c r="AB46" s="6" t="e">
        <f>1*$Y$27/(Table2835[[#This Row],[S 20]]*$Y$26)</f>
        <v>#DIV/0!</v>
      </c>
      <c r="AC46" s="6" t="e">
        <f>-$Y$29/LN((Table13172733[[#This Row],[G Pre]]-1)/(Table13172733[[#This Row],[G Pre]]*$Z$26-$Z$27))</f>
        <v>#DIV/0!</v>
      </c>
      <c r="AD46" s="6" t="e">
        <f>-$Y$29/LN((Table13172733[[#This Row],[G 5min]]-1)/(Table13172733[[#This Row],[G 5min]]*$Z$26-$Z$27))</f>
        <v>#DIV/0!</v>
      </c>
      <c r="AE46" s="6" t="e">
        <f>-$Y$29/LN((Table13172733[[#This Row],[G 10min]]-1)/(Table13172733[[#This Row],[G 10min]]*$Z$26-$Z$27))</f>
        <v>#DIV/0!</v>
      </c>
      <c r="AF46" s="6" t="e">
        <f>-$Y$29/LN((Table13172733[[#This Row],[G 15min]]-1)/(Table13172733[[#This Row],[G 15min]]*$Z$26-$Z$27))</f>
        <v>#DIV/0!</v>
      </c>
      <c r="AG46" s="6" t="e">
        <f>-$Y$29/LN((Table13172733[[#This Row],[G 20min]]-1)/(Table13172733[[#This Row],[G 20min]]*$Z$26-$Z$27))</f>
        <v>#DIV/0!</v>
      </c>
    </row>
    <row r="47" spans="1:33">
      <c r="A47" s="2" t="s">
        <v>17</v>
      </c>
      <c r="B47" s="5" t="e">
        <f t="shared" ref="B47:B52" si="2">B18/B18</f>
        <v>#DIV/0!</v>
      </c>
      <c r="C47" s="5" t="e">
        <f t="shared" ref="C47:C52" si="3">C18/B18</f>
        <v>#DIV/0!</v>
      </c>
      <c r="D47" s="5" t="e">
        <f t="shared" ref="D47:D52" si="4">D18/D18</f>
        <v>#DIV/0!</v>
      </c>
      <c r="E47" s="5" t="e">
        <f t="shared" ref="E47:E52" si="5">E18/D18</f>
        <v>#DIV/0!</v>
      </c>
      <c r="F47" s="5" t="e">
        <f t="shared" ref="F47:F52" si="6">F18/F18</f>
        <v>#DIV/0!</v>
      </c>
      <c r="G47" s="5" t="e">
        <f t="shared" ref="G47:G52" si="7">G18/F18</f>
        <v>#DIV/0!</v>
      </c>
      <c r="H47" s="5" t="e">
        <f t="shared" ref="H47:H52" si="8">H18/H18</f>
        <v>#DIV/0!</v>
      </c>
      <c r="I47" s="5" t="e">
        <f t="shared" ref="I47:I52" si="9">I18/H18</f>
        <v>#DIV/0!</v>
      </c>
      <c r="J47" s="5" t="e">
        <f t="shared" ref="J47:J52" si="10">J18/J18</f>
        <v>#DIV/0!</v>
      </c>
      <c r="K47" s="5" t="e">
        <f t="shared" ref="K47:K52" si="11">K18/J18</f>
        <v>#DIV/0!</v>
      </c>
      <c r="L47" s="5"/>
      <c r="M47" s="5" t="e">
        <f>Table413162632[[#This Row],[10 - pre]]/$M$25</f>
        <v>#DIV/0!</v>
      </c>
      <c r="N47" s="5" t="e">
        <f>Table413162632[[#This Row],[10 - pre]]/$M$32</f>
        <v>#DIV/0!</v>
      </c>
      <c r="O47" s="5" t="e">
        <f>Table413162632[[#This Row],[10 - Post 5min]]/$M$26</f>
        <v>#DIV/0!</v>
      </c>
      <c r="P47" s="5" t="e">
        <f>Table413162632[[#This Row],[10 - Post 5min]]/$O$32</f>
        <v>#DIV/0!</v>
      </c>
      <c r="Q47" s="5" t="e">
        <f>Table413162632[[#This Row],[10 - Post 10min]]/$M$26</f>
        <v>#DIV/0!</v>
      </c>
      <c r="R47" s="5" t="e">
        <f>Table413162632[[#This Row],[10 - Post 10min]]/$Q$32</f>
        <v>#DIV/0!</v>
      </c>
      <c r="S47" s="5" t="e">
        <f>Table413162632[[#This Row],[10 - Post 15min]]/$M$26</f>
        <v>#DIV/0!</v>
      </c>
      <c r="T47" s="5" t="e">
        <f>Table413162632[[#This Row],[10 - Post 15min]]/$S$32</f>
        <v>#DIV/0!</v>
      </c>
      <c r="U47" s="5" t="e">
        <f>Table413162632[[#This Row],[10 - Post 20min]]/$M$26</f>
        <v>#DIV/0!</v>
      </c>
      <c r="V47" s="5" t="e">
        <f>Table413162632[[#This Row],[10 - Post 20min]]/$U$32</f>
        <v>#DIV/0!</v>
      </c>
      <c r="X47" s="6" t="e">
        <f>1*$Y$27/(Table2835[[#This Row],[S10 pre]]*$Y$26)</f>
        <v>#DIV/0!</v>
      </c>
      <c r="Y47" s="6" t="e">
        <f>1*$Y$27/(Table2835[[#This Row],[S10 5 min]]*$Y$26)</f>
        <v>#DIV/0!</v>
      </c>
      <c r="Z47" s="6" t="e">
        <f>1*$Y$27/(Table2835[[#This Row],[S 10]]*$Y$26)</f>
        <v>#DIV/0!</v>
      </c>
      <c r="AA47" s="6" t="e">
        <f>1*$Y$27/(Table2835[[#This Row],[S 15]]*$Y$26)</f>
        <v>#DIV/0!</v>
      </c>
      <c r="AB47" s="6" t="e">
        <f>1*$Y$27/(Table2835[[#This Row],[S 20]]*$Y$26)</f>
        <v>#DIV/0!</v>
      </c>
      <c r="AC47" s="6" t="e">
        <f>-$Y$29/LN((Table13172733[[#This Row],[G Pre]]-1)/(Table13172733[[#This Row],[G Pre]]*$Z$26-$Z$27))</f>
        <v>#DIV/0!</v>
      </c>
      <c r="AD47" s="6" t="e">
        <f>-$Y$29/LN((Table13172733[[#This Row],[G 5min]]-1)/(Table13172733[[#This Row],[G 5min]]*$Z$26-$Z$27))</f>
        <v>#DIV/0!</v>
      </c>
      <c r="AE47" s="6" t="e">
        <f>-$Y$29/LN((Table13172733[[#This Row],[G 10min]]-1)/(Table13172733[[#This Row],[G 10min]]*$Z$26-$Z$27))</f>
        <v>#DIV/0!</v>
      </c>
      <c r="AF47" s="6" t="e">
        <f>-$Y$29/LN((Table13172733[[#This Row],[G 15min]]-1)/(Table13172733[[#This Row],[G 15min]]*$Z$26-$Z$27))</f>
        <v>#DIV/0!</v>
      </c>
      <c r="AG47" s="6" t="e">
        <f>-$Y$29/LN((Table13172733[[#This Row],[G 20min]]-1)/(Table13172733[[#This Row],[G 20min]]*$Z$26-$Z$27))</f>
        <v>#DIV/0!</v>
      </c>
    </row>
    <row r="48" spans="1:33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L48" s="5"/>
      <c r="M48" s="5" t="e">
        <f>Table413162632[[#This Row],[10 - pre]]/$M$25</f>
        <v>#DIV/0!</v>
      </c>
      <c r="N48" s="5" t="e">
        <f>Table413162632[[#This Row],[10 - pre]]/$M$32</f>
        <v>#DIV/0!</v>
      </c>
      <c r="O48" s="5" t="e">
        <f>Table413162632[[#This Row],[10 - Post 5min]]/$M$26</f>
        <v>#DIV/0!</v>
      </c>
      <c r="P48" s="5" t="e">
        <f>Table413162632[[#This Row],[10 - Post 5min]]/$O$32</f>
        <v>#DIV/0!</v>
      </c>
      <c r="Q48" s="5" t="e">
        <f>Table413162632[[#This Row],[10 - Post 10min]]/$M$26</f>
        <v>#DIV/0!</v>
      </c>
      <c r="R48" s="5" t="e">
        <f>Table413162632[[#This Row],[10 - Post 10min]]/$Q$32</f>
        <v>#DIV/0!</v>
      </c>
      <c r="S48" s="5" t="e">
        <f>Table413162632[[#This Row],[10 - Post 15min]]/$M$26</f>
        <v>#DIV/0!</v>
      </c>
      <c r="T48" s="5" t="e">
        <f>Table413162632[[#This Row],[10 - Post 15min]]/$S$32</f>
        <v>#DIV/0!</v>
      </c>
      <c r="U48" s="5" t="e">
        <f>Table413162632[[#This Row],[10 - Post 20min]]/$M$26</f>
        <v>#DIV/0!</v>
      </c>
      <c r="V48" s="5" t="e">
        <f>Table413162632[[#This Row],[10 - Post 20min]]/$U$32</f>
        <v>#DIV/0!</v>
      </c>
      <c r="X48" s="6" t="e">
        <f>1*$Y$27/(Table2835[[#This Row],[S10 pre]]*$Y$26)</f>
        <v>#DIV/0!</v>
      </c>
      <c r="Y48" s="6" t="e">
        <f>1*$Y$27/(Table2835[[#This Row],[S10 5 min]]*$Y$26)</f>
        <v>#DIV/0!</v>
      </c>
      <c r="Z48" s="6" t="e">
        <f>1*$Y$27/(Table2835[[#This Row],[S 10]]*$Y$26)</f>
        <v>#DIV/0!</v>
      </c>
      <c r="AA48" s="6" t="e">
        <f>1*$Y$27/(Table2835[[#This Row],[S 15]]*$Y$26)</f>
        <v>#DIV/0!</v>
      </c>
      <c r="AB48" s="6" t="e">
        <f>1*$Y$27/(Table2835[[#This Row],[S 20]]*$Y$26)</f>
        <v>#DIV/0!</v>
      </c>
      <c r="AC48" s="6" t="e">
        <f>-$Y$29/LN((Table13172733[[#This Row],[G Pre]]-1)/(Table13172733[[#This Row],[G Pre]]*$Z$26-$Z$27))</f>
        <v>#DIV/0!</v>
      </c>
      <c r="AD48" s="6" t="e">
        <f>-$Y$29/LN((Table13172733[[#This Row],[G 5min]]-1)/(Table13172733[[#This Row],[G 5min]]*$Z$26-$Z$27))</f>
        <v>#DIV/0!</v>
      </c>
      <c r="AE48" s="6" t="e">
        <f>-$Y$29/LN((Table13172733[[#This Row],[G 10min]]-1)/(Table13172733[[#This Row],[G 10min]]*$Z$26-$Z$27))</f>
        <v>#DIV/0!</v>
      </c>
      <c r="AF48" s="6" t="e">
        <f>-$Y$29/LN((Table13172733[[#This Row],[G 15min]]-1)/(Table13172733[[#This Row],[G 15min]]*$Z$26-$Z$27))</f>
        <v>#DIV/0!</v>
      </c>
      <c r="AG48" s="6" t="e">
        <f>-$Y$29/LN((Table13172733[[#This Row],[G 20min]]-1)/(Table13172733[[#This Row],[G 20min]]*$Z$26-$Z$27))</f>
        <v>#DIV/0!</v>
      </c>
    </row>
    <row r="49" spans="1:33">
      <c r="A49" s="2" t="s">
        <v>19</v>
      </c>
      <c r="B49" s="5" t="e">
        <f t="shared" si="2"/>
        <v>#DIV/0!</v>
      </c>
      <c r="C49" s="5" t="e">
        <f t="shared" si="3"/>
        <v>#DIV/0!</v>
      </c>
      <c r="D49" s="5" t="e">
        <f t="shared" si="4"/>
        <v>#DIV/0!</v>
      </c>
      <c r="E49" s="5" t="e">
        <f t="shared" si="5"/>
        <v>#DIV/0!</v>
      </c>
      <c r="F49" s="5" t="e">
        <f t="shared" si="6"/>
        <v>#DIV/0!</v>
      </c>
      <c r="G49" s="5" t="e">
        <f t="shared" si="7"/>
        <v>#DIV/0!</v>
      </c>
      <c r="H49" s="5" t="e">
        <f t="shared" si="8"/>
        <v>#DIV/0!</v>
      </c>
      <c r="I49" s="5" t="e">
        <f t="shared" si="9"/>
        <v>#DIV/0!</v>
      </c>
      <c r="J49" s="5" t="e">
        <f t="shared" si="10"/>
        <v>#DIV/0!</v>
      </c>
      <c r="K49" s="5" t="e">
        <f t="shared" si="11"/>
        <v>#DIV/0!</v>
      </c>
      <c r="L49" s="5"/>
      <c r="M49" s="5" t="e">
        <f>Table413162632[[#This Row],[10 - pre]]/$M$25</f>
        <v>#DIV/0!</v>
      </c>
      <c r="N49" s="5" t="e">
        <f>Table413162632[[#This Row],[10 - pre]]/$M$32</f>
        <v>#DIV/0!</v>
      </c>
      <c r="O49" s="5" t="e">
        <f>Table413162632[[#This Row],[10 - Post 5min]]/$M$26</f>
        <v>#DIV/0!</v>
      </c>
      <c r="P49" s="5" t="e">
        <f>Table413162632[[#This Row],[10 - Post 5min]]/$O$32</f>
        <v>#DIV/0!</v>
      </c>
      <c r="Q49" s="5" t="e">
        <f>Table413162632[[#This Row],[10 - Post 10min]]/$M$26</f>
        <v>#DIV/0!</v>
      </c>
      <c r="R49" s="5" t="e">
        <f>Table413162632[[#This Row],[10 - Post 10min]]/$Q$32</f>
        <v>#DIV/0!</v>
      </c>
      <c r="S49" s="5" t="e">
        <f>Table413162632[[#This Row],[10 - Post 15min]]/$M$26</f>
        <v>#DIV/0!</v>
      </c>
      <c r="T49" s="5" t="e">
        <f>Table413162632[[#This Row],[10 - Post 15min]]/$S$32</f>
        <v>#DIV/0!</v>
      </c>
      <c r="U49" s="5" t="e">
        <f>Table413162632[[#This Row],[10 - Post 20min]]/$M$26</f>
        <v>#DIV/0!</v>
      </c>
      <c r="V49" s="5" t="e">
        <f>Table413162632[[#This Row],[10 - Post 20min]]/$U$32</f>
        <v>#DIV/0!</v>
      </c>
      <c r="X49" s="6" t="e">
        <f>1*$Y$27/(Table2835[[#This Row],[S10 pre]]*$Y$26)</f>
        <v>#DIV/0!</v>
      </c>
      <c r="Y49" s="6" t="e">
        <f>1*$Y$27/(Table2835[[#This Row],[S10 5 min]]*$Y$26)</f>
        <v>#DIV/0!</v>
      </c>
      <c r="Z49" s="6" t="e">
        <f>1*$Y$27/(Table2835[[#This Row],[S 10]]*$Y$26)</f>
        <v>#DIV/0!</v>
      </c>
      <c r="AA49" s="6" t="e">
        <f>1*$Y$27/(Table2835[[#This Row],[S 15]]*$Y$26)</f>
        <v>#DIV/0!</v>
      </c>
      <c r="AB49" s="6" t="e">
        <f>1*$Y$27/(Table2835[[#This Row],[S 20]]*$Y$26)</f>
        <v>#DIV/0!</v>
      </c>
      <c r="AC49" s="6" t="e">
        <f>-$Y$29/LN((Table13172733[[#This Row],[G Pre]]-1)/(Table13172733[[#This Row],[G Pre]]*$Z$26-$Z$27))</f>
        <v>#DIV/0!</v>
      </c>
      <c r="AD49" s="6" t="e">
        <f>-$Y$29/LN((Table13172733[[#This Row],[G 5min]]-1)/(Table13172733[[#This Row],[G 5min]]*$Z$26-$Z$27))</f>
        <v>#DIV/0!</v>
      </c>
      <c r="AE49" s="6" t="e">
        <f>-$Y$29/LN((Table13172733[[#This Row],[G 10min]]-1)/(Table13172733[[#This Row],[G 10min]]*$Z$26-$Z$27))</f>
        <v>#DIV/0!</v>
      </c>
      <c r="AF49" s="6" t="e">
        <f>-$Y$29/LN((Table13172733[[#This Row],[G 15min]]-1)/(Table13172733[[#This Row],[G 15min]]*$Z$26-$Z$27))</f>
        <v>#DIV/0!</v>
      </c>
      <c r="AG49" s="6" t="e">
        <f>-$Y$29/LN((Table13172733[[#This Row],[G 20min]]-1)/(Table13172733[[#This Row],[G 20min]]*$Z$26-$Z$27))</f>
        <v>#DIV/0!</v>
      </c>
    </row>
    <row r="50" spans="1:33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L50" s="5"/>
      <c r="M50" s="5">
        <f>Table413162632[[#This Row],[10 - pre]]/$M$25</f>
        <v>0.91572882041581627</v>
      </c>
      <c r="N50" s="5">
        <f>Table413162632[[#This Row],[10 - pre]]/$M$32</f>
        <v>5.3176912712751738</v>
      </c>
      <c r="O50" s="5">
        <f>Table413162632[[#This Row],[10 - Post 5min]]/$M$26</f>
        <v>0.75842482147942003</v>
      </c>
      <c r="P50" s="5">
        <f>Table413162632[[#This Row],[10 - Post 5min]]/$O$32</f>
        <v>2.0331928271062338</v>
      </c>
      <c r="Q50" s="5">
        <f>Table413162632[[#This Row],[10 - Post 10min]]/$M$26</f>
        <v>1.6029089986258933</v>
      </c>
      <c r="R50" s="5">
        <f>Table413162632[[#This Row],[10 - Post 10min]]/$Q$32</f>
        <v>4.6445456527456876</v>
      </c>
      <c r="S50" s="5">
        <f>Table413162632[[#This Row],[10 - Post 15min]]/$M$26</f>
        <v>1.6298785500281527</v>
      </c>
      <c r="T50" s="5">
        <f>Table413162632[[#This Row],[10 - Post 15min]]/$S$32</f>
        <v>4.0184855186806097</v>
      </c>
      <c r="U50" s="5">
        <f>Table413162632[[#This Row],[10 - Post 20min]]/$M$26</f>
        <v>1.8436663239748374</v>
      </c>
      <c r="V50" s="5">
        <f>Table413162632[[#This Row],[10 - Post 20min]]/$U$32</f>
        <v>3.6211861079982799</v>
      </c>
      <c r="X50" s="6">
        <f>1*$Y$27/(Table2835[[#This Row],[S10 pre]]*$Y$26)</f>
        <v>0.9356812917816556</v>
      </c>
      <c r="Y50" s="6">
        <f>1*$Y$27/(Table2835[[#This Row],[S10 5 min]]*$Y$26)</f>
        <v>2.447217092086865</v>
      </c>
      <c r="Z50" s="6">
        <f>1*$Y$27/(Table2835[[#This Row],[S 10]]*$Y$26)</f>
        <v>1.0712919217537147</v>
      </c>
      <c r="AA50" s="6">
        <f>1*$Y$27/(Table2835[[#This Row],[S 15]]*$Y$26)</f>
        <v>1.2381938954047669</v>
      </c>
      <c r="AB50" s="6">
        <f>1*$Y$27/(Table2835[[#This Row],[S 20]]*$Y$26)</f>
        <v>1.3740426726515964</v>
      </c>
      <c r="AC50" s="6">
        <f>-$Y$29/LN((Table13172733[[#This Row],[G Pre]]-1)/(Table13172733[[#This Row],[G Pre]]*$Z$26-$Z$27))</f>
        <v>-0.62810909443934482</v>
      </c>
      <c r="AD50" s="6">
        <f>-$Y$29/LN((Table13172733[[#This Row],[G 5min]]-1)/(Table13172733[[#This Row],[G 5min]]*$Z$26-$Z$27))</f>
        <v>17.192116717298813</v>
      </c>
      <c r="AE50" s="6">
        <f>-$Y$29/LN((Table13172733[[#This Row],[G 10min]]-1)/(Table13172733[[#This Row],[G 10min]]*$Z$26-$Z$27))</f>
        <v>0.87282683085194557</v>
      </c>
      <c r="AF50" s="6">
        <f>-$Y$29/LN((Table13172733[[#This Row],[G 15min]]-1)/(Table13172733[[#This Row],[G 15min]]*$Z$26-$Z$27))</f>
        <v>2.7528391963895058</v>
      </c>
      <c r="AG50" s="6">
        <f>-$Y$29/LN((Table13172733[[#This Row],[G 20min]]-1)/(Table13172733[[#This Row],[G 20min]]*$Z$26-$Z$27))</f>
        <v>4.3015989214719417</v>
      </c>
    </row>
    <row r="51" spans="1:33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L51" s="5"/>
      <c r="M51" s="5" t="e">
        <f>Table413162632[[#This Row],[10 - pre]]/$M$25</f>
        <v>#DIV/0!</v>
      </c>
      <c r="N51" s="5" t="e">
        <f>Table413162632[[#This Row],[10 - pre]]/$M$32</f>
        <v>#DIV/0!</v>
      </c>
      <c r="O51" s="5" t="e">
        <f>Table413162632[[#This Row],[10 - Post 5min]]/$M$26</f>
        <v>#DIV/0!</v>
      </c>
      <c r="P51" s="5" t="e">
        <f>Table413162632[[#This Row],[10 - Post 5min]]/$O$32</f>
        <v>#DIV/0!</v>
      </c>
      <c r="Q51" s="5" t="e">
        <f>Table413162632[[#This Row],[10 - Post 10min]]/$M$26</f>
        <v>#DIV/0!</v>
      </c>
      <c r="R51" s="5" t="e">
        <f>Table413162632[[#This Row],[10 - Post 10min]]/$Q$32</f>
        <v>#DIV/0!</v>
      </c>
      <c r="S51" s="5" t="e">
        <f>Table413162632[[#This Row],[10 - Post 15min]]/$M$26</f>
        <v>#DIV/0!</v>
      </c>
      <c r="T51" s="5" t="e">
        <f>Table413162632[[#This Row],[10 - Post 15min]]/$S$32</f>
        <v>#DIV/0!</v>
      </c>
      <c r="U51" s="5" t="e">
        <f>Table413162632[[#This Row],[10 - Post 20min]]/$M$26</f>
        <v>#DIV/0!</v>
      </c>
      <c r="V51" s="5" t="e">
        <f>Table413162632[[#This Row],[10 - Post 20min]]/$U$32</f>
        <v>#DIV/0!</v>
      </c>
      <c r="X51" s="6" t="e">
        <f>1*$Y$27/(Table2835[[#This Row],[S10 pre]]*$Y$26)</f>
        <v>#DIV/0!</v>
      </c>
      <c r="Y51" s="6" t="e">
        <f>1*$Y$27/(Table2835[[#This Row],[S10 5 min]]*$Y$26)</f>
        <v>#DIV/0!</v>
      </c>
      <c r="Z51" s="6" t="e">
        <f>1*$Y$27/(Table2835[[#This Row],[S 10]]*$Y$26)</f>
        <v>#DIV/0!</v>
      </c>
      <c r="AA51" s="6" t="e">
        <f>1*$Y$27/(Table2835[[#This Row],[S 15]]*$Y$26)</f>
        <v>#DIV/0!</v>
      </c>
      <c r="AB51" s="6" t="e">
        <f>1*$Y$27/(Table2835[[#This Row],[S 20]]*$Y$26)</f>
        <v>#DIV/0!</v>
      </c>
      <c r="AC51" s="6" t="e">
        <f>-$Y$29/LN((Table13172733[[#This Row],[G Pre]]-1)/(Table13172733[[#This Row],[G Pre]]*$Z$26-$Z$27))</f>
        <v>#DIV/0!</v>
      </c>
      <c r="AD51" s="6" t="e">
        <f>-$Y$29/LN((Table13172733[[#This Row],[G 5min]]-1)/(Table13172733[[#This Row],[G 5min]]*$Z$26-$Z$27))</f>
        <v>#DIV/0!</v>
      </c>
      <c r="AE51" s="6" t="e">
        <f>-$Y$29/LN((Table13172733[[#This Row],[G 10min]]-1)/(Table13172733[[#This Row],[G 10min]]*$Z$26-$Z$27))</f>
        <v>#DIV/0!</v>
      </c>
      <c r="AF51" s="6" t="e">
        <f>-$Y$29/LN((Table13172733[[#This Row],[G 15min]]-1)/(Table13172733[[#This Row],[G 15min]]*$Z$26-$Z$27))</f>
        <v>#DIV/0!</v>
      </c>
      <c r="AG51" s="6" t="e">
        <f>-$Y$29/LN((Table13172733[[#This Row],[G 20min]]-1)/(Table13172733[[#This Row],[G 20min]]*$Z$26-$Z$27))</f>
        <v>#DIV/0!</v>
      </c>
    </row>
    <row r="52" spans="1:33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L52" s="5"/>
      <c r="M52" s="5">
        <f>Table413162632[[#This Row],[10 - pre]]/$M$25</f>
        <v>0.78899572182901623</v>
      </c>
      <c r="N52" s="5">
        <f>Table413162632[[#This Row],[10 - pre]]/$M$32</f>
        <v>4.5817446928649144</v>
      </c>
      <c r="O52" s="5">
        <f>Table413162632[[#This Row],[10 - Post 5min]]/$M$26</f>
        <v>1.6429501468308274</v>
      </c>
      <c r="P52" s="5">
        <f>Table413162632[[#This Row],[10 - Post 5min]]/$O$32</f>
        <v>4.404437142910961</v>
      </c>
      <c r="Q52" s="5">
        <f>Table413162632[[#This Row],[10 - Post 10min]]/$M$26</f>
        <v>1.7316766547566114</v>
      </c>
      <c r="R52" s="5">
        <f>Table413162632[[#This Row],[10 - Post 10min]]/$Q$32</f>
        <v>5.0176593217118457</v>
      </c>
      <c r="S52" s="5">
        <f>Table413162632[[#This Row],[10 - Post 15min]]/$M$26</f>
        <v>2.3979704364960215</v>
      </c>
      <c r="T52" s="5">
        <f>Table413162632[[#This Row],[10 - Post 15min]]/$S$32</f>
        <v>5.9122254680368895</v>
      </c>
      <c r="U52" s="5">
        <f>Table413162632[[#This Row],[10 - Post 20min]]/$M$26</f>
        <v>2.1461673782247561</v>
      </c>
      <c r="V52" s="5">
        <f>Table413162632[[#This Row],[10 - Post 20min]]/$U$32</f>
        <v>4.2153351690621035</v>
      </c>
      <c r="X52" s="6">
        <f>1*$Y$27/(Table2835[[#This Row],[S10 pre]]*$Y$26)</f>
        <v>1.0859758828883068</v>
      </c>
      <c r="Y52" s="6">
        <f>1*$Y$27/(Table2835[[#This Row],[S10 5 min]]*$Y$26)</f>
        <v>1.129693551424892</v>
      </c>
      <c r="Z52" s="6">
        <f>1*$Y$27/(Table2835[[#This Row],[S 10]]*$Y$26)</f>
        <v>0.99163054304477383</v>
      </c>
      <c r="AA52" s="6">
        <f>1*$Y$27/(Table2835[[#This Row],[S 15]]*$Y$26)</f>
        <v>0.84158905388547722</v>
      </c>
      <c r="AB52" s="6">
        <f>1*$Y$27/(Table2835[[#This Row],[S 20]]*$Y$26)</f>
        <v>1.1803721503620923</v>
      </c>
      <c r="AC52" s="6">
        <f>-$Y$29/LN((Table13172733[[#This Row],[G Pre]]-1)/(Table13172733[[#This Row],[G Pre]]*$Z$26-$Z$27))</f>
        <v>1.0374214598363083</v>
      </c>
      <c r="AD52" s="6">
        <f>-$Y$29/LN((Table13172733[[#This Row],[G 5min]]-1)/(Table13172733[[#This Row],[G 5min]]*$Z$26-$Z$27))</f>
        <v>1.5281527285626186</v>
      </c>
      <c r="AE52" s="6" t="e">
        <f>-$Y$29/LN((Table13172733[[#This Row],[G 10min]]-1)/(Table13172733[[#This Row],[G 10min]]*$Z$26-$Z$27))</f>
        <v>#NUM!</v>
      </c>
      <c r="AF52" s="6">
        <f>-$Y$29/LN((Table13172733[[#This Row],[G 15min]]-1)/(Table13172733[[#This Row],[G 15min]]*$Z$26-$Z$27))</f>
        <v>-1.6658698427199303</v>
      </c>
      <c r="AG52" s="6">
        <f>-$Y$29/LN((Table13172733[[#This Row],[G 20min]]-1)/(Table13172733[[#This Row],[G 20min]]*$Z$26-$Z$27))</f>
        <v>2.0988824839241067</v>
      </c>
    </row>
  </sheetData>
  <conditionalFormatting sqref="AC2:AG23">
    <cfRule type="cellIs" dxfId="135" priority="6" operator="lessThan">
      <formula>0</formula>
    </cfRule>
  </conditionalFormatting>
  <conditionalFormatting sqref="AC31:AG52">
    <cfRule type="cellIs" dxfId="134" priority="5" operator="lessThan">
      <formula>0</formula>
    </cfRule>
  </conditionalFormatting>
  <conditionalFormatting sqref="E31:E52">
    <cfRule type="cellIs" dxfId="133" priority="4" operator="lessThan">
      <formula>$C31</formula>
    </cfRule>
  </conditionalFormatting>
  <conditionalFormatting sqref="G31:G52">
    <cfRule type="cellIs" dxfId="132" priority="3" operator="greaterThan">
      <formula>$E31</formula>
    </cfRule>
  </conditionalFormatting>
  <conditionalFormatting sqref="I31:I52">
    <cfRule type="cellIs" dxfId="131" priority="2" operator="greaterThan">
      <formula>$E31</formula>
    </cfRule>
  </conditionalFormatting>
  <conditionalFormatting sqref="K31:K52">
    <cfRule type="cellIs" dxfId="130" priority="1" operator="greaterThan">
      <formula>$E31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Rescaled</vt:lpstr>
      <vt:lpstr>T1</vt:lpstr>
      <vt:lpstr>Rescaled (3)</vt:lpstr>
      <vt:lpstr>T1 (3)</vt:lpstr>
      <vt:lpstr>Rescaled (2)</vt:lpstr>
      <vt:lpstr>T1 (2)</vt:lpstr>
      <vt:lpstr>T1 (4)</vt:lpstr>
      <vt:lpstr>T1 (5)</vt:lpstr>
      <vt:lpstr>T1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2017-12-15T19:55:50Z</dcterms:modified>
</cp:coreProperties>
</file>