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 activeTab="1"/>
  </bookViews>
  <sheets>
    <sheet name="Original" sheetId="1" r:id="rId1"/>
    <sheet name="Rescaled" sheetId="2" r:id="rId2"/>
    <sheet name="LinearSignal" sheetId="9" r:id="rId3"/>
    <sheet name="Coef. Angular. NonLinearSignal" sheetId="6" r:id="rId4"/>
    <sheet name="My Rescaling" sheetId="7" r:id="rId5"/>
    <sheet name="Coef. Ang. 4 removed" sheetId="8" r:id="rId6"/>
  </sheets>
  <definedNames>
    <definedName name="_xlnm._FilterDatabase" localSheetId="0" hidden="1">Original!$A$25:$B$26</definedName>
  </definedNames>
  <calcPr calcId="125725"/>
</workbook>
</file>

<file path=xl/calcChain.xml><?xml version="1.0" encoding="utf-8"?>
<calcChain xmlns="http://schemas.openxmlformats.org/spreadsheetml/2006/main">
  <c r="R3" i="2"/>
  <c r="R4"/>
  <c r="R5"/>
  <c r="R6"/>
  <c r="R7"/>
  <c r="R8"/>
  <c r="R9"/>
  <c r="R10"/>
  <c r="R11"/>
  <c r="R12"/>
  <c r="R13"/>
  <c r="R14"/>
  <c r="R15"/>
  <c r="R16"/>
  <c r="R17"/>
  <c r="R18"/>
  <c r="R19"/>
  <c r="R20"/>
  <c r="R2"/>
  <c r="X29"/>
  <c r="X30"/>
  <c r="X31"/>
  <c r="X32"/>
  <c r="X33"/>
  <c r="X34"/>
  <c r="X35"/>
  <c r="X36"/>
  <c r="X38"/>
  <c r="X39"/>
  <c r="X40"/>
  <c r="X41"/>
  <c r="X42"/>
  <c r="X43"/>
  <c r="X44"/>
  <c r="X45"/>
  <c r="X47"/>
  <c r="X28"/>
  <c r="Y38"/>
  <c r="Y39"/>
  <c r="Y40"/>
  <c r="Y41"/>
  <c r="Y42"/>
  <c r="Y43"/>
  <c r="Y44"/>
  <c r="Y45"/>
  <c r="Y47"/>
  <c r="Y29"/>
  <c r="Y30"/>
  <c r="Y31"/>
  <c r="Y32"/>
  <c r="Y33"/>
  <c r="Y34"/>
  <c r="Y35"/>
  <c r="Y36"/>
  <c r="Y28"/>
  <c r="W15"/>
  <c r="W14"/>
  <c r="W41"/>
  <c r="V15"/>
  <c r="V14"/>
  <c r="U15"/>
  <c r="U14"/>
  <c r="N28"/>
  <c r="N50" s="1"/>
  <c r="N29"/>
  <c r="N30"/>
  <c r="N31"/>
  <c r="N32"/>
  <c r="N33"/>
  <c r="N34"/>
  <c r="N35"/>
  <c r="N36"/>
  <c r="N38"/>
  <c r="N39"/>
  <c r="N40"/>
  <c r="N41"/>
  <c r="N42"/>
  <c r="N43"/>
  <c r="N44"/>
  <c r="N45"/>
  <c r="N47"/>
  <c r="M28"/>
  <c r="W28" s="1"/>
  <c r="M29"/>
  <c r="W29" s="1"/>
  <c r="M30"/>
  <c r="W30" s="1"/>
  <c r="M31"/>
  <c r="W31" s="1"/>
  <c r="M32"/>
  <c r="W32" s="1"/>
  <c r="M33"/>
  <c r="W33" s="1"/>
  <c r="M34"/>
  <c r="W34" s="1"/>
  <c r="M35"/>
  <c r="W35" s="1"/>
  <c r="M36"/>
  <c r="W36" s="1"/>
  <c r="M38"/>
  <c r="W38" s="1"/>
  <c r="M39"/>
  <c r="W39" s="1"/>
  <c r="M40"/>
  <c r="W40" s="1"/>
  <c r="M41"/>
  <c r="M42"/>
  <c r="W42" s="1"/>
  <c r="M43"/>
  <c r="W43" s="1"/>
  <c r="M44"/>
  <c r="W44" s="1"/>
  <c r="M45"/>
  <c r="W45" s="1"/>
  <c r="M47"/>
  <c r="W47" s="1"/>
  <c r="V3" i="1"/>
  <c r="V4"/>
  <c r="V5"/>
  <c r="V6"/>
  <c r="V7"/>
  <c r="V8"/>
  <c r="V9"/>
  <c r="V10"/>
  <c r="V11"/>
  <c r="V12"/>
  <c r="V13"/>
  <c r="V14"/>
  <c r="V15"/>
  <c r="V16"/>
  <c r="V17"/>
  <c r="V18"/>
  <c r="V2"/>
  <c r="Q3" i="2"/>
  <c r="Q4"/>
  <c r="Q5"/>
  <c r="Q6"/>
  <c r="Q7"/>
  <c r="Q8"/>
  <c r="Q9"/>
  <c r="Q10"/>
  <c r="Q11"/>
  <c r="Q12"/>
  <c r="Q13"/>
  <c r="Q14"/>
  <c r="Q15"/>
  <c r="Q16"/>
  <c r="Q17"/>
  <c r="Q18"/>
  <c r="Q19"/>
  <c r="Q20"/>
  <c r="Q2"/>
  <c r="U3" i="1"/>
  <c r="U4"/>
  <c r="U5"/>
  <c r="U6"/>
  <c r="U7"/>
  <c r="U8"/>
  <c r="U9"/>
  <c r="U10"/>
  <c r="U11"/>
  <c r="U12"/>
  <c r="U13"/>
  <c r="U14"/>
  <c r="U15"/>
  <c r="U16"/>
  <c r="U17"/>
  <c r="U18"/>
  <c r="U2"/>
  <c r="B27" i="7"/>
  <c r="B26"/>
  <c r="M23" i="8"/>
  <c r="N23"/>
  <c r="O23"/>
  <c r="P23"/>
  <c r="Q23"/>
  <c r="L23"/>
  <c r="M22"/>
  <c r="N22"/>
  <c r="O22"/>
  <c r="P22"/>
  <c r="Q22"/>
  <c r="L22"/>
  <c r="M23" i="7"/>
  <c r="L23"/>
  <c r="R23" s="1"/>
  <c r="S23" s="1"/>
  <c r="T23" s="1"/>
  <c r="K23"/>
  <c r="J23"/>
  <c r="P23" s="1"/>
  <c r="Q23" s="1"/>
  <c r="I23"/>
  <c r="H23"/>
  <c r="G23"/>
  <c r="F23"/>
  <c r="E23"/>
  <c r="D23"/>
  <c r="C23"/>
  <c r="B23"/>
  <c r="M22"/>
  <c r="L22"/>
  <c r="R22" s="1"/>
  <c r="S22" s="1"/>
  <c r="T22" s="1"/>
  <c r="K22"/>
  <c r="J22"/>
  <c r="P22" s="1"/>
  <c r="Q22" s="1"/>
  <c r="I22"/>
  <c r="H22"/>
  <c r="G22"/>
  <c r="F22"/>
  <c r="E22"/>
  <c r="D22"/>
  <c r="C22"/>
  <c r="B22"/>
  <c r="M21"/>
  <c r="L21"/>
  <c r="R21" s="1"/>
  <c r="S21" s="1"/>
  <c r="T21" s="1"/>
  <c r="K21"/>
  <c r="J21"/>
  <c r="P21" s="1"/>
  <c r="Q21" s="1"/>
  <c r="I21"/>
  <c r="H21"/>
  <c r="G21"/>
  <c r="F21"/>
  <c r="E21"/>
  <c r="D21"/>
  <c r="C21"/>
  <c r="B21"/>
  <c r="M20"/>
  <c r="L20"/>
  <c r="R20" s="1"/>
  <c r="S20" s="1"/>
  <c r="T20" s="1"/>
  <c r="K20"/>
  <c r="J20"/>
  <c r="P20" s="1"/>
  <c r="Q20" s="1"/>
  <c r="I20"/>
  <c r="H20"/>
  <c r="G20"/>
  <c r="F20"/>
  <c r="E20"/>
  <c r="D20"/>
  <c r="C20"/>
  <c r="B20"/>
  <c r="M19"/>
  <c r="L19"/>
  <c r="R19" s="1"/>
  <c r="S19" s="1"/>
  <c r="T19" s="1"/>
  <c r="K19"/>
  <c r="J19"/>
  <c r="P19" s="1"/>
  <c r="Q19" s="1"/>
  <c r="I19"/>
  <c r="H19"/>
  <c r="G19"/>
  <c r="F19"/>
  <c r="E19"/>
  <c r="D19"/>
  <c r="C19"/>
  <c r="B19"/>
  <c r="M18"/>
  <c r="L18"/>
  <c r="R18" s="1"/>
  <c r="S18" s="1"/>
  <c r="T18" s="1"/>
  <c r="K18"/>
  <c r="J18"/>
  <c r="P18" s="1"/>
  <c r="Q18" s="1"/>
  <c r="I18"/>
  <c r="H18"/>
  <c r="G18"/>
  <c r="F18"/>
  <c r="E18"/>
  <c r="D18"/>
  <c r="C18"/>
  <c r="B18"/>
  <c r="M17"/>
  <c r="L17"/>
  <c r="R17" s="1"/>
  <c r="S17" s="1"/>
  <c r="T17" s="1"/>
  <c r="K17"/>
  <c r="J17"/>
  <c r="P17" s="1"/>
  <c r="Q17" s="1"/>
  <c r="I17"/>
  <c r="H17"/>
  <c r="G17"/>
  <c r="F17"/>
  <c r="E17"/>
  <c r="D17"/>
  <c r="C17"/>
  <c r="B17"/>
  <c r="M16"/>
  <c r="L16"/>
  <c r="R16" s="1"/>
  <c r="S16" s="1"/>
  <c r="T16" s="1"/>
  <c r="K16"/>
  <c r="J16"/>
  <c r="P16" s="1"/>
  <c r="Q16" s="1"/>
  <c r="I16"/>
  <c r="H16"/>
  <c r="G16"/>
  <c r="F16"/>
  <c r="E16"/>
  <c r="D16"/>
  <c r="C16"/>
  <c r="B16"/>
  <c r="M15"/>
  <c r="L15"/>
  <c r="R15" s="1"/>
  <c r="S15" s="1"/>
  <c r="T15" s="1"/>
  <c r="K15"/>
  <c r="J15"/>
  <c r="P15" s="1"/>
  <c r="Q15" s="1"/>
  <c r="I15"/>
  <c r="H15"/>
  <c r="G15"/>
  <c r="F15"/>
  <c r="E15"/>
  <c r="D15"/>
  <c r="C15"/>
  <c r="B15"/>
  <c r="M14"/>
  <c r="L14"/>
  <c r="R14" s="1"/>
  <c r="S14" s="1"/>
  <c r="T14" s="1"/>
  <c r="K14"/>
  <c r="J14"/>
  <c r="P14" s="1"/>
  <c r="Q14" s="1"/>
  <c r="I14"/>
  <c r="H14"/>
  <c r="G14"/>
  <c r="F14"/>
  <c r="E14"/>
  <c r="D14"/>
  <c r="C14"/>
  <c r="B14"/>
  <c r="M13"/>
  <c r="L13"/>
  <c r="R13" s="1"/>
  <c r="S13" s="1"/>
  <c r="T13" s="1"/>
  <c r="K13"/>
  <c r="J13"/>
  <c r="P13" s="1"/>
  <c r="Q13" s="1"/>
  <c r="I13"/>
  <c r="H13"/>
  <c r="G13"/>
  <c r="F13"/>
  <c r="E13"/>
  <c r="D13"/>
  <c r="C13"/>
  <c r="B13"/>
  <c r="M12"/>
  <c r="L12"/>
  <c r="R12" s="1"/>
  <c r="S12" s="1"/>
  <c r="T12" s="1"/>
  <c r="K12"/>
  <c r="J12"/>
  <c r="P12" s="1"/>
  <c r="Q12" s="1"/>
  <c r="I12"/>
  <c r="H12"/>
  <c r="G12"/>
  <c r="F12"/>
  <c r="E12"/>
  <c r="D12"/>
  <c r="C12"/>
  <c r="B12"/>
  <c r="M11"/>
  <c r="L11"/>
  <c r="R11" s="1"/>
  <c r="S11" s="1"/>
  <c r="T11" s="1"/>
  <c r="K11"/>
  <c r="J11"/>
  <c r="P11" s="1"/>
  <c r="Q11" s="1"/>
  <c r="I11"/>
  <c r="H11"/>
  <c r="G11"/>
  <c r="F11"/>
  <c r="E11"/>
  <c r="D11"/>
  <c r="C11"/>
  <c r="B11"/>
  <c r="M10"/>
  <c r="L10"/>
  <c r="R10" s="1"/>
  <c r="S10" s="1"/>
  <c r="T10" s="1"/>
  <c r="K10"/>
  <c r="J10"/>
  <c r="P10" s="1"/>
  <c r="Q10" s="1"/>
  <c r="I10"/>
  <c r="H10"/>
  <c r="G10"/>
  <c r="F10"/>
  <c r="E10"/>
  <c r="D10"/>
  <c r="C10"/>
  <c r="B10"/>
  <c r="M9"/>
  <c r="L9"/>
  <c r="R9" s="1"/>
  <c r="S9" s="1"/>
  <c r="T9" s="1"/>
  <c r="K9"/>
  <c r="J9"/>
  <c r="P9" s="1"/>
  <c r="Q9" s="1"/>
  <c r="I9"/>
  <c r="H9"/>
  <c r="G9"/>
  <c r="F9"/>
  <c r="E9"/>
  <c r="D9"/>
  <c r="C9"/>
  <c r="B9"/>
  <c r="M8"/>
  <c r="L8"/>
  <c r="R8" s="1"/>
  <c r="S8" s="1"/>
  <c r="T8" s="1"/>
  <c r="K8"/>
  <c r="J8"/>
  <c r="P8" s="1"/>
  <c r="Q8" s="1"/>
  <c r="I8"/>
  <c r="H8"/>
  <c r="G8"/>
  <c r="F8"/>
  <c r="E8"/>
  <c r="D8"/>
  <c r="C8"/>
  <c r="B8"/>
  <c r="M7"/>
  <c r="L7"/>
  <c r="R7" s="1"/>
  <c r="S7" s="1"/>
  <c r="T7" s="1"/>
  <c r="K7"/>
  <c r="J7"/>
  <c r="P7" s="1"/>
  <c r="Q7" s="1"/>
  <c r="I7"/>
  <c r="H7"/>
  <c r="G7"/>
  <c r="F7"/>
  <c r="E7"/>
  <c r="D7"/>
  <c r="C7"/>
  <c r="B7"/>
  <c r="M6"/>
  <c r="L6"/>
  <c r="R6" s="1"/>
  <c r="S6" s="1"/>
  <c r="T6" s="1"/>
  <c r="K6"/>
  <c r="J6"/>
  <c r="P6" s="1"/>
  <c r="Q6" s="1"/>
  <c r="I6"/>
  <c r="H6"/>
  <c r="G6"/>
  <c r="F6"/>
  <c r="E6"/>
  <c r="D6"/>
  <c r="C6"/>
  <c r="B6"/>
  <c r="M5"/>
  <c r="L5"/>
  <c r="R5" s="1"/>
  <c r="S5" s="1"/>
  <c r="T5" s="1"/>
  <c r="K5"/>
  <c r="J5"/>
  <c r="P5" s="1"/>
  <c r="Q5" s="1"/>
  <c r="I5"/>
  <c r="H5"/>
  <c r="G5"/>
  <c r="F5"/>
  <c r="E5"/>
  <c r="D5"/>
  <c r="C5"/>
  <c r="B5"/>
  <c r="M4"/>
  <c r="L4"/>
  <c r="R4" s="1"/>
  <c r="S4" s="1"/>
  <c r="T4" s="1"/>
  <c r="K4"/>
  <c r="J4"/>
  <c r="P4" s="1"/>
  <c r="Q4" s="1"/>
  <c r="I4"/>
  <c r="H4"/>
  <c r="G4"/>
  <c r="F4"/>
  <c r="E4"/>
  <c r="D4"/>
  <c r="C4"/>
  <c r="B4"/>
  <c r="M3"/>
  <c r="L3"/>
  <c r="R3" s="1"/>
  <c r="S3" s="1"/>
  <c r="T3" s="1"/>
  <c r="K3"/>
  <c r="J3"/>
  <c r="P3" s="1"/>
  <c r="Q3" s="1"/>
  <c r="I3"/>
  <c r="H3"/>
  <c r="G3"/>
  <c r="F3"/>
  <c r="E3"/>
  <c r="D3"/>
  <c r="C3"/>
  <c r="B3"/>
  <c r="M2"/>
  <c r="L2"/>
  <c r="R2" s="1"/>
  <c r="S2" s="1"/>
  <c r="T2" s="1"/>
  <c r="K2"/>
  <c r="J2"/>
  <c r="P2" s="1"/>
  <c r="Q2" s="1"/>
  <c r="I2"/>
  <c r="H2"/>
  <c r="G2"/>
  <c r="F2"/>
  <c r="E2"/>
  <c r="D2"/>
  <c r="C2"/>
  <c r="B2"/>
  <c r="B2" i="2"/>
  <c r="B2" i="9" s="1"/>
  <c r="M2" i="2"/>
  <c r="Y2" i="9" s="1"/>
  <c r="M3" i="2"/>
  <c r="M4"/>
  <c r="M5"/>
  <c r="Y5" i="9" s="1"/>
  <c r="M6" i="2"/>
  <c r="M7"/>
  <c r="M8"/>
  <c r="M9"/>
  <c r="Y9" i="9" s="1"/>
  <c r="M10" i="2"/>
  <c r="G11" i="6" s="1"/>
  <c r="M11" i="2"/>
  <c r="M12"/>
  <c r="M13"/>
  <c r="Y13" i="9" s="1"/>
  <c r="M14" i="2"/>
  <c r="M15"/>
  <c r="M16"/>
  <c r="M17"/>
  <c r="Y17" i="9" s="1"/>
  <c r="M18" i="2"/>
  <c r="G19" i="6" s="1"/>
  <c r="M19" i="2"/>
  <c r="M20"/>
  <c r="M21"/>
  <c r="Y21" i="9" s="1"/>
  <c r="M22" i="2"/>
  <c r="M23"/>
  <c r="L2"/>
  <c r="X2" i="9" s="1"/>
  <c r="L3" i="2"/>
  <c r="V3" i="9" s="1"/>
  <c r="L4" i="2"/>
  <c r="V4" i="9" s="1"/>
  <c r="L5" i="2"/>
  <c r="X5" i="9" s="1"/>
  <c r="L6" i="2"/>
  <c r="X6" i="9" s="1"/>
  <c r="L7" i="2"/>
  <c r="X7" i="9" s="1"/>
  <c r="L8" i="2"/>
  <c r="X8" i="9" s="1"/>
  <c r="L9" i="2"/>
  <c r="X9" i="9" s="1"/>
  <c r="L10" i="2"/>
  <c r="X10" i="9" s="1"/>
  <c r="L11" i="2"/>
  <c r="V11" i="9" s="1"/>
  <c r="L12" i="2"/>
  <c r="V12" i="9" s="1"/>
  <c r="L13" i="2"/>
  <c r="X13" i="9" s="1"/>
  <c r="L14" i="2"/>
  <c r="X14" i="9" s="1"/>
  <c r="L15" i="2"/>
  <c r="X15" i="9" s="1"/>
  <c r="L16" i="2"/>
  <c r="X16" i="9" s="1"/>
  <c r="L17" i="2"/>
  <c r="X17" i="9" s="1"/>
  <c r="L18" i="2"/>
  <c r="X18" i="9" s="1"/>
  <c r="L19" i="2"/>
  <c r="V19" i="9" s="1"/>
  <c r="L20" i="2"/>
  <c r="V20" i="9" s="1"/>
  <c r="L21" i="2"/>
  <c r="X21" i="9" s="1"/>
  <c r="L22" i="2"/>
  <c r="X22" i="9" s="1"/>
  <c r="L23" i="2"/>
  <c r="X23" i="9" s="1"/>
  <c r="K2" i="2"/>
  <c r="S2" i="9" s="1"/>
  <c r="K3" i="2"/>
  <c r="S3" i="9" s="1"/>
  <c r="K4" i="2"/>
  <c r="U4" i="9" s="1"/>
  <c r="K5" i="2"/>
  <c r="U5" i="9" s="1"/>
  <c r="K6" i="2"/>
  <c r="U6" i="9" s="1"/>
  <c r="K7" i="2"/>
  <c r="U7" i="9" s="1"/>
  <c r="K8" i="2"/>
  <c r="U8" i="9" s="1"/>
  <c r="K9" i="2"/>
  <c r="U9" i="9" s="1"/>
  <c r="K10" i="2"/>
  <c r="S10" i="9" s="1"/>
  <c r="K11" i="2"/>
  <c r="S11" i="9" s="1"/>
  <c r="K12" i="2"/>
  <c r="U12" i="9" s="1"/>
  <c r="K13" i="2"/>
  <c r="U13" i="9" s="1"/>
  <c r="K14" i="2"/>
  <c r="U14" i="9" s="1"/>
  <c r="K15" i="2"/>
  <c r="U15" i="9" s="1"/>
  <c r="K16" i="2"/>
  <c r="U16" i="9" s="1"/>
  <c r="K17" i="2"/>
  <c r="F18" i="8" s="1"/>
  <c r="K18" i="2"/>
  <c r="K19"/>
  <c r="S19" i="9" s="1"/>
  <c r="K20" i="2"/>
  <c r="K21"/>
  <c r="U21" i="9" s="1"/>
  <c r="K22" i="2"/>
  <c r="U22" i="9" s="1"/>
  <c r="K23" i="2"/>
  <c r="J2"/>
  <c r="T2" i="9" s="1"/>
  <c r="J3" i="2"/>
  <c r="T3" i="9" s="1"/>
  <c r="J4" i="2"/>
  <c r="T4" i="9" s="1"/>
  <c r="J5" i="2"/>
  <c r="T5" i="9" s="1"/>
  <c r="J6" i="2"/>
  <c r="T6" i="9" s="1"/>
  <c r="J7" i="2"/>
  <c r="R7" i="9" s="1"/>
  <c r="J8" i="2"/>
  <c r="R8" i="9" s="1"/>
  <c r="J9" i="2"/>
  <c r="T9" i="9" s="1"/>
  <c r="J10" i="2"/>
  <c r="T10" i="9" s="1"/>
  <c r="J11" i="2"/>
  <c r="T11" i="9" s="1"/>
  <c r="J12" i="2"/>
  <c r="T12" i="9" s="1"/>
  <c r="J13" i="2"/>
  <c r="T13" i="9" s="1"/>
  <c r="J14" i="2"/>
  <c r="T14" i="9" s="1"/>
  <c r="J15" i="2"/>
  <c r="R15" i="9" s="1"/>
  <c r="J16" i="2"/>
  <c r="R16" i="9" s="1"/>
  <c r="J17" i="2"/>
  <c r="T17" i="9" s="1"/>
  <c r="J18" i="2"/>
  <c r="T18" i="9" s="1"/>
  <c r="J19" i="2"/>
  <c r="T19" i="9" s="1"/>
  <c r="J20" i="2"/>
  <c r="T20" i="9" s="1"/>
  <c r="J21" i="2"/>
  <c r="T21" i="9" s="1"/>
  <c r="J22" i="2"/>
  <c r="T22" i="9" s="1"/>
  <c r="J23" i="2"/>
  <c r="R23" i="9" s="1"/>
  <c r="I2" i="2"/>
  <c r="E3" i="8" s="1"/>
  <c r="I3" i="2"/>
  <c r="Q3" i="9" s="1"/>
  <c r="I4" i="2"/>
  <c r="I5"/>
  <c r="O5" i="9" s="1"/>
  <c r="I6" i="2"/>
  <c r="O6" i="9" s="1"/>
  <c r="I7" i="2"/>
  <c r="O7" i="9" s="1"/>
  <c r="I8" i="2"/>
  <c r="I9"/>
  <c r="Q9" i="9" s="1"/>
  <c r="I10" i="2"/>
  <c r="Q10" i="9" s="1"/>
  <c r="I11" i="2"/>
  <c r="Q11" i="9" s="1"/>
  <c r="I12" i="2"/>
  <c r="Q12" i="9" s="1"/>
  <c r="I13" i="2"/>
  <c r="O13" i="9" s="1"/>
  <c r="I14" i="2"/>
  <c r="O14" i="9" s="1"/>
  <c r="I15" i="2"/>
  <c r="O15" i="9" s="1"/>
  <c r="I16" i="2"/>
  <c r="I17"/>
  <c r="Q17" i="9" s="1"/>
  <c r="I18" i="2"/>
  <c r="Q18" i="9" s="1"/>
  <c r="I19" i="2"/>
  <c r="Q19" i="9" s="1"/>
  <c r="I20" i="2"/>
  <c r="I21"/>
  <c r="O21" i="9" s="1"/>
  <c r="I22" i="2"/>
  <c r="O22" i="9" s="1"/>
  <c r="I23" i="2"/>
  <c r="H2"/>
  <c r="P2" i="9" s="1"/>
  <c r="H3" i="2"/>
  <c r="P3" i="9" s="1"/>
  <c r="H4" i="2"/>
  <c r="P4" i="9" s="1"/>
  <c r="H5" i="2"/>
  <c r="P5" i="9" s="1"/>
  <c r="H6" i="2"/>
  <c r="P6" i="9" s="1"/>
  <c r="H7" i="2"/>
  <c r="P7" i="9" s="1"/>
  <c r="H8" i="2"/>
  <c r="N8" i="9" s="1"/>
  <c r="H9" i="2"/>
  <c r="P9" i="9" s="1"/>
  <c r="H10" i="2"/>
  <c r="P10" i="9" s="1"/>
  <c r="H11" i="2"/>
  <c r="P11" i="9" s="1"/>
  <c r="H12" i="2"/>
  <c r="P12" i="9" s="1"/>
  <c r="H13" i="2"/>
  <c r="P13" i="9" s="1"/>
  <c r="H14" i="2"/>
  <c r="P14" i="9" s="1"/>
  <c r="H15" i="2"/>
  <c r="P15" i="9" s="1"/>
  <c r="H16" i="2"/>
  <c r="N16" i="9" s="1"/>
  <c r="H17" i="2"/>
  <c r="P17" i="9" s="1"/>
  <c r="H18" i="2"/>
  <c r="P18" i="9" s="1"/>
  <c r="H19" i="2"/>
  <c r="P19" i="9" s="1"/>
  <c r="H20" i="2"/>
  <c r="P20" i="9" s="1"/>
  <c r="H21" i="2"/>
  <c r="P21" i="9" s="1"/>
  <c r="H22" i="2"/>
  <c r="P22" i="9" s="1"/>
  <c r="H23" i="2"/>
  <c r="P23" i="9" s="1"/>
  <c r="G2" i="2"/>
  <c r="K2" i="9" s="1"/>
  <c r="G3" i="2"/>
  <c r="G4"/>
  <c r="M4" i="9" s="1"/>
  <c r="G5" i="2"/>
  <c r="M5" i="9" s="1"/>
  <c r="G6" i="2"/>
  <c r="K6" i="9" s="1"/>
  <c r="G7" i="2"/>
  <c r="K7" i="9" s="1"/>
  <c r="G8" i="2"/>
  <c r="K8" i="9" s="1"/>
  <c r="G9" i="2"/>
  <c r="M9" i="9" s="1"/>
  <c r="G10" i="2"/>
  <c r="M10" i="9" s="1"/>
  <c r="G11" i="2"/>
  <c r="G12"/>
  <c r="M12" i="9" s="1"/>
  <c r="G13" i="2"/>
  <c r="M13" i="9" s="1"/>
  <c r="G14" i="2"/>
  <c r="K14" i="9" s="1"/>
  <c r="G15" i="2"/>
  <c r="K15" i="9" s="1"/>
  <c r="G16" i="2"/>
  <c r="K16" i="9" s="1"/>
  <c r="G17" i="2"/>
  <c r="M17" i="9" s="1"/>
  <c r="G18" i="2"/>
  <c r="M18" i="9" s="1"/>
  <c r="G19" i="2"/>
  <c r="G20"/>
  <c r="M20" i="9" s="1"/>
  <c r="G21" i="2"/>
  <c r="M21" i="9" s="1"/>
  <c r="G22" i="2"/>
  <c r="M22" i="9" s="1"/>
  <c r="G23" i="2"/>
  <c r="K23" i="9" s="1"/>
  <c r="F2" i="2"/>
  <c r="L2" i="9" s="1"/>
  <c r="F3" i="2"/>
  <c r="L3" i="9" s="1"/>
  <c r="F4" i="2"/>
  <c r="L4" i="9" s="1"/>
  <c r="F5" i="2"/>
  <c r="L5" i="9" s="1"/>
  <c r="F6" i="2"/>
  <c r="L6" i="9" s="1"/>
  <c r="F7" i="2"/>
  <c r="L7" i="9" s="1"/>
  <c r="F8" i="2"/>
  <c r="J8" i="9" s="1"/>
  <c r="F9" i="2"/>
  <c r="L9" i="9" s="1"/>
  <c r="F10" i="2"/>
  <c r="L10" i="9" s="1"/>
  <c r="F11" i="2"/>
  <c r="L11" i="9" s="1"/>
  <c r="F12" i="2"/>
  <c r="L12" i="9" s="1"/>
  <c r="F13" i="2"/>
  <c r="L13" i="9" s="1"/>
  <c r="F14" i="2"/>
  <c r="L14" i="9" s="1"/>
  <c r="F15" i="2"/>
  <c r="L15" i="9" s="1"/>
  <c r="F16" i="2"/>
  <c r="J16" i="9" s="1"/>
  <c r="F17" i="2"/>
  <c r="L17" i="9" s="1"/>
  <c r="F18" i="2"/>
  <c r="L18" i="9" s="1"/>
  <c r="F19" i="2"/>
  <c r="L19" i="9" s="1"/>
  <c r="F20" i="2"/>
  <c r="L20" i="9" s="1"/>
  <c r="F21" i="2"/>
  <c r="L21" i="9" s="1"/>
  <c r="F22" i="2"/>
  <c r="L22" i="9" s="1"/>
  <c r="F23" i="2"/>
  <c r="L23" i="9" s="1"/>
  <c r="E2" i="2"/>
  <c r="I2" i="9" s="1"/>
  <c r="E3" i="2"/>
  <c r="I3" i="9" s="1"/>
  <c r="E4" i="2"/>
  <c r="G4" i="9" s="1"/>
  <c r="E5" i="2"/>
  <c r="G5" i="9" s="1"/>
  <c r="E6" i="2"/>
  <c r="G6" i="9" s="1"/>
  <c r="E7" i="2"/>
  <c r="E8"/>
  <c r="I8" i="9" s="1"/>
  <c r="E9" i="2"/>
  <c r="I9" i="9" s="1"/>
  <c r="E10" i="2"/>
  <c r="I10" i="9" s="1"/>
  <c r="E11" i="2"/>
  <c r="I11" i="9" s="1"/>
  <c r="E12" i="2"/>
  <c r="G12" i="9" s="1"/>
  <c r="E13" i="2"/>
  <c r="G13" i="9" s="1"/>
  <c r="E14" i="2"/>
  <c r="G14" i="9" s="1"/>
  <c r="E15" i="2"/>
  <c r="E16"/>
  <c r="I16" i="9" s="1"/>
  <c r="E17" i="2"/>
  <c r="I17" i="9" s="1"/>
  <c r="E18" i="2"/>
  <c r="I18" i="9" s="1"/>
  <c r="E19" i="2"/>
  <c r="I19" i="9" s="1"/>
  <c r="E20" i="2"/>
  <c r="G20" i="9" s="1"/>
  <c r="E21" i="2"/>
  <c r="G21" i="9" s="1"/>
  <c r="E22" i="2"/>
  <c r="G22" i="9" s="1"/>
  <c r="E23" i="2"/>
  <c r="G23" i="9" s="1"/>
  <c r="D2" i="2"/>
  <c r="F2" i="9" s="1"/>
  <c r="D3" i="2"/>
  <c r="H3" i="9" s="1"/>
  <c r="D4" i="2"/>
  <c r="H4" i="9" s="1"/>
  <c r="D5" i="2"/>
  <c r="H5" i="9" s="1"/>
  <c r="D6" i="2"/>
  <c r="H6" i="9" s="1"/>
  <c r="D7" i="2"/>
  <c r="H7" i="9" s="1"/>
  <c r="D8" i="2"/>
  <c r="H8" i="9" s="1"/>
  <c r="D9" i="2"/>
  <c r="H9" i="9" s="1"/>
  <c r="D10" i="2"/>
  <c r="F10" i="9" s="1"/>
  <c r="D11" i="2"/>
  <c r="H11" i="9" s="1"/>
  <c r="D12" i="2"/>
  <c r="H12" i="9" s="1"/>
  <c r="D13" i="2"/>
  <c r="H13" i="9" s="1"/>
  <c r="D14" i="2"/>
  <c r="H14" i="9" s="1"/>
  <c r="D15" i="2"/>
  <c r="H15" i="9" s="1"/>
  <c r="D16" i="2"/>
  <c r="H16" i="9" s="1"/>
  <c r="D17" i="2"/>
  <c r="H17" i="9" s="1"/>
  <c r="D18" i="2"/>
  <c r="F18" i="9" s="1"/>
  <c r="D19" i="2"/>
  <c r="H19" i="9" s="1"/>
  <c r="D20" i="2"/>
  <c r="H20" i="9" s="1"/>
  <c r="D21" i="2"/>
  <c r="H21" i="9" s="1"/>
  <c r="D22" i="2"/>
  <c r="H22" i="9" s="1"/>
  <c r="D23" i="2"/>
  <c r="H23" i="9" s="1"/>
  <c r="C2" i="2"/>
  <c r="B3" i="6" s="1"/>
  <c r="C3" i="2"/>
  <c r="C3" i="9" s="1"/>
  <c r="C4" i="2"/>
  <c r="C4" i="9" s="1"/>
  <c r="C5" i="2"/>
  <c r="C5" i="9" s="1"/>
  <c r="C6" i="2"/>
  <c r="B7" i="8" s="1"/>
  <c r="C7" i="2"/>
  <c r="E7" i="9" s="1"/>
  <c r="C8" i="2"/>
  <c r="E8" i="9" s="1"/>
  <c r="C9" i="2"/>
  <c r="C10"/>
  <c r="C11"/>
  <c r="C11" i="9" s="1"/>
  <c r="C12" i="2"/>
  <c r="C12" i="9" s="1"/>
  <c r="C13" i="2"/>
  <c r="C13" i="9" s="1"/>
  <c r="C14" i="2"/>
  <c r="B15" i="8" s="1"/>
  <c r="C15" i="2"/>
  <c r="E15" i="9" s="1"/>
  <c r="C16" i="2"/>
  <c r="E16" i="9" s="1"/>
  <c r="C17" i="2"/>
  <c r="C18"/>
  <c r="C19"/>
  <c r="C19" i="9" s="1"/>
  <c r="C20" i="2"/>
  <c r="C20" i="9" s="1"/>
  <c r="C21" i="2"/>
  <c r="C21" i="9" s="1"/>
  <c r="C22" i="2"/>
  <c r="B23" i="8" s="1"/>
  <c r="C23" i="2"/>
  <c r="E23" i="9" s="1"/>
  <c r="B3" i="2"/>
  <c r="D3" i="9" s="1"/>
  <c r="B4" i="2"/>
  <c r="D4" i="9" s="1"/>
  <c r="B5" i="2"/>
  <c r="D5" i="9" s="1"/>
  <c r="B6" i="2"/>
  <c r="D6" i="9" s="1"/>
  <c r="B7" i="2"/>
  <c r="D7" i="9" s="1"/>
  <c r="B8" i="2"/>
  <c r="D8" i="9" s="1"/>
  <c r="B9" i="2"/>
  <c r="D9" i="9" s="1"/>
  <c r="B10" i="2"/>
  <c r="B10" i="9" s="1"/>
  <c r="B11" i="2"/>
  <c r="D11" i="9" s="1"/>
  <c r="B12" i="2"/>
  <c r="D12" i="9" s="1"/>
  <c r="B13" i="2"/>
  <c r="D13" i="9" s="1"/>
  <c r="B14" i="2"/>
  <c r="D14" i="9" s="1"/>
  <c r="B15" i="2"/>
  <c r="D15" i="9" s="1"/>
  <c r="B16" i="2"/>
  <c r="D16" i="9" s="1"/>
  <c r="B17" i="2"/>
  <c r="D17" i="9" s="1"/>
  <c r="B18" i="2"/>
  <c r="B18" i="9" s="1"/>
  <c r="B19" i="2"/>
  <c r="D19" i="9" s="1"/>
  <c r="B20" i="2"/>
  <c r="D20" i="9" s="1"/>
  <c r="B21" i="2"/>
  <c r="D21" i="9" s="1"/>
  <c r="B22" i="2"/>
  <c r="D22" i="9" s="1"/>
  <c r="B23" i="2"/>
  <c r="D23" i="9" s="1"/>
  <c r="F24" i="6" l="1"/>
  <c r="G20"/>
  <c r="G12"/>
  <c r="G4"/>
  <c r="B12" i="8"/>
  <c r="B24"/>
  <c r="B11" i="9"/>
  <c r="F11"/>
  <c r="N17"/>
  <c r="V13"/>
  <c r="U17"/>
  <c r="E21" i="8"/>
  <c r="E13"/>
  <c r="E5"/>
  <c r="F10"/>
  <c r="F22"/>
  <c r="B19" i="9"/>
  <c r="F19"/>
  <c r="K9"/>
  <c r="Q20"/>
  <c r="V21"/>
  <c r="B18" i="8"/>
  <c r="B10"/>
  <c r="B8"/>
  <c r="D21"/>
  <c r="E9" i="9"/>
  <c r="J9"/>
  <c r="K17"/>
  <c r="T7"/>
  <c r="B19" i="8"/>
  <c r="B11"/>
  <c r="D3"/>
  <c r="F19" i="6"/>
  <c r="G23"/>
  <c r="G15"/>
  <c r="G7"/>
  <c r="F6" i="8"/>
  <c r="B20"/>
  <c r="E17" i="9"/>
  <c r="J17"/>
  <c r="I4"/>
  <c r="T15"/>
  <c r="C24" i="8"/>
  <c r="C16"/>
  <c r="C8"/>
  <c r="D20"/>
  <c r="D12"/>
  <c r="D4"/>
  <c r="E24"/>
  <c r="E16"/>
  <c r="E8"/>
  <c r="F20"/>
  <c r="F12"/>
  <c r="F4"/>
  <c r="G24"/>
  <c r="G16"/>
  <c r="G8"/>
  <c r="D5"/>
  <c r="D2" i="9"/>
  <c r="H2"/>
  <c r="I12"/>
  <c r="O23"/>
  <c r="T23"/>
  <c r="X3"/>
  <c r="W7"/>
  <c r="R29" i="2"/>
  <c r="S29" s="1"/>
  <c r="E17" i="8"/>
  <c r="E9"/>
  <c r="F21"/>
  <c r="G17"/>
  <c r="G9"/>
  <c r="B4"/>
  <c r="B16"/>
  <c r="D10" i="9"/>
  <c r="H10"/>
  <c r="I20"/>
  <c r="P8"/>
  <c r="R9"/>
  <c r="X11"/>
  <c r="W15"/>
  <c r="F14" i="8"/>
  <c r="D18" i="9"/>
  <c r="H18"/>
  <c r="G7"/>
  <c r="P16"/>
  <c r="R17"/>
  <c r="X19"/>
  <c r="W23"/>
  <c r="N51" i="2"/>
  <c r="O50" s="1"/>
  <c r="D13" i="8"/>
  <c r="B3" i="9"/>
  <c r="F3"/>
  <c r="G15"/>
  <c r="N9"/>
  <c r="Q4"/>
  <c r="V5"/>
  <c r="P42" i="2"/>
  <c r="Q42" s="1"/>
  <c r="P33"/>
  <c r="Q33" s="1"/>
  <c r="R39"/>
  <c r="S39" s="1"/>
  <c r="R30"/>
  <c r="S30" s="1"/>
  <c r="P43"/>
  <c r="Q43" s="1"/>
  <c r="P34"/>
  <c r="Q34" s="1"/>
  <c r="R40"/>
  <c r="S40" s="1"/>
  <c r="R31"/>
  <c r="S31" s="1"/>
  <c r="P44"/>
  <c r="Q44" s="1"/>
  <c r="P35"/>
  <c r="Q35" s="1"/>
  <c r="R41"/>
  <c r="S41" s="1"/>
  <c r="R32"/>
  <c r="S32" s="1"/>
  <c r="P45"/>
  <c r="Q45" s="1"/>
  <c r="P36"/>
  <c r="Q36" s="1"/>
  <c r="P28"/>
  <c r="Q28" s="1"/>
  <c r="R42"/>
  <c r="S42" s="1"/>
  <c r="R33"/>
  <c r="S33" s="1"/>
  <c r="T22"/>
  <c r="U22" s="1"/>
  <c r="P47"/>
  <c r="Q47" s="1"/>
  <c r="P38"/>
  <c r="Q38" s="1"/>
  <c r="P29"/>
  <c r="Q29" s="1"/>
  <c r="R43"/>
  <c r="S43" s="1"/>
  <c r="R34"/>
  <c r="S34" s="1"/>
  <c r="P39"/>
  <c r="Q39" s="1"/>
  <c r="P30"/>
  <c r="Q30" s="1"/>
  <c r="R44"/>
  <c r="S44" s="1"/>
  <c r="R35"/>
  <c r="S35" s="1"/>
  <c r="P40"/>
  <c r="Q40" s="1"/>
  <c r="P31"/>
  <c r="Q31" s="1"/>
  <c r="R45"/>
  <c r="S45" s="1"/>
  <c r="R36"/>
  <c r="S36" s="1"/>
  <c r="R28"/>
  <c r="S28" s="1"/>
  <c r="P41"/>
  <c r="Q41" s="1"/>
  <c r="P32"/>
  <c r="Q32" s="1"/>
  <c r="R47"/>
  <c r="S47" s="1"/>
  <c r="R38"/>
  <c r="S38" s="1"/>
  <c r="C22" i="9"/>
  <c r="L8"/>
  <c r="M6"/>
  <c r="G3" i="8"/>
  <c r="C5"/>
  <c r="E6"/>
  <c r="G7"/>
  <c r="C9"/>
  <c r="E10"/>
  <c r="G11"/>
  <c r="C13"/>
  <c r="E14"/>
  <c r="G15"/>
  <c r="C17"/>
  <c r="E18"/>
  <c r="G19"/>
  <c r="C21"/>
  <c r="E22"/>
  <c r="G23"/>
  <c r="B20" i="9"/>
  <c r="B12"/>
  <c r="B4"/>
  <c r="E18"/>
  <c r="E10"/>
  <c r="C23"/>
  <c r="C15"/>
  <c r="C7"/>
  <c r="F20"/>
  <c r="F12"/>
  <c r="F4"/>
  <c r="J18"/>
  <c r="J10"/>
  <c r="J2"/>
  <c r="M2"/>
  <c r="G16"/>
  <c r="G8"/>
  <c r="I21"/>
  <c r="I13"/>
  <c r="I5"/>
  <c r="K18"/>
  <c r="K10"/>
  <c r="M23"/>
  <c r="M15"/>
  <c r="M7"/>
  <c r="N18"/>
  <c r="N10"/>
  <c r="N2"/>
  <c r="Q2"/>
  <c r="O16"/>
  <c r="O8"/>
  <c r="Q21"/>
  <c r="Q13"/>
  <c r="Q5"/>
  <c r="R18"/>
  <c r="R10"/>
  <c r="R2"/>
  <c r="T16"/>
  <c r="T8"/>
  <c r="V22"/>
  <c r="V14"/>
  <c r="V6"/>
  <c r="X20"/>
  <c r="X12"/>
  <c r="X4"/>
  <c r="S20"/>
  <c r="S12"/>
  <c r="S4"/>
  <c r="U18"/>
  <c r="U10"/>
  <c r="U2"/>
  <c r="W16"/>
  <c r="W8"/>
  <c r="Y22"/>
  <c r="Y14"/>
  <c r="Y6"/>
  <c r="O2"/>
  <c r="G21" i="6"/>
  <c r="G13"/>
  <c r="G5"/>
  <c r="F3" i="8"/>
  <c r="B5"/>
  <c r="D6"/>
  <c r="F7"/>
  <c r="B9"/>
  <c r="D10"/>
  <c r="F11"/>
  <c r="B13"/>
  <c r="D14"/>
  <c r="F15"/>
  <c r="B17"/>
  <c r="D18"/>
  <c r="F19"/>
  <c r="B21"/>
  <c r="D22"/>
  <c r="F23"/>
  <c r="B21" i="9"/>
  <c r="B13"/>
  <c r="B5"/>
  <c r="E19"/>
  <c r="AD19" s="1"/>
  <c r="E11"/>
  <c r="AD11" s="1"/>
  <c r="E3"/>
  <c r="AD3" s="1"/>
  <c r="C16"/>
  <c r="C8"/>
  <c r="F21"/>
  <c r="F13"/>
  <c r="F5"/>
  <c r="J19"/>
  <c r="J11"/>
  <c r="J3"/>
  <c r="G17"/>
  <c r="G9"/>
  <c r="I22"/>
  <c r="I14"/>
  <c r="I6"/>
  <c r="K19"/>
  <c r="K11"/>
  <c r="K3"/>
  <c r="M16"/>
  <c r="M8"/>
  <c r="AF8" s="1"/>
  <c r="N19"/>
  <c r="N11"/>
  <c r="N3"/>
  <c r="O17"/>
  <c r="AG17" s="1"/>
  <c r="O9"/>
  <c r="AG9" s="1"/>
  <c r="Q22"/>
  <c r="Q14"/>
  <c r="Q6"/>
  <c r="R19"/>
  <c r="R11"/>
  <c r="R3"/>
  <c r="V23"/>
  <c r="V15"/>
  <c r="V7"/>
  <c r="S21"/>
  <c r="S13"/>
  <c r="S5"/>
  <c r="U19"/>
  <c r="U11"/>
  <c r="U3"/>
  <c r="W17"/>
  <c r="W9"/>
  <c r="Y23"/>
  <c r="Y15"/>
  <c r="Y7"/>
  <c r="D17" i="8"/>
  <c r="L16" i="9"/>
  <c r="M14"/>
  <c r="F18" i="6"/>
  <c r="F10"/>
  <c r="G22"/>
  <c r="G14"/>
  <c r="G6"/>
  <c r="G4" i="8"/>
  <c r="C6"/>
  <c r="E7"/>
  <c r="C10"/>
  <c r="E11"/>
  <c r="G12"/>
  <c r="C14"/>
  <c r="E15"/>
  <c r="C18"/>
  <c r="E19"/>
  <c r="G20"/>
  <c r="C22"/>
  <c r="E23"/>
  <c r="B22" i="9"/>
  <c r="B14"/>
  <c r="B6"/>
  <c r="E20"/>
  <c r="E12"/>
  <c r="E4"/>
  <c r="C17"/>
  <c r="C9"/>
  <c r="F22"/>
  <c r="F14"/>
  <c r="AE14" s="1"/>
  <c r="F6"/>
  <c r="J20"/>
  <c r="J12"/>
  <c r="J4"/>
  <c r="G18"/>
  <c r="G10"/>
  <c r="I23"/>
  <c r="I15"/>
  <c r="I7"/>
  <c r="K20"/>
  <c r="K12"/>
  <c r="K4"/>
  <c r="N20"/>
  <c r="N12"/>
  <c r="N4"/>
  <c r="O18"/>
  <c r="O10"/>
  <c r="Q23"/>
  <c r="Q15"/>
  <c r="Q7"/>
  <c r="R20"/>
  <c r="R12"/>
  <c r="R4"/>
  <c r="V16"/>
  <c r="V8"/>
  <c r="S22"/>
  <c r="S14"/>
  <c r="S6"/>
  <c r="U20"/>
  <c r="W18"/>
  <c r="W10"/>
  <c r="W2"/>
  <c r="Y16"/>
  <c r="Y8"/>
  <c r="C6"/>
  <c r="B6" i="8"/>
  <c r="D7"/>
  <c r="F8"/>
  <c r="D11"/>
  <c r="B14"/>
  <c r="D15"/>
  <c r="F16"/>
  <c r="D19"/>
  <c r="B22"/>
  <c r="D23"/>
  <c r="F24"/>
  <c r="B23" i="9"/>
  <c r="AD23" s="1"/>
  <c r="B15"/>
  <c r="AD15" s="1"/>
  <c r="B7"/>
  <c r="AD7" s="1"/>
  <c r="E21"/>
  <c r="E13"/>
  <c r="E5"/>
  <c r="C18"/>
  <c r="C10"/>
  <c r="AD10" s="1"/>
  <c r="F23"/>
  <c r="AE23" s="1"/>
  <c r="F15"/>
  <c r="AE15" s="1"/>
  <c r="F7"/>
  <c r="J21"/>
  <c r="J13"/>
  <c r="J5"/>
  <c r="G19"/>
  <c r="AE19" s="1"/>
  <c r="G11"/>
  <c r="AE11" s="1"/>
  <c r="G3"/>
  <c r="AE3" s="1"/>
  <c r="K21"/>
  <c r="K13"/>
  <c r="K5"/>
  <c r="N21"/>
  <c r="AG21" s="1"/>
  <c r="N13"/>
  <c r="AG13" s="1"/>
  <c r="N5"/>
  <c r="AG5" s="1"/>
  <c r="O19"/>
  <c r="O11"/>
  <c r="O3"/>
  <c r="Q16"/>
  <c r="Q8"/>
  <c r="R21"/>
  <c r="R13"/>
  <c r="R5"/>
  <c r="V17"/>
  <c r="V9"/>
  <c r="S23"/>
  <c r="S15"/>
  <c r="S7"/>
  <c r="W19"/>
  <c r="W11"/>
  <c r="W3"/>
  <c r="D9" i="8"/>
  <c r="C14" i="9"/>
  <c r="F20" i="6"/>
  <c r="F12"/>
  <c r="F4"/>
  <c r="G24"/>
  <c r="G16"/>
  <c r="G8"/>
  <c r="C3" i="8"/>
  <c r="E4"/>
  <c r="G5"/>
  <c r="C7"/>
  <c r="C11"/>
  <c r="E12"/>
  <c r="G13"/>
  <c r="C15"/>
  <c r="C19"/>
  <c r="E20"/>
  <c r="G21"/>
  <c r="C23"/>
  <c r="B16" i="9"/>
  <c r="B8"/>
  <c r="E22"/>
  <c r="E14"/>
  <c r="E6"/>
  <c r="F16"/>
  <c r="F8"/>
  <c r="AE8" s="1"/>
  <c r="J22"/>
  <c r="J14"/>
  <c r="J6"/>
  <c r="K22"/>
  <c r="M19"/>
  <c r="AF19" s="1"/>
  <c r="M11"/>
  <c r="AF11" s="1"/>
  <c r="M3"/>
  <c r="N22"/>
  <c r="AG22" s="1"/>
  <c r="N14"/>
  <c r="N6"/>
  <c r="O20"/>
  <c r="O12"/>
  <c r="O4"/>
  <c r="R22"/>
  <c r="R14"/>
  <c r="R6"/>
  <c r="V18"/>
  <c r="V10"/>
  <c r="V2"/>
  <c r="S16"/>
  <c r="S8"/>
  <c r="W20"/>
  <c r="W12"/>
  <c r="W4"/>
  <c r="Y18"/>
  <c r="Y10"/>
  <c r="F13" i="6"/>
  <c r="F5"/>
  <c r="G17"/>
  <c r="G9"/>
  <c r="B3" i="8"/>
  <c r="F5"/>
  <c r="D8"/>
  <c r="F9"/>
  <c r="F13"/>
  <c r="D16"/>
  <c r="F17"/>
  <c r="D24"/>
  <c r="B17" i="9"/>
  <c r="AD17" s="1"/>
  <c r="B9"/>
  <c r="C2"/>
  <c r="F17"/>
  <c r="F9"/>
  <c r="G2"/>
  <c r="J23"/>
  <c r="AF23" s="1"/>
  <c r="J15"/>
  <c r="J7"/>
  <c r="AF7" s="1"/>
  <c r="N23"/>
  <c r="AG23" s="1"/>
  <c r="N15"/>
  <c r="AG15" s="1"/>
  <c r="N7"/>
  <c r="AG7" s="1"/>
  <c r="S17"/>
  <c r="S9"/>
  <c r="U23"/>
  <c r="W21"/>
  <c r="AH21" s="1"/>
  <c r="W13"/>
  <c r="AH13" s="1"/>
  <c r="W5"/>
  <c r="AH5" s="1"/>
  <c r="Y19"/>
  <c r="Y11"/>
  <c r="Y3"/>
  <c r="F22" i="6"/>
  <c r="F14"/>
  <c r="F6"/>
  <c r="G18"/>
  <c r="G10"/>
  <c r="C4" i="8"/>
  <c r="G6"/>
  <c r="G10"/>
  <c r="C12"/>
  <c r="G14"/>
  <c r="G18"/>
  <c r="C20"/>
  <c r="G22"/>
  <c r="E2" i="9"/>
  <c r="S18"/>
  <c r="W22"/>
  <c r="W14"/>
  <c r="W6"/>
  <c r="Y20"/>
  <c r="Y12"/>
  <c r="Y4"/>
  <c r="AF10"/>
  <c r="AE18"/>
  <c r="AE10"/>
  <c r="AE2"/>
  <c r="AE20"/>
  <c r="AE12"/>
  <c r="AE4"/>
  <c r="AF2"/>
  <c r="AE22"/>
  <c r="AE6"/>
  <c r="AF13"/>
  <c r="AF5"/>
  <c r="AE21"/>
  <c r="AE13"/>
  <c r="AF17"/>
  <c r="AF9"/>
  <c r="AE7"/>
  <c r="AF14"/>
  <c r="AF6"/>
  <c r="AE16"/>
  <c r="AF15"/>
  <c r="P29" i="7"/>
  <c r="Q29" s="1"/>
  <c r="D27" i="8"/>
  <c r="F23" i="6"/>
  <c r="F15"/>
  <c r="F7"/>
  <c r="F16"/>
  <c r="F8"/>
  <c r="F17"/>
  <c r="F9"/>
  <c r="F11"/>
  <c r="G3"/>
  <c r="F21"/>
  <c r="E4"/>
  <c r="E15"/>
  <c r="B24"/>
  <c r="E3"/>
  <c r="B23"/>
  <c r="D21"/>
  <c r="E20"/>
  <c r="D20"/>
  <c r="E19"/>
  <c r="B18"/>
  <c r="B17"/>
  <c r="B16"/>
  <c r="C15"/>
  <c r="D13"/>
  <c r="E12"/>
  <c r="D12"/>
  <c r="E11"/>
  <c r="B11"/>
  <c r="B10"/>
  <c r="B9"/>
  <c r="E8"/>
  <c r="C8"/>
  <c r="B21"/>
  <c r="B13"/>
  <c r="D22"/>
  <c r="D14"/>
  <c r="C24"/>
  <c r="C17"/>
  <c r="C9"/>
  <c r="D15"/>
  <c r="E21"/>
  <c r="B19"/>
  <c r="C18"/>
  <c r="C10"/>
  <c r="D23"/>
  <c r="D16"/>
  <c r="E22"/>
  <c r="E14"/>
  <c r="B15"/>
  <c r="B7"/>
  <c r="B22"/>
  <c r="B14"/>
  <c r="C23"/>
  <c r="C16"/>
  <c r="E13"/>
  <c r="C11"/>
  <c r="D9"/>
  <c r="C20"/>
  <c r="C12"/>
  <c r="D18"/>
  <c r="D10"/>
  <c r="E23"/>
  <c r="E16"/>
  <c r="C19"/>
  <c r="D17"/>
  <c r="C21"/>
  <c r="C13"/>
  <c r="D19"/>
  <c r="D11"/>
  <c r="D3"/>
  <c r="E24"/>
  <c r="E17"/>
  <c r="E9"/>
  <c r="F3"/>
  <c r="C3"/>
  <c r="D24"/>
  <c r="B20"/>
  <c r="B12"/>
  <c r="C22"/>
  <c r="C14"/>
  <c r="E18"/>
  <c r="E10"/>
  <c r="D8"/>
  <c r="B8"/>
  <c r="E7"/>
  <c r="D7"/>
  <c r="C7"/>
  <c r="E6"/>
  <c r="D6"/>
  <c r="B6"/>
  <c r="C6"/>
  <c r="E5"/>
  <c r="D5"/>
  <c r="C5"/>
  <c r="D4"/>
  <c r="C4"/>
  <c r="B5"/>
  <c r="B4"/>
  <c r="S51" i="2" l="1"/>
  <c r="S50"/>
  <c r="AE9" i="9"/>
  <c r="B27" i="8"/>
  <c r="B26"/>
  <c r="AF22" i="9"/>
  <c r="AD18"/>
  <c r="AF21"/>
  <c r="AG2"/>
  <c r="AE5"/>
  <c r="AG6"/>
  <c r="AD8"/>
  <c r="AI11"/>
  <c r="AI3"/>
  <c r="AF16"/>
  <c r="AF18"/>
  <c r="AI20"/>
  <c r="C27" i="8"/>
  <c r="AG12" i="9"/>
  <c r="E26" i="8"/>
  <c r="AI12" i="9"/>
  <c r="E27" i="8"/>
  <c r="AE17" i="9"/>
  <c r="F27" i="8"/>
  <c r="AH4" i="9"/>
  <c r="G27" i="8"/>
  <c r="AI4" i="9"/>
  <c r="AD2"/>
  <c r="AI13"/>
  <c r="AG16"/>
  <c r="AI19"/>
  <c r="AG8"/>
  <c r="AH11"/>
  <c r="D26" i="8"/>
  <c r="AH9" i="9"/>
  <c r="AI9"/>
  <c r="AG4"/>
  <c r="AD22"/>
  <c r="AH3"/>
  <c r="AI21"/>
  <c r="AH16"/>
  <c r="AI16"/>
  <c r="AD14"/>
  <c r="AG19"/>
  <c r="AD21"/>
  <c r="F26" i="8"/>
  <c r="AH18" i="9"/>
  <c r="AI18"/>
  <c r="AH8"/>
  <c r="AI8"/>
  <c r="AD9"/>
  <c r="AG14"/>
  <c r="AD6"/>
  <c r="AG11"/>
  <c r="AD13"/>
  <c r="AI5"/>
  <c r="AH20"/>
  <c r="AH10"/>
  <c r="AI10"/>
  <c r="AI22"/>
  <c r="AH22"/>
  <c r="AD16"/>
  <c r="AF20"/>
  <c r="AG3"/>
  <c r="AD5"/>
  <c r="AH2"/>
  <c r="AI2"/>
  <c r="AI23"/>
  <c r="AH23"/>
  <c r="AI14"/>
  <c r="AH14"/>
  <c r="C26" i="8"/>
  <c r="AF12" i="9"/>
  <c r="AD20"/>
  <c r="G26" i="8"/>
  <c r="AH12" i="9"/>
  <c r="AH19"/>
  <c r="AH15"/>
  <c r="AI15"/>
  <c r="AI6"/>
  <c r="AH6"/>
  <c r="AF4"/>
  <c r="AG18"/>
  <c r="AD12"/>
  <c r="AH17"/>
  <c r="AI17"/>
  <c r="AI7"/>
  <c r="AH7"/>
  <c r="AG20"/>
  <c r="AF3"/>
  <c r="AG10"/>
  <c r="AD4"/>
  <c r="F27" i="6"/>
  <c r="F26"/>
  <c r="B27"/>
  <c r="B26"/>
  <c r="C26"/>
  <c r="C27"/>
  <c r="G27"/>
  <c r="G26"/>
  <c r="D26"/>
  <c r="D27"/>
  <c r="E27"/>
  <c r="E26"/>
</calcChain>
</file>

<file path=xl/sharedStrings.xml><?xml version="1.0" encoding="utf-8"?>
<sst xmlns="http://schemas.openxmlformats.org/spreadsheetml/2006/main" count="343" uniqueCount="106">
  <si>
    <t>Código</t>
  </si>
  <si>
    <t>SUBJ001</t>
  </si>
  <si>
    <t>SUBJ002</t>
  </si>
  <si>
    <t>SUBJ003</t>
  </si>
  <si>
    <t>SUBJ004</t>
  </si>
  <si>
    <t>SUBJ005</t>
  </si>
  <si>
    <t>SUBJ006</t>
  </si>
  <si>
    <t>SUBJ007</t>
  </si>
  <si>
    <t>SUBJ008</t>
  </si>
  <si>
    <t>SUBJ009</t>
  </si>
  <si>
    <t>SUBJ010</t>
  </si>
  <si>
    <t>SUBJ011</t>
  </si>
  <si>
    <t>SUBJ012</t>
  </si>
  <si>
    <t>SUBJ013</t>
  </si>
  <si>
    <t>SUBJ014</t>
  </si>
  <si>
    <t>SUBJ015</t>
  </si>
  <si>
    <t>SUBJ016</t>
  </si>
  <si>
    <t>SUBJ017</t>
  </si>
  <si>
    <t>SUBJ018</t>
  </si>
  <si>
    <t>SUBJ019</t>
  </si>
  <si>
    <t>SUBJ020</t>
  </si>
  <si>
    <t>SUBJ022</t>
  </si>
  <si>
    <t>SUBJ023</t>
  </si>
  <si>
    <t>10 - Rim</t>
  </si>
  <si>
    <t>2 - Fígado A</t>
  </si>
  <si>
    <t>10 - Fígado A</t>
  </si>
  <si>
    <t>10 - Fígado B</t>
  </si>
  <si>
    <t>2 - Fígado C</t>
  </si>
  <si>
    <t>10 - Fígado C</t>
  </si>
  <si>
    <t xml:space="preserve">2 - Rim </t>
  </si>
  <si>
    <t>2 - Gordura A</t>
  </si>
  <si>
    <t>10 - Gordura A</t>
  </si>
  <si>
    <t>2 - Gordura B</t>
  </si>
  <si>
    <t>10 - Gordura B</t>
  </si>
  <si>
    <t>Rescale A_2</t>
  </si>
  <si>
    <t>Rescale B_2</t>
  </si>
  <si>
    <t>Rescale A_10</t>
  </si>
  <si>
    <t>Rescale B_10</t>
  </si>
  <si>
    <t>Fígado A</t>
  </si>
  <si>
    <t>Fígado B</t>
  </si>
  <si>
    <t>Fígado C</t>
  </si>
  <si>
    <t>Rim</t>
  </si>
  <si>
    <t>Gordura A</t>
  </si>
  <si>
    <t>Gordura B</t>
  </si>
  <si>
    <t>Paciente</t>
  </si>
  <si>
    <t>Angle 2 :</t>
  </si>
  <si>
    <t>Angle 10 :</t>
  </si>
  <si>
    <t>2 - Fígado B</t>
  </si>
  <si>
    <t>Average</t>
  </si>
  <si>
    <t>StDev</t>
  </si>
  <si>
    <t>Removendo:</t>
  </si>
  <si>
    <t>Ideal factor</t>
  </si>
  <si>
    <t>A10 - Ideal (alpha)</t>
  </si>
  <si>
    <t>A10 - 10ideal/10real (beta)</t>
  </si>
  <si>
    <t>B10 - Ideal (alpha)</t>
  </si>
  <si>
    <t>B10 - 10ideal/10real (beta)</t>
  </si>
  <si>
    <t>Avg Beta</t>
  </si>
  <si>
    <t>Angle 2</t>
  </si>
  <si>
    <t>Angle 10</t>
  </si>
  <si>
    <t>2 - Fíg A - S/sin</t>
  </si>
  <si>
    <t>2 - Fíg A - S/tan</t>
  </si>
  <si>
    <t>10 - Fíg A - S/sin</t>
  </si>
  <si>
    <t>10 - Fíg A - S/tan</t>
  </si>
  <si>
    <t>2 - Fíg B - S/sin</t>
  </si>
  <si>
    <t>10 - Fíg B - S/sin</t>
  </si>
  <si>
    <t>2 - Fíg B - S/tan</t>
  </si>
  <si>
    <t>2 - Fíg C - S/sin</t>
  </si>
  <si>
    <t>10 - Fíg C - S/sin</t>
  </si>
  <si>
    <t>2 - Fíg C - S/tan</t>
  </si>
  <si>
    <t>10 - Fíg C - S/tan</t>
  </si>
  <si>
    <t>10 - Fíg B - S/tan</t>
  </si>
  <si>
    <t>TR</t>
  </si>
  <si>
    <t>2 - Rim - S/sin</t>
  </si>
  <si>
    <t>10 - Rim - S/sin</t>
  </si>
  <si>
    <t>2 - Rim - S/tan</t>
  </si>
  <si>
    <t>10 - Rim - S/tan</t>
  </si>
  <si>
    <t>T1 Fig A</t>
  </si>
  <si>
    <t>T1 Fig B</t>
  </si>
  <si>
    <t>T1 Fig C</t>
  </si>
  <si>
    <t>T1 Rim</t>
  </si>
  <si>
    <t>T1 Gord. A</t>
  </si>
  <si>
    <t>T1 Gord. B</t>
  </si>
  <si>
    <t>2 - Gord A - S/sin</t>
  </si>
  <si>
    <t>10 - Gord A - S/sin</t>
  </si>
  <si>
    <t>2 - Gord A - S/tan</t>
  </si>
  <si>
    <t>10 - Gord A - S/tan</t>
  </si>
  <si>
    <t>2 - Gord B - S/sin</t>
  </si>
  <si>
    <t>10 - Gord B - S/sin</t>
  </si>
  <si>
    <t>2 - Gord B - S/tan</t>
  </si>
  <si>
    <t>10 - Gord B - S/tan</t>
  </si>
  <si>
    <t>A=</t>
  </si>
  <si>
    <t>B=</t>
  </si>
  <si>
    <t>2 norm</t>
  </si>
  <si>
    <t>10 norm</t>
  </si>
  <si>
    <t>Angle</t>
  </si>
  <si>
    <t>sin</t>
  </si>
  <si>
    <t>cos</t>
  </si>
  <si>
    <t>T1</t>
  </si>
  <si>
    <t>gamma</t>
  </si>
  <si>
    <t>T1 norm</t>
  </si>
  <si>
    <t>gamma norm</t>
  </si>
  <si>
    <t>STDEV</t>
  </si>
  <si>
    <t>AVG</t>
  </si>
  <si>
    <t>SNR</t>
  </si>
  <si>
    <t>t = tan /2</t>
  </si>
  <si>
    <t>Helms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</si>
</sst>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0"/>
  </numFmts>
  <fonts count="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1" applyAlignment="1">
      <alignment horizontal="center"/>
    </xf>
    <xf numFmtId="0" fontId="3" fillId="3" borderId="0" xfId="2" applyAlignment="1">
      <alignment horizontal="center"/>
    </xf>
    <xf numFmtId="0" fontId="4" fillId="4" borderId="1" xfId="3" applyAlignment="1">
      <alignment horizontal="center"/>
    </xf>
    <xf numFmtId="0" fontId="2" fillId="2" borderId="1" xfId="1" applyBorder="1" applyAlignment="1">
      <alignment horizontal="center"/>
    </xf>
    <xf numFmtId="0" fontId="3" fillId="3" borderId="1" xfId="2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65" fontId="1" fillId="0" borderId="0" xfId="0" applyNumberFormat="1" applyFont="1" applyAlignment="1">
      <alignment horizontal="center"/>
    </xf>
  </cellXfs>
  <cellStyles count="4">
    <cellStyle name="Bad" xfId="2" builtinId="27"/>
    <cellStyle name="Good" xfId="1" builtinId="26"/>
    <cellStyle name="Input" xfId="3" builtinId="20"/>
    <cellStyle name="Normal" xfId="0" builtinId="0"/>
  </cellStyles>
  <dxfs count="141">
    <dxf>
      <numFmt numFmtId="2" formatCode="0.00"/>
      <alignment horizontal="center" vertical="bottom" textRotation="0" wrapText="0" indent="0" relativeIndent="0" justifyLastLine="0" shrinkToFit="0" mergeCell="0" readingOrder="0"/>
    </dxf>
    <dxf>
      <numFmt numFmtId="2" formatCode="0.00"/>
      <alignment horizontal="center" vertical="bottom" textRotation="0" wrapText="0" indent="0" relativeIndent="0" justifyLastLine="0" shrinkToFit="0" mergeCell="0" readingOrder="0"/>
    </dxf>
    <dxf>
      <numFmt numFmtId="2" formatCode="0.00"/>
      <alignment horizontal="center" vertical="bottom" textRotation="0" wrapText="0" indent="0" relativeIndent="0" justifyLastLine="0" shrinkToFit="0" mergeCell="0" readingOrder="0"/>
    </dxf>
    <dxf>
      <numFmt numFmtId="2" formatCode="0.00"/>
      <alignment horizontal="center" vertical="bottom" textRotation="0" wrapText="0" indent="0" relativeIndent="0" justifyLastLine="0" shrinkToFit="0" mergeCell="0" readingOrder="0"/>
    </dxf>
    <dxf>
      <numFmt numFmtId="2" formatCode="0.00"/>
      <alignment horizontal="center" vertical="bottom" textRotation="0" wrapText="0" indent="0" relativeIndent="0" justifyLastLine="0" shrinkToFit="0" mergeCell="0" readingOrder="0"/>
    </dxf>
    <dxf>
      <numFmt numFmtId="2" formatCode="0.00"/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numFmt numFmtId="2" formatCode="0.00"/>
      <alignment horizontal="center" vertical="bottom" textRotation="0" wrapText="0" indent="0" relativeIndent="255" justifyLastLine="0" shrinkToFit="0" mergeCell="0" readingOrder="0"/>
    </dxf>
    <dxf>
      <numFmt numFmtId="2" formatCode="0.00"/>
      <alignment horizontal="center" vertical="bottom" textRotation="0" wrapText="0" indent="0" relativeIndent="255" justifyLastLine="0" shrinkToFit="0" mergeCell="0" readingOrder="0"/>
    </dxf>
    <dxf>
      <numFmt numFmtId="2" formatCode="0.00"/>
      <alignment horizontal="center" vertical="bottom" textRotation="0" wrapText="0" indent="0" relativeIndent="255" justifyLastLine="0" shrinkToFit="0" mergeCell="0" readingOrder="0"/>
    </dxf>
    <dxf>
      <numFmt numFmtId="2" formatCode="0.00"/>
      <alignment horizontal="center" vertical="bottom" textRotation="0" wrapText="0" indent="0" relativeIndent="255" justifyLastLine="0" shrinkToFit="0" mergeCell="0" readingOrder="0"/>
    </dxf>
    <dxf>
      <numFmt numFmtId="2" formatCode="0.00"/>
      <alignment horizontal="center" vertical="bottom" textRotation="0" wrapText="0" indent="0" relativeIndent="255" justifyLastLine="0" shrinkToFit="0" mergeCell="0" readingOrder="0"/>
    </dxf>
    <dxf>
      <numFmt numFmtId="2" formatCode="0.00"/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00"/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00"/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00"/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00"/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00"/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00"/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numFmt numFmtId="2" formatCode="0.00"/>
      <alignment horizontal="center" vertical="bottom" textRotation="0" wrapText="0" indent="0" relativeIndent="0" justifyLastLine="0" shrinkToFit="0" mergeCell="0" readingOrder="0"/>
    </dxf>
    <dxf>
      <numFmt numFmtId="2" formatCode="0.00"/>
      <alignment horizontal="center" vertical="bottom" textRotation="0" wrapText="0" indent="0" relativeIndent="0" justifyLastLine="0" shrinkToFit="0" mergeCell="0" readingOrder="0"/>
    </dxf>
    <dxf>
      <numFmt numFmtId="2" formatCode="0.00"/>
      <alignment horizontal="center" vertical="bottom" textRotation="0" wrapText="0" indent="0" relativeIndent="0" justifyLastLine="0" shrinkToFit="0" mergeCell="0" readingOrder="0"/>
    </dxf>
    <dxf>
      <numFmt numFmtId="2" formatCode="0.00"/>
      <alignment horizontal="center" vertical="bottom" textRotation="0" wrapText="0" indent="0" relativeIndent="0" justifyLastLine="0" shrinkToFit="0" mergeCell="0" readingOrder="0"/>
    </dxf>
    <dxf>
      <numFmt numFmtId="2" formatCode="0.00"/>
      <alignment horizontal="center" vertical="bottom" textRotation="0" wrapText="0" indent="0" relativeIndent="0" justifyLastLine="0" shrinkToFit="0" mergeCell="0" readingOrder="0"/>
    </dxf>
    <dxf>
      <numFmt numFmtId="2" formatCode="0.00"/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numFmt numFmtId="2" formatCode="0.00"/>
      <alignment horizontal="center" vertical="bottom" textRotation="0" wrapText="0" indent="0" relativeIndent="255" justifyLastLine="0" shrinkToFit="0" mergeCell="0" readingOrder="0"/>
    </dxf>
    <dxf>
      <numFmt numFmtId="2" formatCode="0.00"/>
      <alignment horizontal="center" vertical="bottom" textRotation="0" wrapText="0" indent="0" relativeIndent="255" justifyLastLine="0" shrinkToFit="0" mergeCell="0" readingOrder="0"/>
    </dxf>
    <dxf>
      <numFmt numFmtId="2" formatCode="0.00"/>
      <alignment horizontal="center" vertical="bottom" textRotation="0" wrapText="0" indent="0" relativeIndent="255" justifyLastLine="0" shrinkToFit="0" mergeCell="0" readingOrder="0"/>
    </dxf>
    <dxf>
      <numFmt numFmtId="2" formatCode="0.00"/>
      <alignment horizontal="center" vertical="bottom" textRotation="0" wrapText="0" indent="0" relativeIndent="255" justifyLastLine="0" shrinkToFit="0" mergeCell="0" readingOrder="0"/>
    </dxf>
    <dxf>
      <numFmt numFmtId="2" formatCode="0.00"/>
      <alignment horizontal="center" vertical="bottom" textRotation="0" wrapText="0" indent="0" relativeIndent="255" justifyLastLine="0" shrinkToFit="0" mergeCell="0" readingOrder="0"/>
    </dxf>
    <dxf>
      <numFmt numFmtId="2" formatCode="0.00"/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0" justifyLastLine="0" shrinkToFit="0" mergeCell="0" readingOrder="0"/>
    </dxf>
    <dxf>
      <numFmt numFmtId="164" formatCode="0.000"/>
      <alignment horizontal="center" vertical="bottom" textRotation="0" wrapText="0" indent="0" relativeIndent="0" justifyLastLine="0" shrinkToFit="0" mergeCell="0" readingOrder="0"/>
    </dxf>
    <dxf>
      <numFmt numFmtId="164" formatCode="0.000"/>
      <alignment horizontal="center" vertical="bottom" textRotation="0" wrapText="0" indent="0" relativeIndent="0" justifyLastLine="0" shrinkToFit="0" mergeCell="0" readingOrder="0"/>
    </dxf>
    <dxf>
      <numFmt numFmtId="164" formatCode="0.000"/>
      <alignment horizontal="center" vertical="bottom" textRotation="0" wrapText="0" indent="0" relativeIndent="0" justifyLastLine="0" shrinkToFit="0" mergeCell="0" readingOrder="0"/>
    </dxf>
    <dxf>
      <numFmt numFmtId="164" formatCode="0.000"/>
      <alignment horizontal="center" vertical="bottom" textRotation="0" wrapText="0" indent="0" relativeIndent="0" justifyLastLine="0" shrinkToFit="0" mergeCell="0" readingOrder="0"/>
    </dxf>
    <dxf>
      <numFmt numFmtId="164" formatCode="0.000"/>
      <alignment horizontal="center" vertical="bottom" textRotation="0" wrapText="0" indent="0" relativeIndent="0" justifyLastLine="0" shrinkToFit="0" mergeCell="0" readingOrder="0"/>
    </dxf>
    <dxf>
      <numFmt numFmtId="164" formatCode="0.000"/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numFmt numFmtId="2" formatCode="0.00"/>
      <alignment horizontal="center" vertical="bottom" textRotation="0" wrapText="0" indent="0" relativeIndent="255" justifyLastLine="0" shrinkToFit="0" mergeCell="0" readingOrder="0"/>
    </dxf>
    <dxf>
      <numFmt numFmtId="2" formatCode="0.00"/>
      <alignment horizontal="center" vertical="bottom" textRotation="0" wrapText="0" indent="0" relativeIndent="255" justifyLastLine="0" shrinkToFit="0" mergeCell="0" readingOrder="0"/>
    </dxf>
    <dxf>
      <numFmt numFmtId="2" formatCode="0.00"/>
      <alignment horizontal="center" vertical="bottom" textRotation="0" wrapText="0" indent="0" relativeIndent="255" justifyLastLine="0" shrinkToFit="0" mergeCell="0" readingOrder="0"/>
    </dxf>
    <dxf>
      <numFmt numFmtId="2" formatCode="0.00"/>
      <alignment horizontal="center" vertical="bottom" textRotation="0" wrapText="0" indent="0" relativeIndent="255" justifyLastLine="0" shrinkToFit="0" mergeCell="0" readingOrder="0"/>
    </dxf>
    <dxf>
      <numFmt numFmtId="2" formatCode="0.00"/>
      <alignment horizontal="center" vertical="bottom" textRotation="0" wrapText="0" indent="0" relativeIndent="0" justifyLastLine="0" shrinkToFit="0" mergeCell="0" readingOrder="0"/>
    </dxf>
    <dxf>
      <numFmt numFmtId="2" formatCode="0.00"/>
      <alignment horizontal="center" vertical="bottom" textRotation="0" wrapText="0" indent="0" relativeIndent="0" justifyLastLine="0" shrinkToFit="0" mergeCell="0" readingOrder="0"/>
    </dxf>
    <dxf>
      <numFmt numFmtId="2" formatCode="0.00"/>
      <alignment horizontal="center" vertical="bottom" textRotation="0" wrapText="0" indent="0" relativeIndent="0" justifyLastLine="0" shrinkToFit="0" mergeCell="0" readingOrder="0"/>
    </dxf>
    <dxf>
      <numFmt numFmtId="2" formatCode="0.00"/>
      <alignment horizontal="center" vertical="bottom" textRotation="0" wrapText="0" indent="0" relativeIndent="255" justifyLastLine="0" shrinkToFit="0" mergeCell="0" readingOrder="0"/>
    </dxf>
    <dxf>
      <numFmt numFmtId="2" formatCode="0.00"/>
      <alignment horizontal="center" vertical="bottom" textRotation="0" wrapText="0" indent="0" relativeIndent="0" justifyLastLine="0" shrinkToFit="0" mergeCell="0" readingOrder="0"/>
    </dxf>
    <dxf>
      <numFmt numFmtId="2" formatCode="0.00"/>
      <alignment horizontal="center" vertical="bottom" textRotation="0" wrapText="0" indent="0" relativeIndent="0" justifyLastLine="0" shrinkToFit="0" mergeCell="0" readingOrder="0"/>
    </dxf>
    <dxf>
      <numFmt numFmtId="2" formatCode="0.00"/>
      <alignment horizontal="center" vertical="bottom" textRotation="0" wrapText="0" indent="0" relativeIndent="0" justifyLastLine="0" shrinkToFit="0" mergeCell="0" readingOrder="0"/>
    </dxf>
    <dxf>
      <numFmt numFmtId="2" formatCode="0.00"/>
      <alignment horizontal="center" vertical="bottom" textRotation="0" wrapText="0" indent="0" relativeIndent="0" justifyLastLine="0" shrinkToFit="0" mergeCell="0" readingOrder="0"/>
    </dxf>
    <dxf>
      <numFmt numFmtId="2" formatCode="0.00"/>
      <alignment horizontal="center" vertical="bottom" textRotation="0" wrapText="0" indent="0" relativeIndent="0" justifyLastLine="0" shrinkToFit="0" mergeCell="0" readingOrder="0"/>
    </dxf>
    <dxf>
      <numFmt numFmtId="2" formatCode="0.00"/>
      <alignment horizontal="center" vertical="bottom" textRotation="0" wrapText="0" indent="0" relativeIndent="0" justifyLastLine="0" shrinkToFit="0" mergeCell="0" readingOrder="0"/>
    </dxf>
    <dxf>
      <numFmt numFmtId="2" formatCode="0.00"/>
      <alignment horizontal="center" vertical="bottom" textRotation="0" wrapText="0" indent="0" relativeIndent="0" justifyLastLine="0" shrinkToFit="0" mergeCell="0" readingOrder="0"/>
    </dxf>
    <dxf>
      <numFmt numFmtId="2" formatCode="0.00"/>
      <alignment horizontal="center" vertical="bottom" textRotation="0" wrapText="0" indent="0" relativeIndent="0" justifyLastLine="0" shrinkToFit="0" mergeCell="0" readingOrder="0"/>
    </dxf>
    <dxf>
      <numFmt numFmtId="2" formatCode="0.00"/>
      <alignment horizontal="center" vertical="bottom" textRotation="0" wrapText="0" indent="0" relativeIndent="0" justifyLastLine="0" shrinkToFit="0" mergeCell="0" readingOrder="0"/>
    </dxf>
    <dxf>
      <numFmt numFmtId="2" formatCode="0.00"/>
      <alignment horizontal="center" vertical="bottom" textRotation="0" wrapText="0" indent="0" relativeIndent="0" justifyLastLine="0" shrinkToFit="0" mergeCell="0" readingOrder="0"/>
    </dxf>
    <dxf>
      <numFmt numFmtId="2" formatCode="0.00"/>
      <alignment horizontal="center" vertical="bottom" textRotation="0" wrapText="0" indent="0" relativeIndent="0" justifyLastLine="0" shrinkToFit="0" mergeCell="0" readingOrder="0"/>
    </dxf>
    <dxf>
      <numFmt numFmtId="2" formatCode="0.00"/>
      <alignment horizontal="center" vertical="bottom" textRotation="0" wrapText="0" indent="0" relativeIndent="0" justifyLastLine="0" shrinkToFit="0" mergeCell="0" readingOrder="0"/>
    </dxf>
    <dxf>
      <numFmt numFmtId="2" formatCode="0.00"/>
      <alignment horizontal="center" vertical="bottom" textRotation="0" wrapText="0" indent="0" relativeIndent="0" justifyLastLine="0" shrinkToFit="0" mergeCell="0" readingOrder="0"/>
    </dxf>
    <dxf>
      <numFmt numFmtId="2" formatCode="0.00"/>
      <alignment horizontal="center" vertical="bottom" textRotation="0" wrapText="0" indent="0" relativeIndent="0" justifyLastLine="0" shrinkToFit="0" mergeCell="0" readingOrder="0"/>
    </dxf>
    <dxf>
      <numFmt numFmtId="2" formatCode="0.00"/>
      <alignment horizontal="center" vertical="bottom" textRotation="0" wrapText="0" indent="0" relativeIndent="255" justifyLastLine="0" shrinkToFit="0" mergeCell="0" readingOrder="0"/>
    </dxf>
    <dxf>
      <numFmt numFmtId="2" formatCode="0.00"/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Original!$F$2:$F$23</c:f>
              <c:numCache>
                <c:formatCode>General</c:formatCode>
                <c:ptCount val="22"/>
                <c:pt idx="0">
                  <c:v>48.8</c:v>
                </c:pt>
                <c:pt idx="1">
                  <c:v>103.07</c:v>
                </c:pt>
                <c:pt idx="2">
                  <c:v>98.83</c:v>
                </c:pt>
                <c:pt idx="3">
                  <c:v>105.24</c:v>
                </c:pt>
                <c:pt idx="4">
                  <c:v>81.55</c:v>
                </c:pt>
                <c:pt idx="5">
                  <c:v>147.11000000000001</c:v>
                </c:pt>
                <c:pt idx="6">
                  <c:v>100.67</c:v>
                </c:pt>
                <c:pt idx="7">
                  <c:v>105.4</c:v>
                </c:pt>
                <c:pt idx="8">
                  <c:v>129.22</c:v>
                </c:pt>
                <c:pt idx="9">
                  <c:v>114.62</c:v>
                </c:pt>
                <c:pt idx="10">
                  <c:v>137.38999999999999</c:v>
                </c:pt>
                <c:pt idx="11">
                  <c:v>106.07</c:v>
                </c:pt>
                <c:pt idx="12">
                  <c:v>114.83</c:v>
                </c:pt>
                <c:pt idx="13">
                  <c:v>121.84</c:v>
                </c:pt>
                <c:pt idx="14">
                  <c:v>84.77</c:v>
                </c:pt>
                <c:pt idx="15">
                  <c:v>82.56</c:v>
                </c:pt>
                <c:pt idx="16">
                  <c:v>73.17</c:v>
                </c:pt>
                <c:pt idx="17">
                  <c:v>147.34</c:v>
                </c:pt>
                <c:pt idx="18">
                  <c:v>128.65</c:v>
                </c:pt>
                <c:pt idx="19">
                  <c:v>77.239999999999995</c:v>
                </c:pt>
                <c:pt idx="20">
                  <c:v>118.07</c:v>
                </c:pt>
                <c:pt idx="21">
                  <c:v>82.52</c:v>
                </c:pt>
              </c:numCache>
            </c:numRef>
          </c:xVal>
          <c:yVal>
            <c:numRef>
              <c:f>Original!$G$2:$G$24</c:f>
              <c:numCache>
                <c:formatCode>General</c:formatCode>
                <c:ptCount val="23"/>
                <c:pt idx="0">
                  <c:v>192.36</c:v>
                </c:pt>
                <c:pt idx="1">
                  <c:v>263.39999999999998</c:v>
                </c:pt>
                <c:pt idx="2">
                  <c:v>207.39</c:v>
                </c:pt>
                <c:pt idx="3">
                  <c:v>253.36</c:v>
                </c:pt>
                <c:pt idx="4">
                  <c:v>168.21</c:v>
                </c:pt>
                <c:pt idx="5">
                  <c:v>293.20999999999998</c:v>
                </c:pt>
                <c:pt idx="6">
                  <c:v>200.36</c:v>
                </c:pt>
                <c:pt idx="7">
                  <c:v>233.16</c:v>
                </c:pt>
                <c:pt idx="8">
                  <c:v>297.52999999999997</c:v>
                </c:pt>
                <c:pt idx="9">
                  <c:v>251.15</c:v>
                </c:pt>
                <c:pt idx="10">
                  <c:v>275.77999999999997</c:v>
                </c:pt>
                <c:pt idx="11">
                  <c:v>212.25</c:v>
                </c:pt>
                <c:pt idx="12">
                  <c:v>252.66</c:v>
                </c:pt>
                <c:pt idx="13">
                  <c:v>283.60000000000002</c:v>
                </c:pt>
                <c:pt idx="14">
                  <c:v>185.5</c:v>
                </c:pt>
                <c:pt idx="15">
                  <c:v>189.5</c:v>
                </c:pt>
                <c:pt idx="16">
                  <c:v>155.74</c:v>
                </c:pt>
                <c:pt idx="17">
                  <c:v>504.11</c:v>
                </c:pt>
                <c:pt idx="18">
                  <c:v>247.62</c:v>
                </c:pt>
                <c:pt idx="19">
                  <c:v>175.29</c:v>
                </c:pt>
                <c:pt idx="20">
                  <c:v>252.44</c:v>
                </c:pt>
                <c:pt idx="21">
                  <c:v>177.48</c:v>
                </c:pt>
              </c:numCache>
            </c:numRef>
          </c:yVal>
        </c:ser>
        <c:ser>
          <c:idx val="1"/>
          <c:order val="1"/>
          <c:tx>
            <c:v>1x</c:v>
          </c:tx>
          <c:marker>
            <c:symbol val="none"/>
          </c:marker>
          <c:xVal>
            <c:numRef>
              <c:f>Original!$T$2:$T$23</c:f>
              <c:numCache>
                <c:formatCode>General</c:formatCode>
                <c:ptCount val="22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</c:numCache>
            </c:numRef>
          </c:xVal>
          <c:yVal>
            <c:numRef>
              <c:f>Original!$T$2:$T$23</c:f>
              <c:numCache>
                <c:formatCode>General</c:formatCode>
                <c:ptCount val="22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</c:numCache>
            </c:numRef>
          </c:yVal>
        </c:ser>
        <c:ser>
          <c:idx val="2"/>
          <c:order val="2"/>
          <c:tx>
            <c:v>A*x</c:v>
          </c:tx>
          <c:marker>
            <c:symbol val="none"/>
          </c:marker>
          <c:xVal>
            <c:numRef>
              <c:f>Original!$T$2:$T$23</c:f>
              <c:numCache>
                <c:formatCode>General</c:formatCode>
                <c:ptCount val="22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</c:numCache>
            </c:numRef>
          </c:xVal>
          <c:yVal>
            <c:numRef>
              <c:f>Original!$U$2:$U$23</c:f>
              <c:numCache>
                <c:formatCode>General</c:formatCode>
                <c:ptCount val="22"/>
                <c:pt idx="0">
                  <c:v>2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</c:numCache>
            </c:numRef>
          </c:yVal>
        </c:ser>
        <c:ser>
          <c:idx val="3"/>
          <c:order val="3"/>
          <c:tx>
            <c:v>B*x</c:v>
          </c:tx>
          <c:marker>
            <c:symbol val="none"/>
          </c:marker>
          <c:xVal>
            <c:numRef>
              <c:f>Original!$T$2:$T$18</c:f>
              <c:numCache>
                <c:formatCode>General</c:formatCode>
                <c:ptCount val="1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</c:numCache>
            </c:numRef>
          </c:xVal>
          <c:yVal>
            <c:numRef>
              <c:f>Original!$V$2:$V$18</c:f>
              <c:numCache>
                <c:formatCode>General</c:formatCode>
                <c:ptCount val="17"/>
                <c:pt idx="0">
                  <c:v>3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</c:numCache>
            </c:numRef>
          </c:yVal>
        </c:ser>
        <c:axId val="97614848"/>
        <c:axId val="97641216"/>
      </c:scatterChart>
      <c:valAx>
        <c:axId val="97614848"/>
        <c:scaling>
          <c:orientation val="minMax"/>
        </c:scaling>
        <c:axPos val="b"/>
        <c:numFmt formatCode="General" sourceLinked="1"/>
        <c:tickLblPos val="nextTo"/>
        <c:crossAx val="97641216"/>
        <c:crosses val="autoZero"/>
        <c:crossBetween val="midCat"/>
      </c:valAx>
      <c:valAx>
        <c:axId val="97641216"/>
        <c:scaling>
          <c:orientation val="minMax"/>
        </c:scaling>
        <c:axPos val="l"/>
        <c:majorGridlines/>
        <c:numFmt formatCode="General" sourceLinked="1"/>
        <c:tickLblPos val="nextTo"/>
        <c:crossAx val="976148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Rescaled!$B$2:$B$23</c:f>
              <c:numCache>
                <c:formatCode>0.00</c:formatCode>
                <c:ptCount val="22"/>
                <c:pt idx="0">
                  <c:v>3.275167785234899</c:v>
                </c:pt>
                <c:pt idx="1">
                  <c:v>11.490523968784837</c:v>
                </c:pt>
                <c:pt idx="2">
                  <c:v>8.8557347670250888</c:v>
                </c:pt>
                <c:pt idx="3">
                  <c:v>9.6373626373626369</c:v>
                </c:pt>
                <c:pt idx="4">
                  <c:v>7.3270440251572317</c:v>
                </c:pt>
                <c:pt idx="5">
                  <c:v>20.40360610263523</c:v>
                </c:pt>
                <c:pt idx="6">
                  <c:v>12.710858585858587</c:v>
                </c:pt>
                <c:pt idx="7">
                  <c:v>10.810256410256411</c:v>
                </c:pt>
                <c:pt idx="8">
                  <c:v>17.67715458276334</c:v>
                </c:pt>
                <c:pt idx="9">
                  <c:v>12.864197530864198</c:v>
                </c:pt>
                <c:pt idx="10">
                  <c:v>14.998908296943229</c:v>
                </c:pt>
                <c:pt idx="11">
                  <c:v>10.258220502901354</c:v>
                </c:pt>
                <c:pt idx="12">
                  <c:v>13.138443935926773</c:v>
                </c:pt>
                <c:pt idx="13">
                  <c:v>12.319514661274013</c:v>
                </c:pt>
                <c:pt idx="14">
                  <c:v>7.9821092278719403</c:v>
                </c:pt>
                <c:pt idx="15">
                  <c:v>8.6000000000000014</c:v>
                </c:pt>
                <c:pt idx="16">
                  <c:v>6.0271828665568368</c:v>
                </c:pt>
                <c:pt idx="17">
                  <c:v>21.2</c:v>
                </c:pt>
                <c:pt idx="18">
                  <c:v>16.101376720901126</c:v>
                </c:pt>
                <c:pt idx="19">
                  <c:v>6.7399650959860375</c:v>
                </c:pt>
                <c:pt idx="20">
                  <c:v>14.703611457036114</c:v>
                </c:pt>
                <c:pt idx="21">
                  <c:v>7.996124031007751</c:v>
                </c:pt>
              </c:numCache>
            </c:numRef>
          </c:xVal>
          <c:yVal>
            <c:numRef>
              <c:f>Rescaled!$C$2:$C$23</c:f>
              <c:numCache>
                <c:formatCode>0.00</c:formatCode>
                <c:ptCount val="22"/>
                <c:pt idx="0">
                  <c:v>37.717647058823538</c:v>
                </c:pt>
                <c:pt idx="1">
                  <c:v>49.698113207547166</c:v>
                </c:pt>
                <c:pt idx="2">
                  <c:v>41.8125</c:v>
                </c:pt>
                <c:pt idx="3">
                  <c:v>42.510067114093964</c:v>
                </c:pt>
                <c:pt idx="4">
                  <c:v>35.338235294117652</c:v>
                </c:pt>
                <c:pt idx="5">
                  <c:v>67.559907834101381</c:v>
                </c:pt>
                <c:pt idx="6">
                  <c:v>34.845217391304352</c:v>
                </c:pt>
                <c:pt idx="7">
                  <c:v>46.91348088531187</c:v>
                </c:pt>
                <c:pt idx="8">
                  <c:v>79.766756032171571</c:v>
                </c:pt>
                <c:pt idx="9">
                  <c:v>45.998168498168496</c:v>
                </c:pt>
                <c:pt idx="10">
                  <c:v>105.25954198473281</c:v>
                </c:pt>
                <c:pt idx="11">
                  <c:v>43.316326530612244</c:v>
                </c:pt>
                <c:pt idx="12">
                  <c:v>60.157142857142851</c:v>
                </c:pt>
                <c:pt idx="13">
                  <c:v>55.175097276264601</c:v>
                </c:pt>
                <c:pt idx="14">
                  <c:v>31.387478849407781</c:v>
                </c:pt>
                <c:pt idx="15">
                  <c:v>32.173174872665534</c:v>
                </c:pt>
                <c:pt idx="16">
                  <c:v>21.189115646258507</c:v>
                </c:pt>
                <c:pt idx="17">
                  <c:v>254.6010101010101</c:v>
                </c:pt>
                <c:pt idx="18">
                  <c:v>51.16115702479339</c:v>
                </c:pt>
                <c:pt idx="19">
                  <c:v>27.604724409448821</c:v>
                </c:pt>
                <c:pt idx="20">
                  <c:v>73.597667638483955</c:v>
                </c:pt>
                <c:pt idx="21">
                  <c:v>30.030456852791875</c:v>
                </c:pt>
              </c:numCache>
            </c:numRef>
          </c:yVal>
        </c:ser>
        <c:ser>
          <c:idx val="1"/>
          <c:order val="1"/>
          <c:tx>
            <c:v>1x</c:v>
          </c:tx>
          <c:marker>
            <c:symbol val="none"/>
          </c:marker>
          <c:xVal>
            <c:numRef>
              <c:f>Rescaled!$P$2:$P$23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Rescaled!$P$2:$P$23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yVal>
        </c:ser>
        <c:ser>
          <c:idx val="2"/>
          <c:order val="2"/>
          <c:tx>
            <c:v>A*x</c:v>
          </c:tx>
          <c:marker>
            <c:symbol val="none"/>
          </c:marker>
          <c:xVal>
            <c:numRef>
              <c:f>Rescaled!$P$2:$P$23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Rescaled!$Q$2:$Q$23</c:f>
              <c:numCache>
                <c:formatCode>General</c:formatCode>
                <c:ptCount val="22"/>
                <c:pt idx="0">
                  <c:v>4.74</c:v>
                </c:pt>
                <c:pt idx="1">
                  <c:v>9.48</c:v>
                </c:pt>
                <c:pt idx="2">
                  <c:v>14.22</c:v>
                </c:pt>
                <c:pt idx="3">
                  <c:v>18.96</c:v>
                </c:pt>
                <c:pt idx="4">
                  <c:v>23.700000000000003</c:v>
                </c:pt>
                <c:pt idx="5">
                  <c:v>28.44</c:v>
                </c:pt>
                <c:pt idx="6">
                  <c:v>33.18</c:v>
                </c:pt>
                <c:pt idx="7">
                  <c:v>37.92</c:v>
                </c:pt>
                <c:pt idx="8">
                  <c:v>42.660000000000004</c:v>
                </c:pt>
                <c:pt idx="9">
                  <c:v>47.400000000000006</c:v>
                </c:pt>
                <c:pt idx="10">
                  <c:v>52.14</c:v>
                </c:pt>
                <c:pt idx="11">
                  <c:v>56.88</c:v>
                </c:pt>
                <c:pt idx="12">
                  <c:v>66.36</c:v>
                </c:pt>
                <c:pt idx="13">
                  <c:v>71.100000000000009</c:v>
                </c:pt>
                <c:pt idx="14">
                  <c:v>75.84</c:v>
                </c:pt>
                <c:pt idx="15">
                  <c:v>80.58</c:v>
                </c:pt>
                <c:pt idx="16">
                  <c:v>85.320000000000007</c:v>
                </c:pt>
                <c:pt idx="17">
                  <c:v>90.06</c:v>
                </c:pt>
                <c:pt idx="18">
                  <c:v>94.800000000000011</c:v>
                </c:pt>
              </c:numCache>
            </c:numRef>
          </c:yVal>
        </c:ser>
        <c:ser>
          <c:idx val="3"/>
          <c:order val="3"/>
          <c:tx>
            <c:v>B*x</c:v>
          </c:tx>
          <c:marker>
            <c:symbol val="none"/>
          </c:marker>
          <c:xVal>
            <c:numRef>
              <c:f>Rescaled!$P$2:$P$20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Rescaled!$R$2:$R$20</c:f>
              <c:numCache>
                <c:formatCode>General</c:formatCode>
                <c:ptCount val="19"/>
                <c:pt idx="0">
                  <c:v>4.2</c:v>
                </c:pt>
                <c:pt idx="1">
                  <c:v>8.4</c:v>
                </c:pt>
                <c:pt idx="2">
                  <c:v>12.600000000000001</c:v>
                </c:pt>
                <c:pt idx="3">
                  <c:v>16.8</c:v>
                </c:pt>
                <c:pt idx="4">
                  <c:v>21</c:v>
                </c:pt>
                <c:pt idx="5">
                  <c:v>25.200000000000003</c:v>
                </c:pt>
                <c:pt idx="6">
                  <c:v>29.400000000000002</c:v>
                </c:pt>
                <c:pt idx="7">
                  <c:v>33.6</c:v>
                </c:pt>
                <c:pt idx="8">
                  <c:v>37.800000000000004</c:v>
                </c:pt>
                <c:pt idx="9">
                  <c:v>42</c:v>
                </c:pt>
                <c:pt idx="10">
                  <c:v>46.2</c:v>
                </c:pt>
                <c:pt idx="11">
                  <c:v>50.400000000000006</c:v>
                </c:pt>
                <c:pt idx="12">
                  <c:v>58.800000000000004</c:v>
                </c:pt>
                <c:pt idx="13">
                  <c:v>63</c:v>
                </c:pt>
                <c:pt idx="14">
                  <c:v>67.2</c:v>
                </c:pt>
                <c:pt idx="15">
                  <c:v>71.400000000000006</c:v>
                </c:pt>
                <c:pt idx="16">
                  <c:v>75.600000000000009</c:v>
                </c:pt>
                <c:pt idx="17">
                  <c:v>79.8</c:v>
                </c:pt>
                <c:pt idx="18">
                  <c:v>84</c:v>
                </c:pt>
              </c:numCache>
            </c:numRef>
          </c:yVal>
        </c:ser>
        <c:axId val="98379648"/>
        <c:axId val="98381184"/>
      </c:scatterChart>
      <c:valAx>
        <c:axId val="98379648"/>
        <c:scaling>
          <c:orientation val="minMax"/>
        </c:scaling>
        <c:axPos val="b"/>
        <c:numFmt formatCode="0.00" sourceLinked="1"/>
        <c:tickLblPos val="nextTo"/>
        <c:crossAx val="98381184"/>
        <c:crosses val="autoZero"/>
        <c:crossBetween val="midCat"/>
      </c:valAx>
      <c:valAx>
        <c:axId val="98381184"/>
        <c:scaling>
          <c:orientation val="minMax"/>
        </c:scaling>
        <c:axPos val="l"/>
        <c:majorGridlines/>
        <c:numFmt formatCode="0.00" sourceLinked="1"/>
        <c:tickLblPos val="nextTo"/>
        <c:crossAx val="983796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v>S_10 valores</c:v>
          </c:tx>
          <c:spPr>
            <a:ln w="28575">
              <a:noFill/>
            </a:ln>
          </c:spPr>
          <c:xVal>
            <c:numRef>
              <c:f>Rescaled!$M$27:$M$47</c:f>
              <c:numCache>
                <c:formatCode>General</c:formatCode>
                <c:ptCount val="21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20">
                  <c:v>1</c:v>
                </c:pt>
              </c:numCache>
            </c:numRef>
          </c:xVal>
          <c:yVal>
            <c:numRef>
              <c:f>Rescaled!$N$27:$N$47</c:f>
              <c:numCache>
                <c:formatCode>General</c:formatCode>
                <c:ptCount val="21"/>
                <c:pt idx="1">
                  <c:v>4.3251389877917736</c:v>
                </c:pt>
                <c:pt idx="2">
                  <c:v>4.7215167459273504</c:v>
                </c:pt>
                <c:pt idx="3">
                  <c:v>4.4109647746665344</c:v>
                </c:pt>
                <c:pt idx="4">
                  <c:v>4.8229866195405213</c:v>
                </c:pt>
                <c:pt idx="5">
                  <c:v>3.311174872434715</c:v>
                </c:pt>
                <c:pt idx="6">
                  <c:v>2.7413740115141598</c:v>
                </c:pt>
                <c:pt idx="7">
                  <c:v>4.3397195316109176</c:v>
                </c:pt>
                <c:pt idx="8">
                  <c:v>4.5124205741771721</c:v>
                </c:pt>
                <c:pt idx="9">
                  <c:v>3.5756733669401615</c:v>
                </c:pt>
                <c:pt idx="11">
                  <c:v>4.2225965525269222</c:v>
                </c:pt>
                <c:pt idx="12">
                  <c:v>4.5787113870193199</c:v>
                </c:pt>
                <c:pt idx="13">
                  <c:v>4.4786745901367118</c:v>
                </c:pt>
                <c:pt idx="14">
                  <c:v>3.9322286820893075</c:v>
                </c:pt>
                <c:pt idx="15">
                  <c:v>3.7410668456587826</c:v>
                </c:pt>
                <c:pt idx="16">
                  <c:v>3.5155919631758685</c:v>
                </c:pt>
                <c:pt idx="17">
                  <c:v>3.1774399116059011</c:v>
                </c:pt>
                <c:pt idx="18">
                  <c:v>4.0956776505992174</c:v>
                </c:pt>
                <c:pt idx="20">
                  <c:v>3.7556266931751354</c:v>
                </c:pt>
              </c:numCache>
            </c:numRef>
          </c:yVal>
        </c:ser>
        <c:ser>
          <c:idx val="1"/>
          <c:order val="1"/>
          <c:tx>
            <c:v>T1</c:v>
          </c:tx>
          <c:spPr>
            <a:ln w="28575">
              <a:noFill/>
            </a:ln>
          </c:spPr>
          <c:xVal>
            <c:numRef>
              <c:f>Rescaled!$W$27:$W$47</c:f>
              <c:numCache>
                <c:formatCode>General</c:formatCode>
                <c:ptCount val="21"/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20">
                  <c:v>0.8</c:v>
                </c:pt>
              </c:numCache>
            </c:numRef>
          </c:xVal>
          <c:yVal>
            <c:numRef>
              <c:f>Rescaled!$S$28:$S$47</c:f>
              <c:numCache>
                <c:formatCode>0.00000</c:formatCode>
                <c:ptCount val="20"/>
                <c:pt idx="0">
                  <c:v>1.7611436189939353</c:v>
                </c:pt>
                <c:pt idx="1">
                  <c:v>0.67707794546015254</c:v>
                </c:pt>
                <c:pt idx="2">
                  <c:v>1.5093617935882735</c:v>
                </c:pt>
                <c:pt idx="3">
                  <c:v>0.4280301934750958</c:v>
                </c:pt>
                <c:pt idx="4">
                  <c:v>5.7846483968471025</c:v>
                </c:pt>
                <c:pt idx="5">
                  <c:v>9.4538129635987005</c:v>
                </c:pt>
                <c:pt idx="6">
                  <c:v>1.7176378536963226</c:v>
                </c:pt>
                <c:pt idx="7">
                  <c:v>1.2245488615868034</c:v>
                </c:pt>
                <c:pt idx="8">
                  <c:v>4.5022730604685011</c:v>
                </c:pt>
                <c:pt idx="10">
                  <c:v>2.0759804104281954</c:v>
                </c:pt>
                <c:pt idx="11">
                  <c:v>1.0454877302132917</c:v>
                </c:pt>
                <c:pt idx="12">
                  <c:v>1.3177997023817716</c:v>
                </c:pt>
                <c:pt idx="13">
                  <c:v>3.0610911009201853</c:v>
                </c:pt>
                <c:pt idx="14">
                  <c:v>3.7976968502088377</c:v>
                </c:pt>
                <c:pt idx="15">
                  <c:v>4.7756156281657471</c:v>
                </c:pt>
                <c:pt idx="16">
                  <c:v>6.519728458894841</c:v>
                </c:pt>
                <c:pt idx="17">
                  <c:v>2.488538187070489</c:v>
                </c:pt>
                <c:pt idx="19">
                  <c:v>3.7388090681306001</c:v>
                </c:pt>
              </c:numCache>
            </c:numRef>
          </c:yVal>
        </c:ser>
        <c:ser>
          <c:idx val="2"/>
          <c:order val="2"/>
          <c:tx>
            <c:v>Helms</c:v>
          </c:tx>
          <c:spPr>
            <a:ln w="28575">
              <a:noFill/>
            </a:ln>
          </c:spPr>
          <c:xVal>
            <c:numRef>
              <c:f>Rescaled!$X$28:$X$47</c:f>
              <c:numCache>
                <c:formatCode>General</c:formatCode>
                <c:ptCount val="2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9">
                  <c:v>0.5</c:v>
                </c:pt>
              </c:numCache>
            </c:numRef>
          </c:xVal>
          <c:yVal>
            <c:numRef>
              <c:f>Rescaled!$Y$28:$Y$47</c:f>
              <c:numCache>
                <c:formatCode>General</c:formatCode>
                <c:ptCount val="20"/>
                <c:pt idx="0">
                  <c:v>1.9096253597885742</c:v>
                </c:pt>
                <c:pt idx="1">
                  <c:v>0.83623272263655513</c:v>
                </c:pt>
                <c:pt idx="2">
                  <c:v>1.6600763646406491</c:v>
                </c:pt>
                <c:pt idx="3">
                  <c:v>0.59103041519718136</c:v>
                </c:pt>
                <c:pt idx="4">
                  <c:v>5.8993836552431977</c:v>
                </c:pt>
                <c:pt idx="5">
                  <c:v>9.5376036019516839</c:v>
                </c:pt>
                <c:pt idx="6">
                  <c:v>1.8665013658210712</c:v>
                </c:pt>
                <c:pt idx="7">
                  <c:v>1.3778865608202484</c:v>
                </c:pt>
                <c:pt idx="8">
                  <c:v>4.6276981722017112</c:v>
                </c:pt>
                <c:pt idx="10">
                  <c:v>2.2217351239820298</c:v>
                </c:pt>
                <c:pt idx="11">
                  <c:v>1.200565308077219</c:v>
                </c:pt>
                <c:pt idx="12">
                  <c:v>1.4702631825429489</c:v>
                </c:pt>
                <c:pt idx="13">
                  <c:v>3.198524609666793</c:v>
                </c:pt>
                <c:pt idx="14">
                  <c:v>3.9289860295100238</c:v>
                </c:pt>
                <c:pt idx="15">
                  <c:v>4.8987652257913643</c:v>
                </c:pt>
                <c:pt idx="16">
                  <c:v>6.6283127156830597</c:v>
                </c:pt>
                <c:pt idx="17">
                  <c:v>2.6307823880651098</c:v>
                </c:pt>
                <c:pt idx="19">
                  <c:v>3.8705886023000229</c:v>
                </c:pt>
              </c:numCache>
            </c:numRef>
          </c:yVal>
        </c:ser>
        <c:axId val="98416896"/>
        <c:axId val="98422784"/>
      </c:scatterChart>
      <c:valAx>
        <c:axId val="98416896"/>
        <c:scaling>
          <c:orientation val="minMax"/>
        </c:scaling>
        <c:axPos val="b"/>
        <c:numFmt formatCode="General" sourceLinked="1"/>
        <c:tickLblPos val="nextTo"/>
        <c:crossAx val="98422784"/>
        <c:crosses val="autoZero"/>
        <c:crossBetween val="midCat"/>
      </c:valAx>
      <c:valAx>
        <c:axId val="98422784"/>
        <c:scaling>
          <c:orientation val="minMax"/>
        </c:scaling>
        <c:axPos val="l"/>
        <c:majorGridlines/>
        <c:numFmt formatCode="General" sourceLinked="1"/>
        <c:tickLblPos val="nextTo"/>
        <c:crossAx val="984168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24</xdr:row>
      <xdr:rowOff>28575</xdr:rowOff>
    </xdr:from>
    <xdr:to>
      <xdr:col>10</xdr:col>
      <xdr:colOff>571500</xdr:colOff>
      <xdr:row>40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304799</xdr:colOff>
      <xdr:row>23</xdr:row>
      <xdr:rowOff>171450</xdr:rowOff>
    </xdr:from>
    <xdr:to>
      <xdr:col>7</xdr:col>
      <xdr:colOff>47624</xdr:colOff>
      <xdr:row>44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352425</xdr:colOff>
      <xdr:row>46</xdr:row>
      <xdr:rowOff>180975</xdr:rowOff>
    </xdr:from>
    <xdr:to>
      <xdr:col>7</xdr:col>
      <xdr:colOff>95250</xdr:colOff>
      <xdr:row>67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Q23" totalsRowShown="0" headerRowDxfId="140" dataDxfId="139">
  <tableColumns count="17">
    <tableColumn id="2" name="Código" dataDxfId="138"/>
    <tableColumn id="16" name="Rescale A_2" dataDxfId="137"/>
    <tableColumn id="17" name="Rescale B_2" dataDxfId="136"/>
    <tableColumn id="18" name="Rescale A_10" dataDxfId="135"/>
    <tableColumn id="19" name="Rescale B_10" dataDxfId="134"/>
    <tableColumn id="1" name="2 - Fígado A" dataDxfId="133"/>
    <tableColumn id="3" name="10 - Fígado A" dataDxfId="132"/>
    <tableColumn id="4" name="2 - Fígado B" dataDxfId="131"/>
    <tableColumn id="5" name="10 - Fígado B" dataDxfId="130"/>
    <tableColumn id="6" name="2 - Fígado C" dataDxfId="129"/>
    <tableColumn id="7" name="10 - Fígado C" dataDxfId="128"/>
    <tableColumn id="8" name="2 - Rim " dataDxfId="127"/>
    <tableColumn id="9" name="10 - Rim" dataDxfId="126"/>
    <tableColumn id="10" name="2 - Gordura A" dataDxfId="125"/>
    <tableColumn id="11" name="10 - Gordura A" dataDxfId="124"/>
    <tableColumn id="12" name="2 - Gordura B" dataDxfId="123"/>
    <tableColumn id="13" name="10 - Gordura B" dataDxfId="122"/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id="10" name="Table511" displayName="Table511" ref="K2:Q20" totalsRowShown="0" headerRowDxfId="8" dataDxfId="7">
  <autoFilter ref="K2:Q20"/>
  <tableColumns count="7">
    <tableColumn id="1" name="Paciente" dataDxfId="6"/>
    <tableColumn id="2" name="Fígado A" dataDxfId="5"/>
    <tableColumn id="3" name="Fígado B" dataDxfId="4"/>
    <tableColumn id="4" name="Fígado C" dataDxfId="3"/>
    <tableColumn id="5" name="Rim" dataDxfId="2"/>
    <tableColumn id="6" name="Gordura A" dataDxfId="1"/>
    <tableColumn id="7" name="Gordura B" dataDxfId="0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M23" totalsRowShown="0" headerRowDxfId="121" dataDxfId="120">
  <autoFilter ref="A1:M23">
    <filterColumn colId="1"/>
    <filterColumn colId="2"/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2"/>
  </autoFilter>
  <tableColumns count="13">
    <tableColumn id="1" name="Código" dataDxfId="119"/>
    <tableColumn id="2" name="2 - Fígado A" dataDxfId="118">
      <calculatedColumnFormula>Table1[[#This Row],[2 - Fígado A]]/Table1[[#This Row],[Rescale A_2]]</calculatedColumnFormula>
    </tableColumn>
    <tableColumn id="3" name="10 - Fígado A" dataDxfId="117">
      <calculatedColumnFormula>Table1[[#This Row],[10 - Fígado A]]/Table1[[#This Row],[Rescale A_10]]</calculatedColumnFormula>
    </tableColumn>
    <tableColumn id="7" name="2 - Fígado B" dataDxfId="116">
      <calculatedColumnFormula>Table1[[#This Row],[2 - Fígado B]]/Table1[[#This Row],[Rescale A_2]]</calculatedColumnFormula>
    </tableColumn>
    <tableColumn id="8" name="10 - Fígado B" dataDxfId="115">
      <calculatedColumnFormula>Table1[[#This Row],[10 - Fígado B]]/Table1[[#This Row],[Rescale A_10]]</calculatedColumnFormula>
    </tableColumn>
    <tableColumn id="9" name="2 - Fígado C" dataDxfId="114">
      <calculatedColumnFormula>Table1[[#This Row],[2 - Fígado C]]/Table1[[#This Row],[Rescale A_2]]</calculatedColumnFormula>
    </tableColumn>
    <tableColumn id="10" name="10 - Fígado C" dataDxfId="113">
      <calculatedColumnFormula>Table1[[#This Row],[10 - Fígado C]]/Table1[[#This Row],[Rescale A_10]]</calculatedColumnFormula>
    </tableColumn>
    <tableColumn id="11" name="2 - Rim " dataDxfId="112">
      <calculatedColumnFormula>Table1[[#This Row],[2 - Rim ]]/Table1[[#This Row],[Rescale A_2]]</calculatedColumnFormula>
    </tableColumn>
    <tableColumn id="12" name="10 - Rim" dataDxfId="111">
      <calculatedColumnFormula>Table1[[#This Row],[10 - Rim]]/Table1[[#This Row],[Rescale A_10]]</calculatedColumnFormula>
    </tableColumn>
    <tableColumn id="13" name="2 - Gordura A" dataDxfId="110">
      <calculatedColumnFormula>Table1[[#This Row],[2 - Gordura A]]/Table1[[#This Row],[Rescale A_2]]</calculatedColumnFormula>
    </tableColumn>
    <tableColumn id="14" name="10 - Gordura A" dataDxfId="109">
      <calculatedColumnFormula>Table1[[#This Row],[10 - Gordura A]]/Table1[[#This Row],[Rescale A_10]]</calculatedColumnFormula>
    </tableColumn>
    <tableColumn id="15" name="2 - Gordura B" dataDxfId="108">
      <calculatedColumnFormula>Table1[[#This Row],[2 - Gordura B]]/Table1[[#This Row],[Rescale A_2]]</calculatedColumnFormula>
    </tableColumn>
    <tableColumn id="16" name="10 - Gordura B" dataDxfId="107">
      <calculatedColumnFormula>Table1[[#This Row],[10 - Gordura B]]/Table1[[#This Row],[Rescale A_10]]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11" name="Table11" displayName="Table11" ref="A1:Y23" totalsRowShown="0" headerRowDxfId="93" dataDxfId="92">
  <tableColumns count="25">
    <tableColumn id="1" name="Código" dataDxfId="91"/>
    <tableColumn id="2" name="2 - Fíg A - S/sin" dataDxfId="90">
      <calculatedColumnFormula>Table4[[#This Row],[2 - Fígado A]]/SIN(Original!$B$25*PI()/180)</calculatedColumnFormula>
    </tableColumn>
    <tableColumn id="3" name="10 - Fíg A - S/sin" dataDxfId="89">
      <calculatedColumnFormula>Table4[[#This Row],[10 - Fígado A]]/SIN(Original!$B$26*PI()/180)</calculatedColumnFormula>
    </tableColumn>
    <tableColumn id="14" name="2 - Fíg A - S/tan" dataDxfId="88">
      <calculatedColumnFormula>Table4[[#This Row],[2 - Fígado A]]/TAN(Original!$B$25*PI()/180)</calculatedColumnFormula>
    </tableColumn>
    <tableColumn id="15" name="10 - Fíg A - S/tan" dataDxfId="87">
      <calculatedColumnFormula>Table4[[#This Row],[10 - Fígado A]]/TAN(Original!$B$26*PI()/180)</calculatedColumnFormula>
    </tableColumn>
    <tableColumn id="4" name="2 - Fíg B - S/sin" dataDxfId="86">
      <calculatedColumnFormula>Table4[[#This Row],[2 - Fígado B]]/SIN(Original!$B$25*PI()/180)</calculatedColumnFormula>
    </tableColumn>
    <tableColumn id="5" name="10 - Fíg B - S/sin" dataDxfId="85">
      <calculatedColumnFormula>Table4[[#This Row],[10 - Fígado B]]/SIN(Original!$B$26*PI()/180)</calculatedColumnFormula>
    </tableColumn>
    <tableColumn id="6" name="2 - Fíg B - S/tan" dataDxfId="84">
      <calculatedColumnFormula>Table4[[#This Row],[2 - Fígado B]]/TAN(Original!$B$25*PI()/180)</calculatedColumnFormula>
    </tableColumn>
    <tableColumn id="7" name="10 - Fíg B - S/tan" dataDxfId="83">
      <calculatedColumnFormula>Table4[[#This Row],[10 - Fígado B]]/TAN(Original!$B$26*PI()/180)</calculatedColumnFormula>
    </tableColumn>
    <tableColumn id="8" name="2 - Fíg C - S/sin" dataDxfId="82">
      <calculatedColumnFormula>Table4[[#This Row],[2 - Fígado C]]/SIN(Original!$B$25*PI()/180)</calculatedColumnFormula>
    </tableColumn>
    <tableColumn id="9" name="10 - Fíg C - S/sin" dataDxfId="81">
      <calculatedColumnFormula>Table4[[#This Row],[10 - Fígado C]]/SIN(Original!$B$26*PI()/180)</calculatedColumnFormula>
    </tableColumn>
    <tableColumn id="10" name="2 - Fíg C - S/tan" dataDxfId="80">
      <calculatedColumnFormula>Table4[[#This Row],[2 - Fígado C]]/TAN(Original!$B$25*PI()/180)</calculatedColumnFormula>
    </tableColumn>
    <tableColumn id="11" name="10 - Fíg C - S/tan" dataDxfId="79">
      <calculatedColumnFormula>Table4[[#This Row],[10 - Fígado C]]/TAN(Original!$B$26*PI()/180)</calculatedColumnFormula>
    </tableColumn>
    <tableColumn id="16" name="2 - Rim - S/sin" dataDxfId="78">
      <calculatedColumnFormula>Table4[[#This Row],[2 - Rim ]]/SIN(Original!$B$25*PI()/180)</calculatedColumnFormula>
    </tableColumn>
    <tableColumn id="17" name="10 - Rim - S/sin" dataDxfId="77">
      <calculatedColumnFormula>Table4[[#This Row],[10 - Rim]]/SIN(Original!$B$26*PI()/180)</calculatedColumnFormula>
    </tableColumn>
    <tableColumn id="18" name="2 - Rim - S/tan" dataDxfId="76">
      <calculatedColumnFormula>Table4[[#This Row],[2 - Rim ]]/TAN(Original!$B$25*PI()/180)</calculatedColumnFormula>
    </tableColumn>
    <tableColumn id="19" name="10 - Rim - S/tan" dataDxfId="75">
      <calculatedColumnFormula>Table4[[#This Row],[10 - Rim]]/TAN(Original!$B$26*PI()/180)</calculatedColumnFormula>
    </tableColumn>
    <tableColumn id="20" name="2 - Gord A - S/sin" dataDxfId="74">
      <calculatedColumnFormula>Table4[[#This Row],[2 - Gordura A]]/SIN(Original!$B$25*PI()/180)</calculatedColumnFormula>
    </tableColumn>
    <tableColumn id="21" name="10 - Gord A - S/sin" dataDxfId="73">
      <calculatedColumnFormula>Table4[[#This Row],[10 - Gordura A]]/SIN(Original!$B$26*PI()/180)</calculatedColumnFormula>
    </tableColumn>
    <tableColumn id="22" name="2 - Gord A - S/tan" dataDxfId="72">
      <calculatedColumnFormula>Table4[[#This Row],[2 - Gordura A]]/TAN(Original!$B$25*PI()/180)</calculatedColumnFormula>
    </tableColumn>
    <tableColumn id="23" name="10 - Gord A - S/tan" dataDxfId="71">
      <calculatedColumnFormula>Table4[[#This Row],[10 - Gordura A]]/TAN(Original!$B$26*PI()/180)</calculatedColumnFormula>
    </tableColumn>
    <tableColumn id="24" name="2 - Gord B - S/sin" dataDxfId="70">
      <calculatedColumnFormula>Table4[[#This Row],[2 - Gordura B]]/SIN(Original!$B$25*PI()/180)</calculatedColumnFormula>
    </tableColumn>
    <tableColumn id="25" name="10 - Gord B - S/sin" dataDxfId="69">
      <calculatedColumnFormula>Table4[[#This Row],[10 - Gordura B]]/SIN(Original!$B$26*PI()/180)</calculatedColumnFormula>
    </tableColumn>
    <tableColumn id="26" name="2 - Gord B - S/tan" dataDxfId="68">
      <calculatedColumnFormula>Table4[[#This Row],[2 - Gordura B]]/TAN(Original!$B$25*PI()/180)</calculatedColumnFormula>
    </tableColumn>
    <tableColumn id="27" name="10 - Gord B - S/tan" dataDxfId="67">
      <calculatedColumnFormula>Table4[[#This Row],[10 - Gordura B]]/TAN(Original!$B$26*PI()/180)</calculatedColumnFormula>
    </tableColumn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7" name="Table7" displayName="Table7" ref="AC1:AI23" totalsRowShown="0" headerRowDxfId="66" dataDxfId="65">
  <autoFilter ref="AC1:AI23"/>
  <tableColumns count="7">
    <tableColumn id="1" name="Código" dataDxfId="64"/>
    <tableColumn id="2" name="T1 Fig A" dataDxfId="63">
      <calculatedColumnFormula>-$B$26/LN((Table11[[#This Row],[2 - Fíg A - S/sin]]-Table11[[#This Row],[10 - Fíg A - S/sin]])/(Table11[[#This Row],[2 - Fíg A - S/tan]]-Table11[[#This Row],[10 - Fíg A - S/tan]]))</calculatedColumnFormula>
    </tableColumn>
    <tableColumn id="3" name="T1 Fig B" dataDxfId="62">
      <calculatedColumnFormula>-$B$26/LN((Table11[[#This Row],[2 - Fíg B - S/sin]]-Table11[[#This Row],[10 - Fíg B - S/sin]])/(Table11[[#This Row],[2 - Fíg B - S/tan]]-Table11[[#This Row],[10 - Fíg B - S/tan]]))</calculatedColumnFormula>
    </tableColumn>
    <tableColumn id="4" name="T1 Fig C" dataDxfId="61">
      <calculatedColumnFormula>-$B$26/LN((Table11[[#This Row],[2 - Fíg C - S/sin]]-Table11[[#This Row],[10 - Fíg C - S/sin]])/(Table11[[#This Row],[2 - Fíg C - S/tan]]-Table11[[#This Row],[10 - Fíg C - S/tan]]))</calculatedColumnFormula>
    </tableColumn>
    <tableColumn id="5" name="T1 Rim" dataDxfId="60">
      <calculatedColumnFormula>-$B$26/LN((N2-O2)/(P2-Q2))</calculatedColumnFormula>
    </tableColumn>
    <tableColumn id="6" name="T1 Gord. A" dataDxfId="59">
      <calculatedColumnFormula>-$B$26/LN((Table11[[#This Row],[2 - Gord B - S/sin]]-Table11[[#This Row],[10 - Gord B - S/sin]])/(Table11[[#This Row],[2 - Gord B - S/tan]]-Table11[[#This Row],[10 - Gord B - S/tan]]))</calculatedColumnFormula>
    </tableColumn>
    <tableColumn id="7" name="T1 Gord. B" dataDxfId="58">
      <calculatedColumnFormula>-$B$26/LN((V2-W2)/(X2-Y2))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A2:G24" totalsRowShown="0" headerRowDxfId="57" dataDxfId="56">
  <tableColumns count="7">
    <tableColumn id="1" name="Paciente" dataDxfId="55"/>
    <tableColumn id="2" name="Fígado A" dataDxfId="54">
      <calculatedColumnFormula>(Rescaled!C2-Rescaled!B2)/(Original!$B$26-Original!$B$25)</calculatedColumnFormula>
    </tableColumn>
    <tableColumn id="3" name="Fígado B" dataDxfId="53">
      <calculatedColumnFormula>(Rescaled!E2-Rescaled!D2)/(Original!$B$26-Original!$B$25)</calculatedColumnFormula>
    </tableColumn>
    <tableColumn id="4" name="Fígado C" dataDxfId="52">
      <calculatedColumnFormula>(Rescaled!G2-Rescaled!F2)/(Original!$B$26-Original!$B$25)</calculatedColumnFormula>
    </tableColumn>
    <tableColumn id="5" name="Rim" dataDxfId="51">
      <calculatedColumnFormula>(Rescaled!I2-Rescaled!H2)/(Original!$B$26-Original!$B$25)</calculatedColumnFormula>
    </tableColumn>
    <tableColumn id="6" name="Gordura A" dataDxfId="50">
      <calculatedColumnFormula>(Rescaled!K2-Rescaled!J2)/(Original!$B$26-Original!$B$25)</calculatedColumnFormula>
    </tableColumn>
    <tableColumn id="7" name="Gordura B" dataDxfId="49">
      <calculatedColumnFormula>(Rescaled!M2-Rescaled!L2)/(Original!$B$26-Original!$B$25)</calculatedColumnFormula>
    </tableColumn>
  </tableColumns>
  <tableStyleInfo name="TableStyleLight16" showFirstColumn="0" showLastColumn="0" showRowStripes="1" showColumnStripes="0"/>
</table>
</file>

<file path=xl/tables/table6.xml><?xml version="1.0" encoding="utf-8"?>
<table xmlns="http://schemas.openxmlformats.org/spreadsheetml/2006/main" id="5" name="Table5" displayName="Table5" ref="K2:Q22" totalsRowShown="0" headerRowDxfId="48" dataDxfId="47">
  <autoFilter ref="K2:Q22"/>
  <tableColumns count="7">
    <tableColumn id="1" name="Paciente" dataDxfId="46"/>
    <tableColumn id="2" name="Fígado A" dataDxfId="45"/>
    <tableColumn id="3" name="Fígado B" dataDxfId="44"/>
    <tableColumn id="4" name="Fígado C" dataDxfId="43"/>
    <tableColumn id="5" name="Rim" dataDxfId="42"/>
    <tableColumn id="6" name="Gordura A" dataDxfId="41"/>
    <tableColumn id="7" name="Gordura B" dataDxfId="40"/>
  </tableColumns>
  <tableStyleInfo name="TableStyleLight16" showFirstColumn="0" showLastColumn="0" showRowStripes="1" showColumnStripes="0"/>
</table>
</file>

<file path=xl/tables/table7.xml><?xml version="1.0" encoding="utf-8"?>
<table xmlns="http://schemas.openxmlformats.org/spreadsheetml/2006/main" id="2" name="Table43" displayName="Table43" ref="A1:M23" totalsRowShown="0" headerRowDxfId="39" dataDxfId="38">
  <tableColumns count="13">
    <tableColumn id="1" name="Código" dataDxfId="37"/>
    <tableColumn id="2" name="2 - Fígado A" dataDxfId="36">
      <calculatedColumnFormula>Table1[[#This Row],[2 - Fígado A]]/Table1[[#This Row],[Rescale A_2]]</calculatedColumnFormula>
    </tableColumn>
    <tableColumn id="3" name="10 - Fígado A" dataDxfId="35">
      <calculatedColumnFormula>Table1[[#This Row],[10 - Fígado A]]/Table1[[#This Row],[Rescale A_10]]</calculatedColumnFormula>
    </tableColumn>
    <tableColumn id="7" name="2 - Fígado B" dataDxfId="34">
      <calculatedColumnFormula>Table1[[#This Row],[2 - Fígado B]]/Table1[[#This Row],[Rescale A_2]]</calculatedColumnFormula>
    </tableColumn>
    <tableColumn id="8" name="10 - Fígado B" dataDxfId="33">
      <calculatedColumnFormula>Table1[[#This Row],[10 - Fígado B]]/Table1[[#This Row],[Rescale A_10]]</calculatedColumnFormula>
    </tableColumn>
    <tableColumn id="9" name="2 - Fígado C" dataDxfId="32">
      <calculatedColumnFormula>Table1[[#This Row],[2 - Fígado C]]/Table1[[#This Row],[Rescale A_2]]</calculatedColumnFormula>
    </tableColumn>
    <tableColumn id="10" name="10 - Fígado C" dataDxfId="31">
      <calculatedColumnFormula>Table1[[#This Row],[10 - Fígado C]]/Table1[[#This Row],[Rescale A_10]]</calculatedColumnFormula>
    </tableColumn>
    <tableColumn id="11" name="2 - Rim " dataDxfId="30">
      <calculatedColumnFormula>Table1[[#This Row],[2 - Rim ]]/Table1[[#This Row],[Rescale A_2]]</calculatedColumnFormula>
    </tableColumn>
    <tableColumn id="12" name="10 - Rim" dataDxfId="29">
      <calculatedColumnFormula>Table1[[#This Row],[10 - Rim]]/Table1[[#This Row],[Rescale A_10]]</calculatedColumnFormula>
    </tableColumn>
    <tableColumn id="13" name="2 - Gordura A" dataDxfId="28">
      <calculatedColumnFormula>Table1[[#This Row],[2 - Gordura A]]/Table1[[#This Row],[Rescale A_2]]</calculatedColumnFormula>
    </tableColumn>
    <tableColumn id="14" name="10 - Gordura A" dataDxfId="27">
      <calculatedColumnFormula>Table1[[#This Row],[10 - Gordura A]]/Table1[[#This Row],[Rescale A_10]]</calculatedColumnFormula>
    </tableColumn>
    <tableColumn id="15" name="2 - Gordura B" dataDxfId="26">
      <calculatedColumnFormula>Table1[[#This Row],[2 - Gordura B]]/Table1[[#This Row],[Rescale A_2]]</calculatedColumnFormula>
    </tableColumn>
    <tableColumn id="16" name="10 - Gordura B" dataDxfId="25">
      <calculatedColumnFormula>Table1[[#This Row],[10 - Gordura B]]/Table1[[#This Row],[Rescale A_10]]</calculatedColumnFormula>
    </tableColumn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id="3" name="Table3" displayName="Table3" ref="P1:T23" totalsRowShown="0" headerRowDxfId="24" dataDxfId="23">
  <tableColumns count="5">
    <tableColumn id="1" name="A10 - Ideal (alpha)" dataDxfId="22">
      <calculatedColumnFormula>$B$25*Table43[[#This Row],[2 - Gordura A]]</calculatedColumnFormula>
    </tableColumn>
    <tableColumn id="2" name="A10 - 10ideal/10real (beta)" dataDxfId="21">
      <calculatedColumnFormula>P2/Table43[[#This Row],[10 - Gordura A]]</calculatedColumnFormula>
    </tableColumn>
    <tableColumn id="3" name="B10 - Ideal (alpha)" dataDxfId="20">
      <calculatedColumnFormula>$B$25*Table43[[#This Row],[2 - Gordura B]]</calculatedColumnFormula>
    </tableColumn>
    <tableColumn id="4" name="B10 - 10ideal/10real (beta)" dataDxfId="19">
      <calculatedColumnFormula>Table3[[#This Row],[B10 - Ideal (alpha)]]/Table43[[#This Row],[10 - Gordura B]]</calculatedColumnFormula>
    </tableColumn>
    <tableColumn id="5" name="Avg Beta" dataDxfId="18">
      <calculatedColumnFormula>AVERAGE(Table3[[#This Row],[B10 - 10ideal/10real (beta)]],Table3[[#This Row],[A10 - 10ideal/10real (beta)]])</calculatedColumnFormula>
    </tableColumn>
  </tableColumns>
  <tableStyleInfo name="TableStyleLight17" showFirstColumn="0" showLastColumn="0" showRowStripes="1" showColumnStripes="0"/>
</table>
</file>

<file path=xl/tables/table9.xml><?xml version="1.0" encoding="utf-8"?>
<table xmlns="http://schemas.openxmlformats.org/spreadsheetml/2006/main" id="9" name="Table610" displayName="Table610" ref="A2:G24" totalsRowShown="0" headerRowDxfId="17" dataDxfId="16">
  <tableColumns count="7">
    <tableColumn id="1" name="Paciente" dataDxfId="15"/>
    <tableColumn id="2" name="Fígado A" dataDxfId="14">
      <calculatedColumnFormula>(Rescaled!C2-Rescaled!B2)/(Original!$B$26-Original!$B$25)</calculatedColumnFormula>
    </tableColumn>
    <tableColumn id="3" name="Fígado B" dataDxfId="13">
      <calculatedColumnFormula>(Rescaled!E2-Rescaled!D2)/(Original!$B$26-Original!$B$25)</calculatedColumnFormula>
    </tableColumn>
    <tableColumn id="4" name="Fígado C" dataDxfId="12">
      <calculatedColumnFormula>(Rescaled!G2-Rescaled!F2)/(Original!$B$26-Original!$B$25)</calculatedColumnFormula>
    </tableColumn>
    <tableColumn id="5" name="Rim" dataDxfId="11">
      <calculatedColumnFormula>(Rescaled!I2-Rescaled!H2)/(Original!$B$26-Original!$B$25)</calculatedColumnFormula>
    </tableColumn>
    <tableColumn id="6" name="Gordura A" dataDxfId="10">
      <calculatedColumnFormula>(Rescaled!K2-Rescaled!J2)/(Original!$B$26-Original!$B$25)</calculatedColumnFormula>
    </tableColumn>
    <tableColumn id="7" name="Gordura B" dataDxfId="9">
      <calculatedColumnFormula>(Rescaled!M2-Rescaled!L2)/(Original!$B$26-Original!$B$25)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6"/>
  <sheetViews>
    <sheetView workbookViewId="0">
      <selection activeCell="X4" sqref="X4"/>
    </sheetView>
  </sheetViews>
  <sheetFormatPr defaultRowHeight="15"/>
  <cols>
    <col min="1" max="1" width="9.5703125" style="3" bestFit="1" customWidth="1"/>
    <col min="2" max="2" width="11.42578125" style="3" bestFit="1" customWidth="1"/>
    <col min="3" max="3" width="16.7109375" style="3" hidden="1" customWidth="1"/>
    <col min="4" max="4" width="12.42578125" style="4" bestFit="1" customWidth="1"/>
    <col min="5" max="5" width="17.7109375" style="4" hidden="1" customWidth="1"/>
    <col min="6" max="6" width="11.140625" style="4" bestFit="1" customWidth="1"/>
    <col min="7" max="7" width="12.140625" style="4" bestFit="1" customWidth="1"/>
    <col min="8" max="8" width="11" style="4" bestFit="1" customWidth="1"/>
    <col min="9" max="9" width="13.140625" style="3" bestFit="1" customWidth="1"/>
    <col min="10" max="10" width="11" style="4" bestFit="1" customWidth="1"/>
    <col min="11" max="11" width="12" style="4" bestFit="1" customWidth="1"/>
    <col min="12" max="12" width="7.42578125" style="4" bestFit="1" customWidth="1"/>
    <col min="13" max="13" width="8" style="4" bestFit="1" customWidth="1"/>
    <col min="14" max="14" width="12.5703125" style="4" bestFit="1" customWidth="1"/>
    <col min="15" max="15" width="13.7109375" style="4" bestFit="1" customWidth="1"/>
    <col min="16" max="16" width="12.42578125" style="4" bestFit="1" customWidth="1"/>
    <col min="17" max="17" width="13.5703125" style="4" bestFit="1" customWidth="1"/>
    <col min="18" max="16384" width="9.140625" style="4"/>
  </cols>
  <sheetData>
    <row r="1" spans="1:24">
      <c r="A1" s="3" t="s">
        <v>0</v>
      </c>
      <c r="B1" s="3" t="s">
        <v>34</v>
      </c>
      <c r="C1" s="3" t="s">
        <v>35</v>
      </c>
      <c r="D1" s="3" t="s">
        <v>36</v>
      </c>
      <c r="E1" s="3" t="s">
        <v>37</v>
      </c>
      <c r="F1" s="3" t="s">
        <v>24</v>
      </c>
      <c r="G1" s="3" t="s">
        <v>25</v>
      </c>
      <c r="H1" s="3" t="s">
        <v>47</v>
      </c>
      <c r="I1" s="3" t="s">
        <v>26</v>
      </c>
      <c r="J1" s="3" t="s">
        <v>27</v>
      </c>
      <c r="K1" s="3" t="s">
        <v>28</v>
      </c>
      <c r="L1" s="3" t="s">
        <v>29</v>
      </c>
      <c r="M1" s="3" t="s">
        <v>23</v>
      </c>
      <c r="N1" s="3" t="s">
        <v>30</v>
      </c>
      <c r="O1" s="3" t="s">
        <v>31</v>
      </c>
      <c r="P1" s="3" t="s">
        <v>32</v>
      </c>
      <c r="Q1" s="3" t="s">
        <v>33</v>
      </c>
    </row>
    <row r="2" spans="1:24">
      <c r="A2" s="3" t="s">
        <v>1</v>
      </c>
      <c r="B2" s="3">
        <v>14.9</v>
      </c>
      <c r="C2" s="3">
        <v>0</v>
      </c>
      <c r="D2" s="3">
        <v>5.0999999999999996</v>
      </c>
      <c r="E2" s="3">
        <v>0</v>
      </c>
      <c r="F2" s="3">
        <v>48.8</v>
      </c>
      <c r="G2" s="3">
        <v>192.36</v>
      </c>
      <c r="H2" s="3">
        <v>53.07</v>
      </c>
      <c r="I2" s="3">
        <v>192.47</v>
      </c>
      <c r="J2" s="3">
        <v>55.28</v>
      </c>
      <c r="K2" s="3">
        <v>240.08</v>
      </c>
      <c r="L2" s="3">
        <v>73.540000000000006</v>
      </c>
      <c r="M2" s="3">
        <v>193.96</v>
      </c>
      <c r="N2" s="3">
        <v>17.72</v>
      </c>
      <c r="O2" s="3">
        <v>56.9</v>
      </c>
      <c r="P2" s="3">
        <v>13.68</v>
      </c>
      <c r="Q2" s="3">
        <v>59.42</v>
      </c>
      <c r="T2" s="4">
        <v>1</v>
      </c>
      <c r="U2" s="4">
        <f>$X$2*T2</f>
        <v>2</v>
      </c>
      <c r="V2" s="4">
        <f>$X$3*T2</f>
        <v>3</v>
      </c>
      <c r="W2" s="14" t="s">
        <v>90</v>
      </c>
      <c r="X2" s="15">
        <v>2</v>
      </c>
    </row>
    <row r="3" spans="1:24">
      <c r="A3" s="3" t="s">
        <v>2</v>
      </c>
      <c r="B3" s="3">
        <v>8.9700000000000006</v>
      </c>
      <c r="C3" s="3">
        <v>0</v>
      </c>
      <c r="D3" s="3">
        <v>5.3</v>
      </c>
      <c r="E3" s="3">
        <v>0</v>
      </c>
      <c r="F3" s="5">
        <v>103.07</v>
      </c>
      <c r="G3" s="5">
        <v>263.39999999999998</v>
      </c>
      <c r="H3" s="3">
        <v>107.76</v>
      </c>
      <c r="I3" s="3">
        <v>233.37</v>
      </c>
      <c r="J3" s="3">
        <v>102.42</v>
      </c>
      <c r="K3" s="3">
        <v>233.37</v>
      </c>
      <c r="L3" s="3">
        <v>150.16999999999999</v>
      </c>
      <c r="M3" s="3">
        <v>196.65</v>
      </c>
      <c r="N3" s="3">
        <v>36.44</v>
      </c>
      <c r="O3" s="3">
        <v>81.430000000000007</v>
      </c>
      <c r="P3" s="5">
        <v>29.76</v>
      </c>
      <c r="Q3" s="3">
        <v>65.09</v>
      </c>
      <c r="T3" s="4">
        <v>10</v>
      </c>
      <c r="U3" s="4">
        <f t="shared" ref="U3:U18" si="0">$X$2*T3</f>
        <v>20</v>
      </c>
      <c r="V3" s="4">
        <f t="shared" ref="V3:V18" si="1">$X$3*T3</f>
        <v>30</v>
      </c>
      <c r="W3" s="14" t="s">
        <v>91</v>
      </c>
      <c r="X3" s="15">
        <v>3</v>
      </c>
    </row>
    <row r="4" spans="1:24">
      <c r="A4" s="3" t="s">
        <v>3</v>
      </c>
      <c r="B4" s="3">
        <v>11.16</v>
      </c>
      <c r="C4" s="3">
        <v>0</v>
      </c>
      <c r="D4" s="3">
        <v>4.96</v>
      </c>
      <c r="E4" s="3">
        <v>0</v>
      </c>
      <c r="F4" s="5">
        <v>98.83</v>
      </c>
      <c r="G4" s="5">
        <v>207.39</v>
      </c>
      <c r="H4" s="3">
        <v>105.58</v>
      </c>
      <c r="I4" s="3">
        <v>239.88</v>
      </c>
      <c r="J4" s="3">
        <v>93</v>
      </c>
      <c r="K4" s="3">
        <v>241.78</v>
      </c>
      <c r="L4" s="3">
        <v>120.8</v>
      </c>
      <c r="M4" s="3">
        <v>213.3</v>
      </c>
      <c r="N4" s="3">
        <v>18.27</v>
      </c>
      <c r="O4" s="3">
        <v>45.63</v>
      </c>
      <c r="P4" s="5">
        <v>16.440000000000001</v>
      </c>
      <c r="Q4" s="3">
        <v>48.01</v>
      </c>
      <c r="T4" s="4">
        <v>20</v>
      </c>
      <c r="U4" s="4">
        <f t="shared" si="0"/>
        <v>40</v>
      </c>
      <c r="V4" s="4">
        <f t="shared" si="1"/>
        <v>60</v>
      </c>
    </row>
    <row r="5" spans="1:24">
      <c r="A5" s="3" t="s">
        <v>4</v>
      </c>
      <c r="B5" s="3">
        <v>10.92</v>
      </c>
      <c r="C5" s="3">
        <v>0</v>
      </c>
      <c r="D5" s="3">
        <v>5.96</v>
      </c>
      <c r="E5" s="3">
        <v>0</v>
      </c>
      <c r="F5" s="5">
        <v>105.24</v>
      </c>
      <c r="G5" s="5">
        <v>253.36</v>
      </c>
      <c r="H5" s="3">
        <v>100.15</v>
      </c>
      <c r="I5" s="3">
        <v>232.59</v>
      </c>
      <c r="J5" s="3">
        <v>100.34</v>
      </c>
      <c r="K5" s="3">
        <v>261.2</v>
      </c>
      <c r="L5" s="3">
        <v>123.32</v>
      </c>
      <c r="M5" s="3">
        <v>172.22</v>
      </c>
      <c r="N5" s="3">
        <v>25.24</v>
      </c>
      <c r="O5" s="3">
        <v>55.17</v>
      </c>
      <c r="P5" s="5">
        <v>20.25</v>
      </c>
      <c r="Q5" s="3">
        <v>61.88</v>
      </c>
      <c r="T5" s="4">
        <v>30</v>
      </c>
      <c r="U5" s="4">
        <f t="shared" si="0"/>
        <v>60</v>
      </c>
      <c r="V5" s="4">
        <f t="shared" si="1"/>
        <v>90</v>
      </c>
    </row>
    <row r="6" spans="1:24">
      <c r="A6" s="3" t="s">
        <v>5</v>
      </c>
      <c r="B6" s="3">
        <v>11.13</v>
      </c>
      <c r="C6" s="3">
        <v>0</v>
      </c>
      <c r="D6" s="3">
        <v>4.76</v>
      </c>
      <c r="E6" s="3">
        <v>0</v>
      </c>
      <c r="F6" s="5">
        <v>81.55</v>
      </c>
      <c r="G6" s="5">
        <v>168.21</v>
      </c>
      <c r="H6" s="3">
        <v>75.37</v>
      </c>
      <c r="I6" s="3">
        <v>170.69</v>
      </c>
      <c r="J6" s="3">
        <v>88.41</v>
      </c>
      <c r="K6" s="3">
        <v>216.23</v>
      </c>
      <c r="L6" s="3">
        <v>115.01</v>
      </c>
      <c r="M6" s="3">
        <v>179.33</v>
      </c>
      <c r="N6" s="3">
        <v>15.23</v>
      </c>
      <c r="O6" s="3">
        <v>50.61</v>
      </c>
      <c r="P6" s="5">
        <v>17.11</v>
      </c>
      <c r="Q6" s="3">
        <v>45.79</v>
      </c>
      <c r="T6" s="4">
        <v>40</v>
      </c>
      <c r="U6" s="4">
        <f t="shared" si="0"/>
        <v>80</v>
      </c>
      <c r="V6" s="4">
        <f t="shared" si="1"/>
        <v>120</v>
      </c>
    </row>
    <row r="7" spans="1:24">
      <c r="A7" s="3" t="s">
        <v>6</v>
      </c>
      <c r="B7" s="3">
        <v>7.21</v>
      </c>
      <c r="C7" s="3">
        <v>0</v>
      </c>
      <c r="D7" s="3">
        <v>4.34</v>
      </c>
      <c r="E7" s="3">
        <v>0</v>
      </c>
      <c r="F7" s="5">
        <v>147.11000000000001</v>
      </c>
      <c r="G7" s="5">
        <v>293.20999999999998</v>
      </c>
      <c r="H7" s="3">
        <v>145.06</v>
      </c>
      <c r="I7" s="3">
        <v>329.44</v>
      </c>
      <c r="J7" s="3">
        <v>142.72999999999999</v>
      </c>
      <c r="K7" s="3">
        <v>330.64</v>
      </c>
      <c r="L7" s="3">
        <v>175.83</v>
      </c>
      <c r="M7" s="3">
        <v>227.79</v>
      </c>
      <c r="N7" s="3">
        <v>34.79</v>
      </c>
      <c r="O7" s="3">
        <v>73.8</v>
      </c>
      <c r="P7" s="5">
        <v>33.06</v>
      </c>
      <c r="Q7" s="3">
        <v>80.069999999999993</v>
      </c>
      <c r="T7" s="4">
        <v>50</v>
      </c>
      <c r="U7" s="4">
        <f t="shared" si="0"/>
        <v>100</v>
      </c>
      <c r="V7" s="4">
        <f t="shared" si="1"/>
        <v>150</v>
      </c>
    </row>
    <row r="8" spans="1:24">
      <c r="A8" s="3" t="s">
        <v>7</v>
      </c>
      <c r="B8" s="3">
        <v>7.92</v>
      </c>
      <c r="C8" s="3">
        <v>0</v>
      </c>
      <c r="D8" s="3">
        <v>5.75</v>
      </c>
      <c r="E8" s="3">
        <v>0</v>
      </c>
      <c r="F8" s="5">
        <v>100.67</v>
      </c>
      <c r="G8" s="5">
        <v>200.36</v>
      </c>
      <c r="H8" s="3">
        <v>100.82</v>
      </c>
      <c r="I8" s="3">
        <v>184.24</v>
      </c>
      <c r="J8" s="3">
        <v>99.08</v>
      </c>
      <c r="K8" s="3">
        <v>172.98</v>
      </c>
      <c r="L8" s="3">
        <v>129.68</v>
      </c>
      <c r="M8" s="3">
        <v>179.6</v>
      </c>
      <c r="N8" s="3">
        <v>22.36</v>
      </c>
      <c r="O8" s="3">
        <v>54.48</v>
      </c>
      <c r="P8" s="5">
        <v>22.03</v>
      </c>
      <c r="Q8" s="3">
        <v>56.12</v>
      </c>
      <c r="T8" s="4">
        <v>60</v>
      </c>
      <c r="U8" s="4">
        <f t="shared" si="0"/>
        <v>120</v>
      </c>
      <c r="V8" s="4">
        <f t="shared" si="1"/>
        <v>180</v>
      </c>
    </row>
    <row r="9" spans="1:24">
      <c r="A9" s="3" t="s">
        <v>8</v>
      </c>
      <c r="B9" s="3">
        <v>9.75</v>
      </c>
      <c r="C9" s="3">
        <v>0</v>
      </c>
      <c r="D9" s="3">
        <v>4.97</v>
      </c>
      <c r="E9" s="3">
        <v>0</v>
      </c>
      <c r="F9" s="5">
        <v>105.4</v>
      </c>
      <c r="G9" s="5">
        <v>233.16</v>
      </c>
      <c r="H9" s="3">
        <v>99.85</v>
      </c>
      <c r="I9" s="3">
        <v>239.15</v>
      </c>
      <c r="J9" s="3">
        <v>106.81</v>
      </c>
      <c r="K9" s="3">
        <v>269.86</v>
      </c>
      <c r="L9" s="3">
        <v>151.35</v>
      </c>
      <c r="M9" s="3">
        <v>199.34</v>
      </c>
      <c r="N9" s="3">
        <v>25.68</v>
      </c>
      <c r="O9" s="3">
        <v>53.68</v>
      </c>
      <c r="P9" s="5">
        <v>22.21</v>
      </c>
      <c r="Q9" s="3">
        <v>63.32</v>
      </c>
      <c r="T9" s="4">
        <v>70</v>
      </c>
      <c r="U9" s="4">
        <f t="shared" si="0"/>
        <v>140</v>
      </c>
      <c r="V9" s="4">
        <f t="shared" si="1"/>
        <v>210</v>
      </c>
    </row>
    <row r="10" spans="1:24">
      <c r="A10" s="3" t="s">
        <v>9</v>
      </c>
      <c r="B10" s="3">
        <v>7.31</v>
      </c>
      <c r="C10" s="3">
        <v>0</v>
      </c>
      <c r="D10" s="3">
        <v>3.73</v>
      </c>
      <c r="E10" s="3">
        <v>0</v>
      </c>
      <c r="F10" s="5">
        <v>129.22</v>
      </c>
      <c r="G10" s="5">
        <v>297.52999999999997</v>
      </c>
      <c r="H10" s="3">
        <v>150.43</v>
      </c>
      <c r="I10" s="3">
        <v>321.41000000000003</v>
      </c>
      <c r="J10" s="3">
        <v>164.51</v>
      </c>
      <c r="K10" s="3">
        <v>333.7</v>
      </c>
      <c r="L10" s="3">
        <v>181.68</v>
      </c>
      <c r="M10" s="3">
        <v>227.19</v>
      </c>
      <c r="N10" s="3">
        <v>30.28</v>
      </c>
      <c r="O10" s="3">
        <v>78.11</v>
      </c>
      <c r="P10" s="5">
        <v>32.96</v>
      </c>
      <c r="Q10" s="3">
        <v>83.56</v>
      </c>
      <c r="T10" s="4">
        <v>80</v>
      </c>
      <c r="U10" s="4">
        <f t="shared" si="0"/>
        <v>160</v>
      </c>
      <c r="V10" s="4">
        <f t="shared" si="1"/>
        <v>240</v>
      </c>
    </row>
    <row r="11" spans="1:24">
      <c r="A11" s="3" t="s">
        <v>10</v>
      </c>
      <c r="B11" s="3">
        <v>8.91</v>
      </c>
      <c r="C11" s="3">
        <v>0</v>
      </c>
      <c r="D11" s="3">
        <v>5.46</v>
      </c>
      <c r="E11" s="3">
        <v>0</v>
      </c>
      <c r="F11" s="5">
        <v>114.62</v>
      </c>
      <c r="G11" s="5">
        <v>251.15</v>
      </c>
      <c r="H11" s="3">
        <v>113.16</v>
      </c>
      <c r="I11" s="3">
        <v>268.5</v>
      </c>
      <c r="J11" s="3">
        <v>113.73</v>
      </c>
      <c r="K11" s="3">
        <v>280.05</v>
      </c>
      <c r="L11" s="3">
        <v>135.6</v>
      </c>
      <c r="M11" s="3">
        <v>204.07</v>
      </c>
      <c r="N11" s="3">
        <v>23.06</v>
      </c>
      <c r="O11" s="3">
        <v>56</v>
      </c>
      <c r="P11" s="5">
        <v>19.170000000000002</v>
      </c>
      <c r="Q11" s="3">
        <v>53.91</v>
      </c>
      <c r="T11" s="4">
        <v>90</v>
      </c>
      <c r="U11" s="4">
        <f t="shared" si="0"/>
        <v>180</v>
      </c>
      <c r="V11" s="4">
        <f t="shared" si="1"/>
        <v>270</v>
      </c>
    </row>
    <row r="12" spans="1:24">
      <c r="A12" s="3" t="s">
        <v>11</v>
      </c>
      <c r="B12" s="3">
        <v>9.16</v>
      </c>
      <c r="C12" s="3">
        <v>0</v>
      </c>
      <c r="D12" s="3">
        <v>2.62</v>
      </c>
      <c r="E12" s="3">
        <v>0</v>
      </c>
      <c r="F12" s="5">
        <v>137.38999999999999</v>
      </c>
      <c r="G12" s="5">
        <v>275.77999999999997</v>
      </c>
      <c r="H12" s="3">
        <v>119.86</v>
      </c>
      <c r="I12" s="3">
        <v>267.70999999999998</v>
      </c>
      <c r="J12" s="3">
        <v>127.11</v>
      </c>
      <c r="K12" s="3">
        <v>264.35000000000002</v>
      </c>
      <c r="L12" s="3">
        <v>153.88</v>
      </c>
      <c r="M12" s="3">
        <v>251.22</v>
      </c>
      <c r="N12" s="3">
        <v>35.33</v>
      </c>
      <c r="O12" s="3">
        <v>86.6</v>
      </c>
      <c r="P12" s="5">
        <v>31.96</v>
      </c>
      <c r="Q12" s="3">
        <v>71.19</v>
      </c>
      <c r="T12" s="4">
        <v>100</v>
      </c>
      <c r="U12" s="4">
        <f t="shared" si="0"/>
        <v>200</v>
      </c>
      <c r="V12" s="4">
        <f t="shared" si="1"/>
        <v>300</v>
      </c>
    </row>
    <row r="13" spans="1:24">
      <c r="A13" s="3" t="s">
        <v>12</v>
      </c>
      <c r="B13" s="3">
        <v>10.34</v>
      </c>
      <c r="C13" s="3">
        <v>0</v>
      </c>
      <c r="D13" s="3">
        <v>4.9000000000000004</v>
      </c>
      <c r="E13" s="3">
        <v>0</v>
      </c>
      <c r="F13" s="5">
        <v>106.07</v>
      </c>
      <c r="G13" s="5">
        <v>212.25</v>
      </c>
      <c r="H13" s="3">
        <v>110.77</v>
      </c>
      <c r="I13" s="3">
        <v>192.86</v>
      </c>
      <c r="J13" s="3">
        <v>118.38</v>
      </c>
      <c r="K13" s="3">
        <v>217.77</v>
      </c>
      <c r="L13" s="3">
        <v>131.19999999999999</v>
      </c>
      <c r="M13" s="3">
        <v>147.57</v>
      </c>
      <c r="N13" s="3">
        <v>32.090000000000003</v>
      </c>
      <c r="O13" s="3">
        <v>72.58</v>
      </c>
      <c r="P13" s="5">
        <v>28.41</v>
      </c>
      <c r="Q13" s="3">
        <v>69.2</v>
      </c>
      <c r="T13" s="4">
        <v>110</v>
      </c>
      <c r="U13" s="4">
        <f t="shared" si="0"/>
        <v>220</v>
      </c>
      <c r="V13" s="4">
        <f t="shared" si="1"/>
        <v>330</v>
      </c>
    </row>
    <row r="14" spans="1:24">
      <c r="A14" s="3" t="s">
        <v>13</v>
      </c>
      <c r="B14" s="3">
        <v>8.74</v>
      </c>
      <c r="C14" s="3">
        <v>0</v>
      </c>
      <c r="D14" s="3">
        <v>4.2</v>
      </c>
      <c r="E14" s="3">
        <v>0</v>
      </c>
      <c r="F14" s="5">
        <v>114.83</v>
      </c>
      <c r="G14" s="5">
        <v>252.66</v>
      </c>
      <c r="H14" s="3">
        <v>109.41</v>
      </c>
      <c r="I14" s="3">
        <v>246.14</v>
      </c>
      <c r="J14" s="3">
        <v>107.41</v>
      </c>
      <c r="K14" s="3">
        <v>270.52</v>
      </c>
      <c r="L14" s="3">
        <v>137.08000000000001</v>
      </c>
      <c r="M14" s="3">
        <v>201.89</v>
      </c>
      <c r="N14" s="3">
        <v>23.41</v>
      </c>
      <c r="O14" s="3">
        <v>51.47</v>
      </c>
      <c r="P14" s="5">
        <v>26.14</v>
      </c>
      <c r="Q14" s="3">
        <v>55.6</v>
      </c>
      <c r="T14" s="4">
        <v>120</v>
      </c>
      <c r="U14" s="4">
        <f t="shared" si="0"/>
        <v>240</v>
      </c>
      <c r="V14" s="4">
        <f t="shared" si="1"/>
        <v>360</v>
      </c>
    </row>
    <row r="15" spans="1:24">
      <c r="A15" s="3" t="s">
        <v>14</v>
      </c>
      <c r="B15" s="3">
        <v>9.89</v>
      </c>
      <c r="C15" s="3">
        <v>0</v>
      </c>
      <c r="D15" s="3">
        <v>5.14</v>
      </c>
      <c r="E15" s="3">
        <v>0</v>
      </c>
      <c r="F15" s="5">
        <v>121.84</v>
      </c>
      <c r="G15" s="5">
        <v>283.60000000000002</v>
      </c>
      <c r="H15" s="3">
        <v>106.17</v>
      </c>
      <c r="I15" s="3">
        <v>273.64</v>
      </c>
      <c r="J15" s="3">
        <v>104.2</v>
      </c>
      <c r="K15" s="3">
        <v>263.57</v>
      </c>
      <c r="L15" s="3">
        <v>136.1</v>
      </c>
      <c r="M15" s="3">
        <v>194.37</v>
      </c>
      <c r="N15" s="3">
        <v>24.75</v>
      </c>
      <c r="O15" s="3">
        <v>58.79</v>
      </c>
      <c r="P15" s="5">
        <v>22.79</v>
      </c>
      <c r="Q15" s="3">
        <v>68.099999999999994</v>
      </c>
      <c r="T15" s="4">
        <v>130</v>
      </c>
      <c r="U15" s="4">
        <f t="shared" si="0"/>
        <v>260</v>
      </c>
      <c r="V15" s="4">
        <f t="shared" si="1"/>
        <v>390</v>
      </c>
    </row>
    <row r="16" spans="1:24">
      <c r="A16" s="3" t="s">
        <v>15</v>
      </c>
      <c r="B16" s="3">
        <v>10.62</v>
      </c>
      <c r="C16" s="3">
        <v>0</v>
      </c>
      <c r="D16" s="3">
        <v>5.91</v>
      </c>
      <c r="E16" s="3">
        <v>0</v>
      </c>
      <c r="F16" s="5">
        <v>84.77</v>
      </c>
      <c r="G16" s="5">
        <v>185.5</v>
      </c>
      <c r="H16" s="3">
        <v>68.23</v>
      </c>
      <c r="I16" s="3">
        <v>155.36000000000001</v>
      </c>
      <c r="J16" s="3">
        <v>73.98</v>
      </c>
      <c r="K16" s="3">
        <v>156.04</v>
      </c>
      <c r="L16" s="3">
        <v>120.38</v>
      </c>
      <c r="M16" s="3">
        <v>229.01</v>
      </c>
      <c r="N16" s="3">
        <v>30.35</v>
      </c>
      <c r="O16" s="3">
        <v>61.75</v>
      </c>
      <c r="P16" s="5">
        <v>23.95</v>
      </c>
      <c r="Q16" s="3">
        <v>68.41</v>
      </c>
      <c r="T16" s="4">
        <v>140</v>
      </c>
      <c r="U16" s="4">
        <f t="shared" si="0"/>
        <v>280</v>
      </c>
      <c r="V16" s="4">
        <f t="shared" si="1"/>
        <v>420</v>
      </c>
    </row>
    <row r="17" spans="1:22">
      <c r="A17" s="3" t="s">
        <v>16</v>
      </c>
      <c r="B17" s="3">
        <v>9.6</v>
      </c>
      <c r="C17" s="3">
        <v>0</v>
      </c>
      <c r="D17" s="3">
        <v>5.89</v>
      </c>
      <c r="E17" s="3">
        <v>0</v>
      </c>
      <c r="F17" s="5">
        <v>82.56</v>
      </c>
      <c r="G17" s="5">
        <v>189.5</v>
      </c>
      <c r="H17" s="3">
        <v>82.17</v>
      </c>
      <c r="I17" s="3">
        <v>179.3</v>
      </c>
      <c r="J17" s="3">
        <v>92.12</v>
      </c>
      <c r="K17" s="3">
        <v>174.07</v>
      </c>
      <c r="L17" s="3">
        <v>141.81</v>
      </c>
      <c r="M17" s="3">
        <v>196.86</v>
      </c>
      <c r="N17" s="3">
        <v>21.85</v>
      </c>
      <c r="O17" s="3">
        <v>58.16</v>
      </c>
      <c r="P17" s="5">
        <v>23.52</v>
      </c>
      <c r="Q17" s="3">
        <v>56.74</v>
      </c>
      <c r="T17" s="4">
        <v>150</v>
      </c>
      <c r="U17" s="4">
        <f t="shared" si="0"/>
        <v>300</v>
      </c>
      <c r="V17" s="4">
        <f t="shared" si="1"/>
        <v>450</v>
      </c>
    </row>
    <row r="18" spans="1:22">
      <c r="A18" s="3" t="s">
        <v>17</v>
      </c>
      <c r="B18" s="3">
        <v>12.14</v>
      </c>
      <c r="C18" s="3">
        <v>0</v>
      </c>
      <c r="D18" s="3">
        <v>7.35</v>
      </c>
      <c r="E18" s="3">
        <v>0</v>
      </c>
      <c r="F18" s="5">
        <v>73.17</v>
      </c>
      <c r="G18" s="5">
        <v>155.74</v>
      </c>
      <c r="H18" s="3">
        <v>75.56</v>
      </c>
      <c r="I18" s="3">
        <v>149.53</v>
      </c>
      <c r="J18" s="3">
        <v>85.05</v>
      </c>
      <c r="K18" s="3">
        <v>142.28</v>
      </c>
      <c r="L18" s="3">
        <v>109.57</v>
      </c>
      <c r="M18" s="3">
        <v>150.49</v>
      </c>
      <c r="N18" s="3">
        <v>17.11</v>
      </c>
      <c r="O18" s="3">
        <v>51.04</v>
      </c>
      <c r="P18" s="5">
        <v>21.09</v>
      </c>
      <c r="Q18" s="3">
        <v>49.36</v>
      </c>
      <c r="T18" s="4">
        <v>160</v>
      </c>
      <c r="U18" s="4">
        <f t="shared" si="0"/>
        <v>320</v>
      </c>
      <c r="V18" s="4">
        <f t="shared" si="1"/>
        <v>480</v>
      </c>
    </row>
    <row r="19" spans="1:22">
      <c r="A19" s="3" t="s">
        <v>18</v>
      </c>
      <c r="B19" s="3">
        <v>6.95</v>
      </c>
      <c r="C19" s="3">
        <v>0</v>
      </c>
      <c r="D19" s="3">
        <v>1.98</v>
      </c>
      <c r="E19" s="3">
        <v>0</v>
      </c>
      <c r="F19" s="5">
        <v>147.34</v>
      </c>
      <c r="G19" s="5">
        <v>504.11</v>
      </c>
      <c r="H19" s="3">
        <v>147.86000000000001</v>
      </c>
      <c r="I19" s="3">
        <v>518.98</v>
      </c>
      <c r="J19" s="3">
        <v>158.38</v>
      </c>
      <c r="K19" s="3">
        <v>550.76</v>
      </c>
      <c r="L19" s="3">
        <v>211.23</v>
      </c>
      <c r="M19" s="3">
        <v>646.05999999999995</v>
      </c>
      <c r="N19" s="3">
        <v>27.69</v>
      </c>
      <c r="O19" s="3">
        <v>69.12</v>
      </c>
      <c r="P19" s="5">
        <v>26.84</v>
      </c>
      <c r="Q19" s="3">
        <v>68.17</v>
      </c>
    </row>
    <row r="20" spans="1:22">
      <c r="A20" s="3" t="s">
        <v>19</v>
      </c>
      <c r="B20" s="3">
        <v>7.99</v>
      </c>
      <c r="C20" s="3">
        <v>0</v>
      </c>
      <c r="D20" s="3">
        <v>4.84</v>
      </c>
      <c r="E20" s="3">
        <v>0</v>
      </c>
      <c r="F20" s="5">
        <v>128.65</v>
      </c>
      <c r="G20" s="5">
        <v>247.62</v>
      </c>
      <c r="H20" s="3">
        <v>117.52</v>
      </c>
      <c r="I20" s="3">
        <v>263.76</v>
      </c>
      <c r="J20" s="3">
        <v>126.27</v>
      </c>
      <c r="K20" s="3">
        <v>309.29000000000002</v>
      </c>
      <c r="L20" s="3">
        <v>168.8</v>
      </c>
      <c r="M20" s="3">
        <v>246.63</v>
      </c>
      <c r="N20" s="3">
        <v>25.85</v>
      </c>
      <c r="O20" s="3">
        <v>75.790000000000006</v>
      </c>
      <c r="P20" s="5">
        <v>27.61</v>
      </c>
      <c r="Q20" s="3">
        <v>76.25</v>
      </c>
    </row>
    <row r="21" spans="1:22">
      <c r="A21" s="3" t="s">
        <v>20</v>
      </c>
      <c r="B21" s="3">
        <v>11.46</v>
      </c>
      <c r="C21" s="3">
        <v>0</v>
      </c>
      <c r="D21" s="3">
        <v>6.35</v>
      </c>
      <c r="E21" s="3">
        <v>0</v>
      </c>
      <c r="F21" s="5">
        <v>77.239999999999995</v>
      </c>
      <c r="G21" s="5">
        <v>175.29</v>
      </c>
      <c r="H21" s="3">
        <v>70.94</v>
      </c>
      <c r="I21" s="3">
        <v>195.13</v>
      </c>
      <c r="J21" s="3">
        <v>83.17</v>
      </c>
      <c r="K21" s="3">
        <v>190.56</v>
      </c>
      <c r="L21" s="3">
        <v>112.43</v>
      </c>
      <c r="M21" s="3">
        <v>158.26</v>
      </c>
      <c r="N21" s="3">
        <v>20.03</v>
      </c>
      <c r="O21" s="3">
        <v>53.91</v>
      </c>
      <c r="P21" s="5">
        <v>18.71</v>
      </c>
      <c r="Q21" s="3">
        <v>52.39</v>
      </c>
    </row>
    <row r="22" spans="1:22">
      <c r="A22" s="3" t="s">
        <v>21</v>
      </c>
      <c r="B22" s="3">
        <v>8.0299999999999994</v>
      </c>
      <c r="C22" s="3">
        <v>0</v>
      </c>
      <c r="D22" s="3">
        <v>3.43</v>
      </c>
      <c r="E22" s="3">
        <v>0</v>
      </c>
      <c r="F22" s="5">
        <v>118.07</v>
      </c>
      <c r="G22" s="5">
        <v>252.44</v>
      </c>
      <c r="H22" s="3">
        <v>107.88</v>
      </c>
      <c r="I22" s="3">
        <v>282.86</v>
      </c>
      <c r="J22" s="3">
        <v>120.66</v>
      </c>
      <c r="K22" s="3">
        <v>312.77999999999997</v>
      </c>
      <c r="L22" s="3">
        <v>167.35</v>
      </c>
      <c r="M22" s="3">
        <v>211.8</v>
      </c>
      <c r="N22" s="3">
        <v>24.94</v>
      </c>
      <c r="O22" s="3">
        <v>115.45</v>
      </c>
      <c r="P22" s="3">
        <v>26.75</v>
      </c>
      <c r="Q22" s="3">
        <v>99.85</v>
      </c>
    </row>
    <row r="23" spans="1:22">
      <c r="A23" s="3" t="s">
        <v>22</v>
      </c>
      <c r="B23" s="3">
        <v>10.32</v>
      </c>
      <c r="C23" s="3">
        <v>0</v>
      </c>
      <c r="D23" s="3">
        <v>5.91</v>
      </c>
      <c r="E23" s="3">
        <v>0</v>
      </c>
      <c r="F23" s="5">
        <v>82.52</v>
      </c>
      <c r="G23" s="3">
        <v>177.48</v>
      </c>
      <c r="H23" s="3">
        <v>87.41</v>
      </c>
      <c r="I23" s="3">
        <v>174.56</v>
      </c>
      <c r="J23" s="3">
        <v>91.78</v>
      </c>
      <c r="K23" s="3">
        <v>192.94</v>
      </c>
      <c r="L23" s="3">
        <v>130.59</v>
      </c>
      <c r="M23" s="3">
        <v>187.06</v>
      </c>
      <c r="N23" s="3">
        <v>25.5</v>
      </c>
      <c r="O23" s="3">
        <v>70.55</v>
      </c>
      <c r="P23" s="3">
        <v>25.17</v>
      </c>
      <c r="Q23" s="3">
        <v>61.49</v>
      </c>
    </row>
    <row r="25" spans="1:22">
      <c r="A25" s="3" t="s">
        <v>45</v>
      </c>
      <c r="B25" s="3">
        <v>2</v>
      </c>
    </row>
    <row r="26" spans="1:22">
      <c r="A26" s="3" t="s">
        <v>46</v>
      </c>
      <c r="B26" s="3">
        <v>10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Y51"/>
  <sheetViews>
    <sheetView tabSelected="1" topLeftCell="A10" workbookViewId="0">
      <selection activeCell="J45" sqref="J45"/>
    </sheetView>
  </sheetViews>
  <sheetFormatPr defaultRowHeight="15"/>
  <cols>
    <col min="1" max="1" width="9.28515625" style="3" customWidth="1"/>
    <col min="2" max="2" width="15.7109375" style="3" bestFit="1" customWidth="1"/>
    <col min="3" max="3" width="16.7109375" style="3" bestFit="1" customWidth="1"/>
    <col min="4" max="4" width="16.5703125" style="3" bestFit="1" customWidth="1"/>
    <col min="5" max="5" width="17.7109375" style="3" bestFit="1" customWidth="1"/>
    <col min="6" max="6" width="15.5703125" style="3" bestFit="1" customWidth="1"/>
    <col min="7" max="7" width="16.5703125" style="3" bestFit="1" customWidth="1"/>
    <col min="8" max="8" width="12" style="3" bestFit="1" customWidth="1"/>
    <col min="9" max="9" width="12.5703125" style="3" bestFit="1" customWidth="1"/>
    <col min="10" max="10" width="17.140625" style="3" bestFit="1" customWidth="1"/>
    <col min="11" max="11" width="18.28515625" style="3" bestFit="1" customWidth="1"/>
    <col min="12" max="12" width="17" style="3" bestFit="1" customWidth="1"/>
    <col min="13" max="13" width="18.140625" style="3" bestFit="1" customWidth="1"/>
    <col min="14" max="15" width="9.140625" style="3"/>
    <col min="16" max="16" width="7.5703125" style="3" bestFit="1" customWidth="1"/>
    <col min="17" max="17" width="11.5703125" style="3" bestFit="1" customWidth="1"/>
    <col min="18" max="18" width="12.5703125" style="3" bestFit="1" customWidth="1"/>
    <col min="19" max="19" width="11.5703125" style="3" bestFit="1" customWidth="1"/>
    <col min="20" max="16384" width="9.140625" style="3"/>
  </cols>
  <sheetData>
    <row r="1" spans="1:23">
      <c r="A1" s="3" t="s">
        <v>0</v>
      </c>
      <c r="B1" s="3" t="s">
        <v>24</v>
      </c>
      <c r="C1" s="3" t="s">
        <v>25</v>
      </c>
      <c r="D1" s="3" t="s">
        <v>47</v>
      </c>
      <c r="E1" s="3" t="s">
        <v>26</v>
      </c>
      <c r="F1" s="3" t="s">
        <v>27</v>
      </c>
      <c r="G1" s="3" t="s">
        <v>28</v>
      </c>
      <c r="H1" s="3" t="s">
        <v>29</v>
      </c>
      <c r="I1" s="3" t="s">
        <v>23</v>
      </c>
      <c r="J1" s="3" t="s">
        <v>30</v>
      </c>
      <c r="K1" s="3" t="s">
        <v>31</v>
      </c>
      <c r="L1" s="3" t="s">
        <v>32</v>
      </c>
      <c r="M1" s="3" t="s">
        <v>33</v>
      </c>
    </row>
    <row r="2" spans="1:23">
      <c r="A2" s="3" t="s">
        <v>1</v>
      </c>
      <c r="B2" s="6">
        <f>Table1[[#This Row],[2 - Fígado A]]/Table1[[#This Row],[Rescale A_2]]</f>
        <v>3.275167785234899</v>
      </c>
      <c r="C2" s="6">
        <f>Table1[[#This Row],[10 - Fígado A]]/Table1[[#This Row],[Rescale A_10]]</f>
        <v>37.717647058823538</v>
      </c>
      <c r="D2" s="6">
        <f>Table1[[#This Row],[2 - Fígado B]]/Table1[[#This Row],[Rescale A_2]]</f>
        <v>3.5617449664429528</v>
      </c>
      <c r="E2" s="6">
        <f>Table1[[#This Row],[10 - Fígado B]]/Table1[[#This Row],[Rescale A_10]]</f>
        <v>37.739215686274513</v>
      </c>
      <c r="F2" s="6">
        <f>Table1[[#This Row],[2 - Fígado C]]/Table1[[#This Row],[Rescale A_2]]</f>
        <v>3.7100671140939596</v>
      </c>
      <c r="G2" s="6">
        <f>Table1[[#This Row],[10 - Fígado C]]/Table1[[#This Row],[Rescale A_10]]</f>
        <v>47.074509803921572</v>
      </c>
      <c r="H2" s="6">
        <f>Table1[[#This Row],[2 - Rim ]]/Table1[[#This Row],[Rescale A_2]]</f>
        <v>4.935570469798658</v>
      </c>
      <c r="I2" s="6">
        <f>Table1[[#This Row],[10 - Rim]]/Table1[[#This Row],[Rescale A_10]]</f>
        <v>38.031372549019615</v>
      </c>
      <c r="J2" s="6">
        <f>Table1[[#This Row],[2 - Gordura A]]/Table1[[#This Row],[Rescale A_2]]</f>
        <v>1.1892617449664429</v>
      </c>
      <c r="K2" s="6">
        <f>Table1[[#This Row],[10 - Gordura A]]/Table1[[#This Row],[Rescale A_10]]</f>
        <v>11.15686274509804</v>
      </c>
      <c r="L2" s="6">
        <f>Table1[[#This Row],[2 - Gordura B]]/Table1[[#This Row],[Rescale A_2]]</f>
        <v>0.91812080536912744</v>
      </c>
      <c r="M2" s="6">
        <f>Table1[[#This Row],[10 - Gordura B]]/Table1[[#This Row],[Rescale A_10]]</f>
        <v>11.650980392156864</v>
      </c>
      <c r="P2" s="4">
        <v>1</v>
      </c>
      <c r="Q2" s="4">
        <f>$T$2*P2</f>
        <v>4.74</v>
      </c>
      <c r="R2" s="4">
        <f>P2*$T$3</f>
        <v>4.2</v>
      </c>
      <c r="S2" s="14" t="s">
        <v>90</v>
      </c>
      <c r="T2" s="15">
        <v>4.74</v>
      </c>
    </row>
    <row r="3" spans="1:23">
      <c r="A3" s="3" t="s">
        <v>2</v>
      </c>
      <c r="B3" s="6">
        <f>Table1[[#This Row],[2 - Fígado A]]/Table1[[#This Row],[Rescale A_2]]</f>
        <v>11.490523968784837</v>
      </c>
      <c r="C3" s="6">
        <f>Table1[[#This Row],[10 - Fígado A]]/Table1[[#This Row],[Rescale A_10]]</f>
        <v>49.698113207547166</v>
      </c>
      <c r="D3" s="6">
        <f>Table1[[#This Row],[2 - Fígado B]]/Table1[[#This Row],[Rescale A_2]]</f>
        <v>12.013377926421404</v>
      </c>
      <c r="E3" s="6">
        <f>Table1[[#This Row],[10 - Fígado B]]/Table1[[#This Row],[Rescale A_10]]</f>
        <v>44.032075471698114</v>
      </c>
      <c r="F3" s="6">
        <f>Table1[[#This Row],[2 - Fígado C]]/Table1[[#This Row],[Rescale A_2]]</f>
        <v>11.418060200668895</v>
      </c>
      <c r="G3" s="6">
        <f>Table1[[#This Row],[10 - Fígado C]]/Table1[[#This Row],[Rescale A_10]]</f>
        <v>44.032075471698114</v>
      </c>
      <c r="H3" s="6">
        <f>Table1[[#This Row],[2 - Rim ]]/Table1[[#This Row],[Rescale A_2]]</f>
        <v>16.741360089186173</v>
      </c>
      <c r="I3" s="6">
        <f>Table1[[#This Row],[10 - Rim]]/Table1[[#This Row],[Rescale A_10]]</f>
        <v>37.10377358490566</v>
      </c>
      <c r="J3" s="6">
        <f>Table1[[#This Row],[2 - Gordura A]]/Table1[[#This Row],[Rescale A_2]]</f>
        <v>4.0624303232998882</v>
      </c>
      <c r="K3" s="6">
        <f>Table1[[#This Row],[10 - Gordura A]]/Table1[[#This Row],[Rescale A_10]]</f>
        <v>15.364150943396227</v>
      </c>
      <c r="L3" s="6">
        <f>Table1[[#This Row],[2 - Gordura B]]/Table1[[#This Row],[Rescale A_2]]</f>
        <v>3.3177257525083612</v>
      </c>
      <c r="M3" s="6">
        <f>Table1[[#This Row],[10 - Gordura B]]/Table1[[#This Row],[Rescale A_10]]</f>
        <v>12.281132075471699</v>
      </c>
      <c r="P3" s="4">
        <v>2</v>
      </c>
      <c r="Q3" s="4">
        <f t="shared" ref="Q3:R20" si="0">$T$2*P3</f>
        <v>9.48</v>
      </c>
      <c r="R3" s="4">
        <f t="shared" ref="R3:R20" si="1">P3*$T$3</f>
        <v>8.4</v>
      </c>
      <c r="S3" s="14" t="s">
        <v>91</v>
      </c>
      <c r="T3" s="15">
        <v>4.2</v>
      </c>
    </row>
    <row r="4" spans="1:23">
      <c r="A4" s="3" t="s">
        <v>3</v>
      </c>
      <c r="B4" s="6">
        <f>Table1[[#This Row],[2 - Fígado A]]/Table1[[#This Row],[Rescale A_2]]</f>
        <v>8.8557347670250888</v>
      </c>
      <c r="C4" s="6">
        <f>Table1[[#This Row],[10 - Fígado A]]/Table1[[#This Row],[Rescale A_10]]</f>
        <v>41.8125</v>
      </c>
      <c r="D4" s="6">
        <f>Table1[[#This Row],[2 - Fígado B]]/Table1[[#This Row],[Rescale A_2]]</f>
        <v>9.4605734767025087</v>
      </c>
      <c r="E4" s="6">
        <f>Table1[[#This Row],[10 - Fígado B]]/Table1[[#This Row],[Rescale A_10]]</f>
        <v>48.362903225806448</v>
      </c>
      <c r="F4" s="6">
        <f>Table1[[#This Row],[2 - Fígado C]]/Table1[[#This Row],[Rescale A_2]]</f>
        <v>8.3333333333333339</v>
      </c>
      <c r="G4" s="6">
        <f>Table1[[#This Row],[10 - Fígado C]]/Table1[[#This Row],[Rescale A_10]]</f>
        <v>48.745967741935488</v>
      </c>
      <c r="H4" s="6">
        <f>Table1[[#This Row],[2 - Rim ]]/Table1[[#This Row],[Rescale A_2]]</f>
        <v>10.824372759856631</v>
      </c>
      <c r="I4" s="6">
        <f>Table1[[#This Row],[10 - Rim]]/Table1[[#This Row],[Rescale A_10]]</f>
        <v>43.00403225806452</v>
      </c>
      <c r="J4" s="6">
        <f>Table1[[#This Row],[2 - Gordura A]]/Table1[[#This Row],[Rescale A_2]]</f>
        <v>1.6370967741935483</v>
      </c>
      <c r="K4" s="6">
        <f>Table1[[#This Row],[10 - Gordura A]]/Table1[[#This Row],[Rescale A_10]]</f>
        <v>9.1995967741935498</v>
      </c>
      <c r="L4" s="6">
        <f>Table1[[#This Row],[2 - Gordura B]]/Table1[[#This Row],[Rescale A_2]]</f>
        <v>1.4731182795698925</v>
      </c>
      <c r="M4" s="6">
        <f>Table1[[#This Row],[10 - Gordura B]]/Table1[[#This Row],[Rescale A_10]]</f>
        <v>9.679435483870968</v>
      </c>
      <c r="P4" s="4">
        <v>3</v>
      </c>
      <c r="Q4" s="4">
        <f t="shared" si="0"/>
        <v>14.22</v>
      </c>
      <c r="R4" s="4">
        <f t="shared" si="1"/>
        <v>12.600000000000001</v>
      </c>
      <c r="S4" s="4"/>
      <c r="T4" s="4"/>
    </row>
    <row r="5" spans="1:23">
      <c r="A5" s="3" t="s">
        <v>4</v>
      </c>
      <c r="B5" s="6">
        <f>Table1[[#This Row],[2 - Fígado A]]/Table1[[#This Row],[Rescale A_2]]</f>
        <v>9.6373626373626369</v>
      </c>
      <c r="C5" s="6">
        <f>Table1[[#This Row],[10 - Fígado A]]/Table1[[#This Row],[Rescale A_10]]</f>
        <v>42.510067114093964</v>
      </c>
      <c r="D5" s="6">
        <f>Table1[[#This Row],[2 - Fígado B]]/Table1[[#This Row],[Rescale A_2]]</f>
        <v>9.1712454212454215</v>
      </c>
      <c r="E5" s="6">
        <f>Table1[[#This Row],[10 - Fígado B]]/Table1[[#This Row],[Rescale A_10]]</f>
        <v>39.025167785234899</v>
      </c>
      <c r="F5" s="6">
        <f>Table1[[#This Row],[2 - Fígado C]]/Table1[[#This Row],[Rescale A_2]]</f>
        <v>9.1886446886446898</v>
      </c>
      <c r="G5" s="6">
        <f>Table1[[#This Row],[10 - Fígado C]]/Table1[[#This Row],[Rescale A_10]]</f>
        <v>43.825503355704697</v>
      </c>
      <c r="H5" s="6">
        <f>Table1[[#This Row],[2 - Rim ]]/Table1[[#This Row],[Rescale A_2]]</f>
        <v>11.293040293040292</v>
      </c>
      <c r="I5" s="6">
        <f>Table1[[#This Row],[10 - Rim]]/Table1[[#This Row],[Rescale A_10]]</f>
        <v>28.895973154362416</v>
      </c>
      <c r="J5" s="6">
        <f>Table1[[#This Row],[2 - Gordura A]]/Table1[[#This Row],[Rescale A_2]]</f>
        <v>2.3113553113553111</v>
      </c>
      <c r="K5" s="6">
        <f>Table1[[#This Row],[10 - Gordura A]]/Table1[[#This Row],[Rescale A_10]]</f>
        <v>9.2567114093959741</v>
      </c>
      <c r="L5" s="6">
        <f>Table1[[#This Row],[2 - Gordura B]]/Table1[[#This Row],[Rescale A_2]]</f>
        <v>1.8543956043956045</v>
      </c>
      <c r="M5" s="6">
        <f>Table1[[#This Row],[10 - Gordura B]]/Table1[[#This Row],[Rescale A_10]]</f>
        <v>10.382550335570471</v>
      </c>
      <c r="P5" s="4">
        <v>4</v>
      </c>
      <c r="Q5" s="4">
        <f t="shared" si="0"/>
        <v>18.96</v>
      </c>
      <c r="R5" s="4">
        <f t="shared" si="1"/>
        <v>16.8</v>
      </c>
      <c r="S5" s="4"/>
      <c r="T5" s="4"/>
    </row>
    <row r="6" spans="1:23">
      <c r="A6" s="3" t="s">
        <v>5</v>
      </c>
      <c r="B6" s="6">
        <f>Table1[[#This Row],[2 - Fígado A]]/Table1[[#This Row],[Rescale A_2]]</f>
        <v>7.3270440251572317</v>
      </c>
      <c r="C6" s="6">
        <f>Table1[[#This Row],[10 - Fígado A]]/Table1[[#This Row],[Rescale A_10]]</f>
        <v>35.338235294117652</v>
      </c>
      <c r="D6" s="6">
        <f>Table1[[#This Row],[2 - Fígado B]]/Table1[[#This Row],[Rescale A_2]]</f>
        <v>6.771787960467206</v>
      </c>
      <c r="E6" s="6">
        <f>Table1[[#This Row],[10 - Fígado B]]/Table1[[#This Row],[Rescale A_10]]</f>
        <v>35.859243697478995</v>
      </c>
      <c r="F6" s="6">
        <f>Table1[[#This Row],[2 - Fígado C]]/Table1[[#This Row],[Rescale A_2]]</f>
        <v>7.9433962264150937</v>
      </c>
      <c r="G6" s="6">
        <f>Table1[[#This Row],[10 - Fígado C]]/Table1[[#This Row],[Rescale A_10]]</f>
        <v>45.426470588235297</v>
      </c>
      <c r="H6" s="6">
        <f>Table1[[#This Row],[2 - Rim ]]/Table1[[#This Row],[Rescale A_2]]</f>
        <v>10.333333333333334</v>
      </c>
      <c r="I6" s="6">
        <f>Table1[[#This Row],[10 - Rim]]/Table1[[#This Row],[Rescale A_10]]</f>
        <v>37.674369747899163</v>
      </c>
      <c r="J6" s="6">
        <f>Table1[[#This Row],[2 - Gordura A]]/Table1[[#This Row],[Rescale A_2]]</f>
        <v>1.3683737646001797</v>
      </c>
      <c r="K6" s="6">
        <f>Table1[[#This Row],[10 - Gordura A]]/Table1[[#This Row],[Rescale A_10]]</f>
        <v>10.632352941176471</v>
      </c>
      <c r="L6" s="6">
        <f>Table1[[#This Row],[2 - Gordura B]]/Table1[[#This Row],[Rescale A_2]]</f>
        <v>1.5372866127583107</v>
      </c>
      <c r="M6" s="6">
        <f>Table1[[#This Row],[10 - Gordura B]]/Table1[[#This Row],[Rescale A_10]]</f>
        <v>9.6197478991596643</v>
      </c>
      <c r="P6" s="4">
        <v>5</v>
      </c>
      <c r="Q6" s="4">
        <f t="shared" si="0"/>
        <v>23.700000000000003</v>
      </c>
      <c r="R6" s="4">
        <f t="shared" si="1"/>
        <v>21</v>
      </c>
      <c r="S6" s="4"/>
      <c r="T6" s="4"/>
    </row>
    <row r="7" spans="1:23">
      <c r="A7" s="3" t="s">
        <v>6</v>
      </c>
      <c r="B7" s="6">
        <f>Table1[[#This Row],[2 - Fígado A]]/Table1[[#This Row],[Rescale A_2]]</f>
        <v>20.40360610263523</v>
      </c>
      <c r="C7" s="6">
        <f>Table1[[#This Row],[10 - Fígado A]]/Table1[[#This Row],[Rescale A_10]]</f>
        <v>67.559907834101381</v>
      </c>
      <c r="D7" s="6">
        <f>Table1[[#This Row],[2 - Fígado B]]/Table1[[#This Row],[Rescale A_2]]</f>
        <v>20.119278779472953</v>
      </c>
      <c r="E7" s="6">
        <f>Table1[[#This Row],[10 - Fígado B]]/Table1[[#This Row],[Rescale A_10]]</f>
        <v>75.907834101382491</v>
      </c>
      <c r="F7" s="6">
        <f>Table1[[#This Row],[2 - Fígado C]]/Table1[[#This Row],[Rescale A_2]]</f>
        <v>19.796116504854368</v>
      </c>
      <c r="G7" s="6">
        <f>Table1[[#This Row],[10 - Fígado C]]/Table1[[#This Row],[Rescale A_10]]</f>
        <v>76.184331797235018</v>
      </c>
      <c r="H7" s="6">
        <f>Table1[[#This Row],[2 - Rim ]]/Table1[[#This Row],[Rescale A_2]]</f>
        <v>24.386962552011099</v>
      </c>
      <c r="I7" s="6">
        <f>Table1[[#This Row],[10 - Rim]]/Table1[[#This Row],[Rescale A_10]]</f>
        <v>52.486175115207374</v>
      </c>
      <c r="J7" s="6">
        <f>Table1[[#This Row],[2 - Gordura A]]/Table1[[#This Row],[Rescale A_2]]</f>
        <v>4.825242718446602</v>
      </c>
      <c r="K7" s="6">
        <f>Table1[[#This Row],[10 - Gordura A]]/Table1[[#This Row],[Rescale A_10]]</f>
        <v>17.004608294930875</v>
      </c>
      <c r="L7" s="6">
        <f>Table1[[#This Row],[2 - Gordura B]]/Table1[[#This Row],[Rescale A_2]]</f>
        <v>4.585298196948683</v>
      </c>
      <c r="M7" s="6">
        <f>Table1[[#This Row],[10 - Gordura B]]/Table1[[#This Row],[Rescale A_10]]</f>
        <v>18.449308755760367</v>
      </c>
      <c r="P7" s="4">
        <v>6</v>
      </c>
      <c r="Q7" s="4">
        <f t="shared" si="0"/>
        <v>28.44</v>
      </c>
      <c r="R7" s="4">
        <f t="shared" si="1"/>
        <v>25.200000000000003</v>
      </c>
      <c r="S7" s="4"/>
      <c r="T7" s="4"/>
    </row>
    <row r="8" spans="1:23">
      <c r="A8" s="3" t="s">
        <v>7</v>
      </c>
      <c r="B8" s="6">
        <f>Table1[[#This Row],[2 - Fígado A]]/Table1[[#This Row],[Rescale A_2]]</f>
        <v>12.710858585858587</v>
      </c>
      <c r="C8" s="6">
        <f>Table1[[#This Row],[10 - Fígado A]]/Table1[[#This Row],[Rescale A_10]]</f>
        <v>34.845217391304352</v>
      </c>
      <c r="D8" s="6">
        <f>Table1[[#This Row],[2 - Fígado B]]/Table1[[#This Row],[Rescale A_2]]</f>
        <v>12.729797979797979</v>
      </c>
      <c r="E8" s="6">
        <f>Table1[[#This Row],[10 - Fígado B]]/Table1[[#This Row],[Rescale A_10]]</f>
        <v>32.041739130434784</v>
      </c>
      <c r="F8" s="6">
        <f>Table1[[#This Row],[2 - Fígado C]]/Table1[[#This Row],[Rescale A_2]]</f>
        <v>12.51010101010101</v>
      </c>
      <c r="G8" s="6">
        <f>Table1[[#This Row],[10 - Fígado C]]/Table1[[#This Row],[Rescale A_10]]</f>
        <v>30.083478260869562</v>
      </c>
      <c r="H8" s="6">
        <f>Table1[[#This Row],[2 - Rim ]]/Table1[[#This Row],[Rescale A_2]]</f>
        <v>16.373737373737374</v>
      </c>
      <c r="I8" s="6">
        <f>Table1[[#This Row],[10 - Rim]]/Table1[[#This Row],[Rescale A_10]]</f>
        <v>31.234782608695649</v>
      </c>
      <c r="J8" s="6">
        <f>Table1[[#This Row],[2 - Gordura A]]/Table1[[#This Row],[Rescale A_2]]</f>
        <v>2.8232323232323231</v>
      </c>
      <c r="K8" s="6">
        <f>Table1[[#This Row],[10 - Gordura A]]/Table1[[#This Row],[Rescale A_10]]</f>
        <v>9.4747826086956515</v>
      </c>
      <c r="L8" s="6">
        <f>Table1[[#This Row],[2 - Gordura B]]/Table1[[#This Row],[Rescale A_2]]</f>
        <v>2.7815656565656566</v>
      </c>
      <c r="M8" s="6">
        <f>Table1[[#This Row],[10 - Gordura B]]/Table1[[#This Row],[Rescale A_10]]</f>
        <v>9.76</v>
      </c>
      <c r="P8" s="4">
        <v>7</v>
      </c>
      <c r="Q8" s="4">
        <f t="shared" si="0"/>
        <v>33.18</v>
      </c>
      <c r="R8" s="4">
        <f t="shared" si="1"/>
        <v>29.400000000000002</v>
      </c>
      <c r="S8" s="4"/>
      <c r="T8" s="4"/>
    </row>
    <row r="9" spans="1:23">
      <c r="A9" s="3" t="s">
        <v>8</v>
      </c>
      <c r="B9" s="6">
        <f>Table1[[#This Row],[2 - Fígado A]]/Table1[[#This Row],[Rescale A_2]]</f>
        <v>10.810256410256411</v>
      </c>
      <c r="C9" s="6">
        <f>Table1[[#This Row],[10 - Fígado A]]/Table1[[#This Row],[Rescale A_10]]</f>
        <v>46.91348088531187</v>
      </c>
      <c r="D9" s="6">
        <f>Table1[[#This Row],[2 - Fígado B]]/Table1[[#This Row],[Rescale A_2]]</f>
        <v>10.24102564102564</v>
      </c>
      <c r="E9" s="6">
        <f>Table1[[#This Row],[10 - Fígado B]]/Table1[[#This Row],[Rescale A_10]]</f>
        <v>48.118712273641854</v>
      </c>
      <c r="F9" s="6">
        <f>Table1[[#This Row],[2 - Fígado C]]/Table1[[#This Row],[Rescale A_2]]</f>
        <v>10.954871794871796</v>
      </c>
      <c r="G9" s="6">
        <f>Table1[[#This Row],[10 - Fígado C]]/Table1[[#This Row],[Rescale A_10]]</f>
        <v>54.297786720321938</v>
      </c>
      <c r="H9" s="6">
        <f>Table1[[#This Row],[2 - Rim ]]/Table1[[#This Row],[Rescale A_2]]</f>
        <v>15.523076923076923</v>
      </c>
      <c r="I9" s="6">
        <f>Table1[[#This Row],[10 - Rim]]/Table1[[#This Row],[Rescale A_10]]</f>
        <v>40.108651911468819</v>
      </c>
      <c r="J9" s="6">
        <f>Table1[[#This Row],[2 - Gordura A]]/Table1[[#This Row],[Rescale A_2]]</f>
        <v>2.6338461538461537</v>
      </c>
      <c r="K9" s="6">
        <f>Table1[[#This Row],[10 - Gordura A]]/Table1[[#This Row],[Rescale A_10]]</f>
        <v>10.800804828973844</v>
      </c>
      <c r="L9" s="6">
        <f>Table1[[#This Row],[2 - Gordura B]]/Table1[[#This Row],[Rescale A_2]]</f>
        <v>2.2779487179487181</v>
      </c>
      <c r="M9" s="6">
        <f>Table1[[#This Row],[10 - Gordura B]]/Table1[[#This Row],[Rescale A_10]]</f>
        <v>12.740442655935615</v>
      </c>
      <c r="P9" s="4">
        <v>8</v>
      </c>
      <c r="Q9" s="4">
        <f t="shared" si="0"/>
        <v>37.92</v>
      </c>
      <c r="R9" s="4">
        <f t="shared" si="1"/>
        <v>33.6</v>
      </c>
      <c r="S9" s="4"/>
      <c r="T9" s="4"/>
    </row>
    <row r="10" spans="1:23">
      <c r="A10" s="3" t="s">
        <v>9</v>
      </c>
      <c r="B10" s="6">
        <f>Table1[[#This Row],[2 - Fígado A]]/Table1[[#This Row],[Rescale A_2]]</f>
        <v>17.67715458276334</v>
      </c>
      <c r="C10" s="6">
        <f>Table1[[#This Row],[10 - Fígado A]]/Table1[[#This Row],[Rescale A_10]]</f>
        <v>79.766756032171571</v>
      </c>
      <c r="D10" s="6">
        <f>Table1[[#This Row],[2 - Fígado B]]/Table1[[#This Row],[Rescale A_2]]</f>
        <v>20.578659370725035</v>
      </c>
      <c r="E10" s="6">
        <f>Table1[[#This Row],[10 - Fígado B]]/Table1[[#This Row],[Rescale A_10]]</f>
        <v>86.168900804289549</v>
      </c>
      <c r="F10" s="6">
        <f>Table1[[#This Row],[2 - Fígado C]]/Table1[[#This Row],[Rescale A_2]]</f>
        <v>22.504787961696305</v>
      </c>
      <c r="G10" s="6">
        <f>Table1[[#This Row],[10 - Fígado C]]/Table1[[#This Row],[Rescale A_10]]</f>
        <v>89.463806970509381</v>
      </c>
      <c r="H10" s="6">
        <f>Table1[[#This Row],[2 - Rim ]]/Table1[[#This Row],[Rescale A_2]]</f>
        <v>24.853625170998633</v>
      </c>
      <c r="I10" s="6">
        <f>Table1[[#This Row],[10 - Rim]]/Table1[[#This Row],[Rescale A_10]]</f>
        <v>60.908847184986598</v>
      </c>
      <c r="J10" s="6">
        <f>Table1[[#This Row],[2 - Gordura A]]/Table1[[#This Row],[Rescale A_2]]</f>
        <v>4.1422708618331061</v>
      </c>
      <c r="K10" s="6">
        <f>Table1[[#This Row],[10 - Gordura A]]/Table1[[#This Row],[Rescale A_10]]</f>
        <v>20.941018766756031</v>
      </c>
      <c r="L10" s="6">
        <f>Table1[[#This Row],[2 - Gordura B]]/Table1[[#This Row],[Rescale A_2]]</f>
        <v>4.5088919288645695</v>
      </c>
      <c r="M10" s="6">
        <f>Table1[[#This Row],[10 - Gordura B]]/Table1[[#This Row],[Rescale A_10]]</f>
        <v>22.402144772117964</v>
      </c>
      <c r="P10" s="4">
        <v>9</v>
      </c>
      <c r="Q10" s="4">
        <f t="shared" si="0"/>
        <v>42.660000000000004</v>
      </c>
      <c r="R10" s="4">
        <f t="shared" si="1"/>
        <v>37.800000000000004</v>
      </c>
      <c r="S10" s="4"/>
      <c r="T10" s="4"/>
    </row>
    <row r="11" spans="1:23">
      <c r="A11" s="3" t="s">
        <v>10</v>
      </c>
      <c r="B11" s="6">
        <f>Table1[[#This Row],[2 - Fígado A]]/Table1[[#This Row],[Rescale A_2]]</f>
        <v>12.864197530864198</v>
      </c>
      <c r="C11" s="6">
        <f>Table1[[#This Row],[10 - Fígado A]]/Table1[[#This Row],[Rescale A_10]]</f>
        <v>45.998168498168496</v>
      </c>
      <c r="D11" s="6">
        <f>Table1[[#This Row],[2 - Fígado B]]/Table1[[#This Row],[Rescale A_2]]</f>
        <v>12.700336700336699</v>
      </c>
      <c r="E11" s="6">
        <f>Table1[[#This Row],[10 - Fígado B]]/Table1[[#This Row],[Rescale A_10]]</f>
        <v>49.175824175824175</v>
      </c>
      <c r="F11" s="6">
        <f>Table1[[#This Row],[2 - Fígado C]]/Table1[[#This Row],[Rescale A_2]]</f>
        <v>12.764309764309765</v>
      </c>
      <c r="G11" s="6">
        <f>Table1[[#This Row],[10 - Fígado C]]/Table1[[#This Row],[Rescale A_10]]</f>
        <v>51.291208791208796</v>
      </c>
      <c r="H11" s="6">
        <f>Table1[[#This Row],[2 - Rim ]]/Table1[[#This Row],[Rescale A_2]]</f>
        <v>15.218855218855218</v>
      </c>
      <c r="I11" s="6">
        <f>Table1[[#This Row],[10 - Rim]]/Table1[[#This Row],[Rescale A_10]]</f>
        <v>37.375457875457876</v>
      </c>
      <c r="J11" s="6">
        <f>Table1[[#This Row],[2 - Gordura A]]/Table1[[#This Row],[Rescale A_2]]</f>
        <v>2.5881032547699214</v>
      </c>
      <c r="K11" s="6">
        <f>Table1[[#This Row],[10 - Gordura A]]/Table1[[#This Row],[Rescale A_10]]</f>
        <v>10.256410256410257</v>
      </c>
      <c r="L11" s="6">
        <f>Table1[[#This Row],[2 - Gordura B]]/Table1[[#This Row],[Rescale A_2]]</f>
        <v>2.1515151515151518</v>
      </c>
      <c r="M11" s="6">
        <f>Table1[[#This Row],[10 - Gordura B]]/Table1[[#This Row],[Rescale A_10]]</f>
        <v>9.8736263736263723</v>
      </c>
      <c r="P11" s="4">
        <v>10</v>
      </c>
      <c r="Q11" s="4">
        <f t="shared" si="0"/>
        <v>47.400000000000006</v>
      </c>
      <c r="R11" s="4">
        <f t="shared" si="1"/>
        <v>42</v>
      </c>
      <c r="S11" s="4"/>
      <c r="T11" s="4"/>
    </row>
    <row r="12" spans="1:23">
      <c r="A12" s="3" t="s">
        <v>11</v>
      </c>
      <c r="B12" s="6">
        <f>Table1[[#This Row],[2 - Fígado A]]/Table1[[#This Row],[Rescale A_2]]</f>
        <v>14.998908296943229</v>
      </c>
      <c r="C12" s="6">
        <f>Table1[[#This Row],[10 - Fígado A]]/Table1[[#This Row],[Rescale A_10]]</f>
        <v>105.25954198473281</v>
      </c>
      <c r="D12" s="6">
        <f>Table1[[#This Row],[2 - Fígado B]]/Table1[[#This Row],[Rescale A_2]]</f>
        <v>13.085152838427947</v>
      </c>
      <c r="E12" s="6">
        <f>Table1[[#This Row],[10 - Fígado B]]/Table1[[#This Row],[Rescale A_10]]</f>
        <v>102.17938931297709</v>
      </c>
      <c r="F12" s="6">
        <f>Table1[[#This Row],[2 - Fígado C]]/Table1[[#This Row],[Rescale A_2]]</f>
        <v>13.876637554585152</v>
      </c>
      <c r="G12" s="6">
        <f>Table1[[#This Row],[10 - Fígado C]]/Table1[[#This Row],[Rescale A_10]]</f>
        <v>100.8969465648855</v>
      </c>
      <c r="H12" s="6">
        <f>Table1[[#This Row],[2 - Rim ]]/Table1[[#This Row],[Rescale A_2]]</f>
        <v>16.799126637554583</v>
      </c>
      <c r="I12" s="6">
        <f>Table1[[#This Row],[10 - Rim]]/Table1[[#This Row],[Rescale A_10]]</f>
        <v>95.885496183206101</v>
      </c>
      <c r="J12" s="6">
        <f>Table1[[#This Row],[2 - Gordura A]]/Table1[[#This Row],[Rescale A_2]]</f>
        <v>3.8569868995633185</v>
      </c>
      <c r="K12" s="6">
        <f>Table1[[#This Row],[10 - Gordura A]]/Table1[[#This Row],[Rescale A_10]]</f>
        <v>33.053435114503813</v>
      </c>
      <c r="L12" s="6">
        <f>Table1[[#This Row],[2 - Gordura B]]/Table1[[#This Row],[Rescale A_2]]</f>
        <v>3.4890829694323147</v>
      </c>
      <c r="M12" s="6">
        <f>Table1[[#This Row],[10 - Gordura B]]/Table1[[#This Row],[Rescale A_10]]</f>
        <v>27.171755725190838</v>
      </c>
      <c r="P12" s="4">
        <v>11</v>
      </c>
      <c r="Q12" s="4">
        <f t="shared" si="0"/>
        <v>52.14</v>
      </c>
      <c r="R12" s="4">
        <f t="shared" si="1"/>
        <v>46.2</v>
      </c>
      <c r="S12" s="4"/>
      <c r="T12" s="4"/>
    </row>
    <row r="13" spans="1:23">
      <c r="A13" s="3" t="s">
        <v>12</v>
      </c>
      <c r="B13" s="6">
        <f>Table1[[#This Row],[2 - Fígado A]]/Table1[[#This Row],[Rescale A_2]]</f>
        <v>10.258220502901354</v>
      </c>
      <c r="C13" s="6">
        <f>Table1[[#This Row],[10 - Fígado A]]/Table1[[#This Row],[Rescale A_10]]</f>
        <v>43.316326530612244</v>
      </c>
      <c r="D13" s="6">
        <f>Table1[[#This Row],[2 - Fígado B]]/Table1[[#This Row],[Rescale A_2]]</f>
        <v>10.712765957446809</v>
      </c>
      <c r="E13" s="6">
        <f>Table1[[#This Row],[10 - Fígado B]]/Table1[[#This Row],[Rescale A_10]]</f>
        <v>39.359183673469389</v>
      </c>
      <c r="F13" s="6">
        <f>Table1[[#This Row],[2 - Fígado C]]/Table1[[#This Row],[Rescale A_2]]</f>
        <v>11.448742746615087</v>
      </c>
      <c r="G13" s="6">
        <f>Table1[[#This Row],[10 - Fígado C]]/Table1[[#This Row],[Rescale A_10]]</f>
        <v>44.442857142857143</v>
      </c>
      <c r="H13" s="6">
        <f>Table1[[#This Row],[2 - Rim ]]/Table1[[#This Row],[Rescale A_2]]</f>
        <v>12.688588007736943</v>
      </c>
      <c r="I13" s="6">
        <f>Table1[[#This Row],[10 - Rim]]/Table1[[#This Row],[Rescale A_10]]</f>
        <v>30.116326530612241</v>
      </c>
      <c r="J13" s="6">
        <f>Table1[[#This Row],[2 - Gordura A]]/Table1[[#This Row],[Rescale A_2]]</f>
        <v>3.1034816247582211</v>
      </c>
      <c r="K13" s="6">
        <f>Table1[[#This Row],[10 - Gordura A]]/Table1[[#This Row],[Rescale A_10]]</f>
        <v>14.812244897959182</v>
      </c>
      <c r="L13" s="6">
        <f>Table1[[#This Row],[2 - Gordura B]]/Table1[[#This Row],[Rescale A_2]]</f>
        <v>2.7475822050290137</v>
      </c>
      <c r="M13" s="6">
        <f>Table1[[#This Row],[10 - Gordura B]]/Table1[[#This Row],[Rescale A_10]]</f>
        <v>14.122448979591836</v>
      </c>
      <c r="P13" s="4">
        <v>12</v>
      </c>
      <c r="Q13" s="4">
        <f t="shared" si="0"/>
        <v>56.88</v>
      </c>
      <c r="R13" s="4">
        <f t="shared" si="1"/>
        <v>50.400000000000006</v>
      </c>
      <c r="S13" s="4"/>
      <c r="T13" s="3" t="s">
        <v>94</v>
      </c>
      <c r="U13" s="3" t="s">
        <v>95</v>
      </c>
      <c r="V13" s="3" t="s">
        <v>96</v>
      </c>
      <c r="W13" s="3" t="s">
        <v>104</v>
      </c>
    </row>
    <row r="14" spans="1:23">
      <c r="A14" s="3" t="s">
        <v>13</v>
      </c>
      <c r="B14" s="6">
        <f>Table1[[#This Row],[2 - Fígado A]]/Table1[[#This Row],[Rescale A_2]]</f>
        <v>13.138443935926773</v>
      </c>
      <c r="C14" s="6">
        <f>Table1[[#This Row],[10 - Fígado A]]/Table1[[#This Row],[Rescale A_10]]</f>
        <v>60.157142857142851</v>
      </c>
      <c r="D14" s="6">
        <f>Table1[[#This Row],[2 - Fígado B]]/Table1[[#This Row],[Rescale A_2]]</f>
        <v>12.518306636155605</v>
      </c>
      <c r="E14" s="6">
        <f>Table1[[#This Row],[10 - Fígado B]]/Table1[[#This Row],[Rescale A_10]]</f>
        <v>58.604761904761901</v>
      </c>
      <c r="F14" s="6">
        <f>Table1[[#This Row],[2 - Fígado C]]/Table1[[#This Row],[Rescale A_2]]</f>
        <v>12.289473684210526</v>
      </c>
      <c r="G14" s="6">
        <f>Table1[[#This Row],[10 - Fígado C]]/Table1[[#This Row],[Rescale A_10]]</f>
        <v>64.409523809523805</v>
      </c>
      <c r="H14" s="6">
        <f>Table1[[#This Row],[2 - Rim ]]/Table1[[#This Row],[Rescale A_2]]</f>
        <v>15.684210526315791</v>
      </c>
      <c r="I14" s="6">
        <f>Table1[[#This Row],[10 - Rim]]/Table1[[#This Row],[Rescale A_10]]</f>
        <v>48.069047619047616</v>
      </c>
      <c r="J14" s="6">
        <f>Table1[[#This Row],[2 - Gordura A]]/Table1[[#This Row],[Rescale A_2]]</f>
        <v>2.6784897025171626</v>
      </c>
      <c r="K14" s="6">
        <f>Table1[[#This Row],[10 - Gordura A]]/Table1[[#This Row],[Rescale A_10]]</f>
        <v>12.254761904761905</v>
      </c>
      <c r="L14" s="6">
        <f>Table1[[#This Row],[2 - Gordura B]]/Table1[[#This Row],[Rescale A_2]]</f>
        <v>2.9908466819221968</v>
      </c>
      <c r="M14" s="6">
        <f>Table1[[#This Row],[10 - Gordura B]]/Table1[[#This Row],[Rescale A_10]]</f>
        <v>13.238095238095237</v>
      </c>
      <c r="P14" s="4">
        <v>14</v>
      </c>
      <c r="Q14" s="4">
        <f t="shared" si="0"/>
        <v>66.36</v>
      </c>
      <c r="R14" s="4">
        <f t="shared" si="1"/>
        <v>58.800000000000004</v>
      </c>
      <c r="S14" s="4"/>
      <c r="T14" s="3">
        <v>2</v>
      </c>
      <c r="U14" s="3">
        <f>SIN(T14*PI()/180)</f>
        <v>3.4899496702500969E-2</v>
      </c>
      <c r="V14" s="3">
        <f>COS(T14*PI()/180)</f>
        <v>0.99939082701909576</v>
      </c>
      <c r="W14" s="3">
        <f>TAN(T14*PI()/180)/2</f>
        <v>1.7460384745873865E-2</v>
      </c>
    </row>
    <row r="15" spans="1:23">
      <c r="A15" s="3" t="s">
        <v>14</v>
      </c>
      <c r="B15" s="6">
        <f>Table1[[#This Row],[2 - Fígado A]]/Table1[[#This Row],[Rescale A_2]]</f>
        <v>12.319514661274013</v>
      </c>
      <c r="C15" s="6">
        <f>Table1[[#This Row],[10 - Fígado A]]/Table1[[#This Row],[Rescale A_10]]</f>
        <v>55.175097276264601</v>
      </c>
      <c r="D15" s="6">
        <f>Table1[[#This Row],[2 - Fígado B]]/Table1[[#This Row],[Rescale A_2]]</f>
        <v>10.735085945399392</v>
      </c>
      <c r="E15" s="6">
        <f>Table1[[#This Row],[10 - Fígado B]]/Table1[[#This Row],[Rescale A_10]]</f>
        <v>53.237354085603116</v>
      </c>
      <c r="F15" s="6">
        <f>Table1[[#This Row],[2 - Fígado C]]/Table1[[#This Row],[Rescale A_2]]</f>
        <v>10.535894843276036</v>
      </c>
      <c r="G15" s="6">
        <f>Table1[[#This Row],[10 - Fígado C]]/Table1[[#This Row],[Rescale A_10]]</f>
        <v>51.278210116731522</v>
      </c>
      <c r="H15" s="6">
        <f>Table1[[#This Row],[2 - Rim ]]/Table1[[#This Row],[Rescale A_2]]</f>
        <v>13.761375126390291</v>
      </c>
      <c r="I15" s="6">
        <f>Table1[[#This Row],[10 - Rim]]/Table1[[#This Row],[Rescale A_10]]</f>
        <v>37.815175097276267</v>
      </c>
      <c r="J15" s="6">
        <f>Table1[[#This Row],[2 - Gordura A]]/Table1[[#This Row],[Rescale A_2]]</f>
        <v>2.5025278058645095</v>
      </c>
      <c r="K15" s="6">
        <f>Table1[[#This Row],[10 - Gordura A]]/Table1[[#This Row],[Rescale A_10]]</f>
        <v>11.437743190661479</v>
      </c>
      <c r="L15" s="6">
        <f>Table1[[#This Row],[2 - Gordura B]]/Table1[[#This Row],[Rescale A_2]]</f>
        <v>2.3043478260869561</v>
      </c>
      <c r="M15" s="6">
        <f>Table1[[#This Row],[10 - Gordura B]]/Table1[[#This Row],[Rescale A_10]]</f>
        <v>13.249027237354085</v>
      </c>
      <c r="P15" s="4">
        <v>15</v>
      </c>
      <c r="Q15" s="4">
        <f t="shared" si="0"/>
        <v>71.100000000000009</v>
      </c>
      <c r="R15" s="4">
        <f t="shared" si="1"/>
        <v>63</v>
      </c>
      <c r="S15" s="4"/>
      <c r="T15" s="3">
        <v>10</v>
      </c>
      <c r="U15" s="3">
        <f>SIN(T15*PI()/180)</f>
        <v>0.17364817766693033</v>
      </c>
      <c r="V15" s="3">
        <f>COS(T15*PI()/180)</f>
        <v>0.98480775301220802</v>
      </c>
      <c r="W15" s="3">
        <f>TAN(T15*PI()/180)/2</f>
        <v>8.8163490354232488E-2</v>
      </c>
    </row>
    <row r="16" spans="1:23">
      <c r="A16" s="3" t="s">
        <v>15</v>
      </c>
      <c r="B16" s="6">
        <f>Table1[[#This Row],[2 - Fígado A]]/Table1[[#This Row],[Rescale A_2]]</f>
        <v>7.9821092278719403</v>
      </c>
      <c r="C16" s="6">
        <f>Table1[[#This Row],[10 - Fígado A]]/Table1[[#This Row],[Rescale A_10]]</f>
        <v>31.387478849407781</v>
      </c>
      <c r="D16" s="6">
        <f>Table1[[#This Row],[2 - Fígado B]]/Table1[[#This Row],[Rescale A_2]]</f>
        <v>6.4246704331450104</v>
      </c>
      <c r="E16" s="6">
        <f>Table1[[#This Row],[10 - Fígado B]]/Table1[[#This Row],[Rescale A_10]]</f>
        <v>26.287648054145517</v>
      </c>
      <c r="F16" s="6">
        <f>Table1[[#This Row],[2 - Fígado C]]/Table1[[#This Row],[Rescale A_2]]</f>
        <v>6.9661016949152552</v>
      </c>
      <c r="G16" s="6">
        <f>Table1[[#This Row],[10 - Fígado C]]/Table1[[#This Row],[Rescale A_10]]</f>
        <v>26.402707275803721</v>
      </c>
      <c r="H16" s="6">
        <f>Table1[[#This Row],[2 - Rim ]]/Table1[[#This Row],[Rescale A_2]]</f>
        <v>11.335216572504709</v>
      </c>
      <c r="I16" s="6">
        <f>Table1[[#This Row],[10 - Rim]]/Table1[[#This Row],[Rescale A_10]]</f>
        <v>38.749576988155667</v>
      </c>
      <c r="J16" s="6">
        <f>Table1[[#This Row],[2 - Gordura A]]/Table1[[#This Row],[Rescale A_2]]</f>
        <v>2.8578154425612055</v>
      </c>
      <c r="K16" s="6">
        <f>Table1[[#This Row],[10 - Gordura A]]/Table1[[#This Row],[Rescale A_10]]</f>
        <v>10.448392554991539</v>
      </c>
      <c r="L16" s="6">
        <f>Table1[[#This Row],[2 - Gordura B]]/Table1[[#This Row],[Rescale A_2]]</f>
        <v>2.2551789077212807</v>
      </c>
      <c r="M16" s="6">
        <f>Table1[[#This Row],[10 - Gordura B]]/Table1[[#This Row],[Rescale A_10]]</f>
        <v>11.575296108291031</v>
      </c>
      <c r="P16" s="4">
        <v>16</v>
      </c>
      <c r="Q16" s="4">
        <f t="shared" si="0"/>
        <v>75.84</v>
      </c>
      <c r="R16" s="4">
        <f t="shared" si="1"/>
        <v>67.2</v>
      </c>
      <c r="S16" s="4"/>
    </row>
    <row r="17" spans="1:25">
      <c r="A17" s="3" t="s">
        <v>16</v>
      </c>
      <c r="B17" s="6">
        <f>Table1[[#This Row],[2 - Fígado A]]/Table1[[#This Row],[Rescale A_2]]</f>
        <v>8.6000000000000014</v>
      </c>
      <c r="C17" s="6">
        <f>Table1[[#This Row],[10 - Fígado A]]/Table1[[#This Row],[Rescale A_10]]</f>
        <v>32.173174872665534</v>
      </c>
      <c r="D17" s="6">
        <f>Table1[[#This Row],[2 - Fígado B]]/Table1[[#This Row],[Rescale A_2]]</f>
        <v>8.5593750000000011</v>
      </c>
      <c r="E17" s="6">
        <f>Table1[[#This Row],[10 - Fígado B]]/Table1[[#This Row],[Rescale A_10]]</f>
        <v>30.44142614601019</v>
      </c>
      <c r="F17" s="6">
        <f>Table1[[#This Row],[2 - Fígado C]]/Table1[[#This Row],[Rescale A_2]]</f>
        <v>9.595833333333335</v>
      </c>
      <c r="G17" s="6">
        <f>Table1[[#This Row],[10 - Fígado C]]/Table1[[#This Row],[Rescale A_10]]</f>
        <v>29.553480475382003</v>
      </c>
      <c r="H17" s="6">
        <f>Table1[[#This Row],[2 - Rim ]]/Table1[[#This Row],[Rescale A_2]]</f>
        <v>14.771875000000001</v>
      </c>
      <c r="I17" s="6">
        <f>Table1[[#This Row],[10 - Rim]]/Table1[[#This Row],[Rescale A_10]]</f>
        <v>33.422750424448225</v>
      </c>
      <c r="J17" s="6">
        <f>Table1[[#This Row],[2 - Gordura A]]/Table1[[#This Row],[Rescale A_2]]</f>
        <v>2.276041666666667</v>
      </c>
      <c r="K17" s="6">
        <f>Table1[[#This Row],[10 - Gordura A]]/Table1[[#This Row],[Rescale A_10]]</f>
        <v>9.8743633276740237</v>
      </c>
      <c r="L17" s="6">
        <f>Table1[[#This Row],[2 - Gordura B]]/Table1[[#This Row],[Rescale A_2]]</f>
        <v>2.4500000000000002</v>
      </c>
      <c r="M17" s="6">
        <f>Table1[[#This Row],[10 - Gordura B]]/Table1[[#This Row],[Rescale A_10]]</f>
        <v>9.633276740237692</v>
      </c>
      <c r="P17" s="4">
        <v>17</v>
      </c>
      <c r="Q17" s="4">
        <f t="shared" si="0"/>
        <v>80.58</v>
      </c>
      <c r="R17" s="4">
        <f t="shared" si="1"/>
        <v>71.400000000000006</v>
      </c>
      <c r="S17" s="4"/>
      <c r="T17" s="3" t="s">
        <v>71</v>
      </c>
      <c r="U17" s="3">
        <v>0.16200000000000001</v>
      </c>
    </row>
    <row r="18" spans="1:25">
      <c r="A18" s="3" t="s">
        <v>17</v>
      </c>
      <c r="B18" s="6">
        <f>Table1[[#This Row],[2 - Fígado A]]/Table1[[#This Row],[Rescale A_2]]</f>
        <v>6.0271828665568368</v>
      </c>
      <c r="C18" s="6">
        <f>Table1[[#This Row],[10 - Fígado A]]/Table1[[#This Row],[Rescale A_10]]</f>
        <v>21.189115646258507</v>
      </c>
      <c r="D18" s="6">
        <f>Table1[[#This Row],[2 - Fígado B]]/Table1[[#This Row],[Rescale A_2]]</f>
        <v>6.2240527182866554</v>
      </c>
      <c r="E18" s="6">
        <f>Table1[[#This Row],[10 - Fígado B]]/Table1[[#This Row],[Rescale A_10]]</f>
        <v>20.344217687074831</v>
      </c>
      <c r="F18" s="6">
        <f>Table1[[#This Row],[2 - Fígado C]]/Table1[[#This Row],[Rescale A_2]]</f>
        <v>7.005766062602965</v>
      </c>
      <c r="G18" s="6">
        <f>Table1[[#This Row],[10 - Fígado C]]/Table1[[#This Row],[Rescale A_10]]</f>
        <v>19.357823129251702</v>
      </c>
      <c r="H18" s="6">
        <f>Table1[[#This Row],[2 - Rim ]]/Table1[[#This Row],[Rescale A_2]]</f>
        <v>9.025535420098846</v>
      </c>
      <c r="I18" s="6">
        <f>Table1[[#This Row],[10 - Rim]]/Table1[[#This Row],[Rescale A_10]]</f>
        <v>20.474829931972792</v>
      </c>
      <c r="J18" s="6">
        <f>Table1[[#This Row],[2 - Gordura A]]/Table1[[#This Row],[Rescale A_2]]</f>
        <v>1.4093904448105437</v>
      </c>
      <c r="K18" s="6">
        <f>Table1[[#This Row],[10 - Gordura A]]/Table1[[#This Row],[Rescale A_10]]</f>
        <v>6.94421768707483</v>
      </c>
      <c r="L18" s="6">
        <f>Table1[[#This Row],[2 - Gordura B]]/Table1[[#This Row],[Rescale A_2]]</f>
        <v>1.7372322899505765</v>
      </c>
      <c r="M18" s="6">
        <f>Table1[[#This Row],[10 - Gordura B]]/Table1[[#This Row],[Rescale A_10]]</f>
        <v>6.7156462585034014</v>
      </c>
      <c r="P18" s="4">
        <v>18</v>
      </c>
      <c r="Q18" s="4">
        <f t="shared" si="0"/>
        <v>85.320000000000007</v>
      </c>
      <c r="R18" s="4">
        <f t="shared" si="1"/>
        <v>75.600000000000009</v>
      </c>
      <c r="S18" s="4"/>
    </row>
    <row r="19" spans="1:25">
      <c r="A19" s="3" t="s">
        <v>18</v>
      </c>
      <c r="B19" s="6">
        <f>Table1[[#This Row],[2 - Fígado A]]/Table1[[#This Row],[Rescale A_2]]</f>
        <v>21.2</v>
      </c>
      <c r="C19" s="6">
        <f>Table1[[#This Row],[10 - Fígado A]]/Table1[[#This Row],[Rescale A_10]]</f>
        <v>254.6010101010101</v>
      </c>
      <c r="D19" s="6">
        <f>Table1[[#This Row],[2 - Fígado B]]/Table1[[#This Row],[Rescale A_2]]</f>
        <v>21.274820143884895</v>
      </c>
      <c r="E19" s="6">
        <f>Table1[[#This Row],[10 - Fígado B]]/Table1[[#This Row],[Rescale A_10]]</f>
        <v>262.11111111111114</v>
      </c>
      <c r="F19" s="6">
        <f>Table1[[#This Row],[2 - Fígado C]]/Table1[[#This Row],[Rescale A_2]]</f>
        <v>22.788489208633091</v>
      </c>
      <c r="G19" s="6">
        <f>Table1[[#This Row],[10 - Fígado C]]/Table1[[#This Row],[Rescale A_10]]</f>
        <v>278.16161616161617</v>
      </c>
      <c r="H19" s="6">
        <f>Table1[[#This Row],[2 - Rim ]]/Table1[[#This Row],[Rescale A_2]]</f>
        <v>30.392805755395681</v>
      </c>
      <c r="I19" s="6">
        <f>Table1[[#This Row],[10 - Rim]]/Table1[[#This Row],[Rescale A_10]]</f>
        <v>326.29292929292927</v>
      </c>
      <c r="J19" s="6">
        <f>Table1[[#This Row],[2 - Gordura A]]/Table1[[#This Row],[Rescale A_2]]</f>
        <v>3.9841726618705038</v>
      </c>
      <c r="K19" s="6">
        <f>Table1[[#This Row],[10 - Gordura A]]/Table1[[#This Row],[Rescale A_10]]</f>
        <v>34.909090909090914</v>
      </c>
      <c r="L19" s="6">
        <f>Table1[[#This Row],[2 - Gordura B]]/Table1[[#This Row],[Rescale A_2]]</f>
        <v>3.8618705035971224</v>
      </c>
      <c r="M19" s="6">
        <f>Table1[[#This Row],[10 - Gordura B]]/Table1[[#This Row],[Rescale A_10]]</f>
        <v>34.429292929292927</v>
      </c>
      <c r="P19" s="4">
        <v>19</v>
      </c>
      <c r="Q19" s="4">
        <f t="shared" si="0"/>
        <v>90.06</v>
      </c>
      <c r="R19" s="4">
        <f t="shared" si="1"/>
        <v>79.8</v>
      </c>
      <c r="S19" s="4"/>
    </row>
    <row r="20" spans="1:25">
      <c r="A20" s="3" t="s">
        <v>19</v>
      </c>
      <c r="B20" s="6">
        <f>Table1[[#This Row],[2 - Fígado A]]/Table1[[#This Row],[Rescale A_2]]</f>
        <v>16.101376720901126</v>
      </c>
      <c r="C20" s="6">
        <f>Table1[[#This Row],[10 - Fígado A]]/Table1[[#This Row],[Rescale A_10]]</f>
        <v>51.16115702479339</v>
      </c>
      <c r="D20" s="6">
        <f>Table1[[#This Row],[2 - Fígado B]]/Table1[[#This Row],[Rescale A_2]]</f>
        <v>14.708385481852314</v>
      </c>
      <c r="E20" s="6">
        <f>Table1[[#This Row],[10 - Fígado B]]/Table1[[#This Row],[Rescale A_10]]</f>
        <v>54.495867768595041</v>
      </c>
      <c r="F20" s="6">
        <f>Table1[[#This Row],[2 - Fígado C]]/Table1[[#This Row],[Rescale A_2]]</f>
        <v>15.803504380475594</v>
      </c>
      <c r="G20" s="6">
        <f>Table1[[#This Row],[10 - Fígado C]]/Table1[[#This Row],[Rescale A_10]]</f>
        <v>63.902892561983478</v>
      </c>
      <c r="H20" s="6">
        <f>Table1[[#This Row],[2 - Rim ]]/Table1[[#This Row],[Rescale A_2]]</f>
        <v>21.126408010012515</v>
      </c>
      <c r="I20" s="6">
        <f>Table1[[#This Row],[10 - Rim]]/Table1[[#This Row],[Rescale A_10]]</f>
        <v>50.956611570247937</v>
      </c>
      <c r="J20" s="6">
        <f>Table1[[#This Row],[2 - Gordura A]]/Table1[[#This Row],[Rescale A_2]]</f>
        <v>3.2352941176470589</v>
      </c>
      <c r="K20" s="6">
        <f>Table1[[#This Row],[10 - Gordura A]]/Table1[[#This Row],[Rescale A_10]]</f>
        <v>15.65909090909091</v>
      </c>
      <c r="L20" s="6">
        <f>Table1[[#This Row],[2 - Gordura B]]/Table1[[#This Row],[Rescale A_2]]</f>
        <v>3.4555694618272841</v>
      </c>
      <c r="M20" s="6">
        <f>Table1[[#This Row],[10 - Gordura B]]/Table1[[#This Row],[Rescale A_10]]</f>
        <v>15.754132231404959</v>
      </c>
      <c r="P20" s="4">
        <v>20</v>
      </c>
      <c r="Q20" s="4">
        <f t="shared" si="0"/>
        <v>94.800000000000011</v>
      </c>
      <c r="R20" s="4">
        <f t="shared" si="1"/>
        <v>84</v>
      </c>
      <c r="S20" s="4"/>
    </row>
    <row r="21" spans="1:25">
      <c r="A21" s="3" t="s">
        <v>20</v>
      </c>
      <c r="B21" s="6">
        <f>Table1[[#This Row],[2 - Fígado A]]/Table1[[#This Row],[Rescale A_2]]</f>
        <v>6.7399650959860375</v>
      </c>
      <c r="C21" s="6">
        <f>Table1[[#This Row],[10 - Fígado A]]/Table1[[#This Row],[Rescale A_10]]</f>
        <v>27.604724409448821</v>
      </c>
      <c r="D21" s="6">
        <f>Table1[[#This Row],[2 - Fígado B]]/Table1[[#This Row],[Rescale A_2]]</f>
        <v>6.1902268760907502</v>
      </c>
      <c r="E21" s="6">
        <f>Table1[[#This Row],[10 - Fígado B]]/Table1[[#This Row],[Rescale A_10]]</f>
        <v>30.729133858267719</v>
      </c>
      <c r="F21" s="6">
        <f>Table1[[#This Row],[2 - Fígado C]]/Table1[[#This Row],[Rescale A_2]]</f>
        <v>7.2574171029668406</v>
      </c>
      <c r="G21" s="6">
        <f>Table1[[#This Row],[10 - Fígado C]]/Table1[[#This Row],[Rescale A_10]]</f>
        <v>30.009448818897638</v>
      </c>
      <c r="H21" s="6">
        <f>Table1[[#This Row],[2 - Rim ]]/Table1[[#This Row],[Rescale A_2]]</f>
        <v>9.8106457242582898</v>
      </c>
      <c r="I21" s="6">
        <f>Table1[[#This Row],[10 - Rim]]/Table1[[#This Row],[Rescale A_10]]</f>
        <v>24.92283464566929</v>
      </c>
      <c r="J21" s="6">
        <f>Table1[[#This Row],[2 - Gordura A]]/Table1[[#This Row],[Rescale A_2]]</f>
        <v>1.7478184991273997</v>
      </c>
      <c r="K21" s="6">
        <f>Table1[[#This Row],[10 - Gordura A]]/Table1[[#This Row],[Rescale A_10]]</f>
        <v>8.4897637795275589</v>
      </c>
      <c r="L21" s="6">
        <f>Table1[[#This Row],[2 - Gordura B]]/Table1[[#This Row],[Rescale A_2]]</f>
        <v>1.6326352530541011</v>
      </c>
      <c r="M21" s="6">
        <f>Table1[[#This Row],[10 - Gordura B]]/Table1[[#This Row],[Rescale A_10]]</f>
        <v>8.2503937007874022</v>
      </c>
      <c r="P21" s="4"/>
      <c r="Q21" s="4"/>
      <c r="R21" s="4"/>
      <c r="S21" s="4"/>
    </row>
    <row r="22" spans="1:25">
      <c r="A22" s="3" t="s">
        <v>21</v>
      </c>
      <c r="B22" s="6">
        <f>Table1[[#This Row],[2 - Fígado A]]/Table1[[#This Row],[Rescale A_2]]</f>
        <v>14.703611457036114</v>
      </c>
      <c r="C22" s="6">
        <f>Table1[[#This Row],[10 - Fígado A]]/Table1[[#This Row],[Rescale A_10]]</f>
        <v>73.597667638483955</v>
      </c>
      <c r="D22" s="6">
        <f>Table1[[#This Row],[2 - Fígado B]]/Table1[[#This Row],[Rescale A_2]]</f>
        <v>13.434620174346202</v>
      </c>
      <c r="E22" s="6">
        <f>Table1[[#This Row],[10 - Fígado B]]/Table1[[#This Row],[Rescale A_10]]</f>
        <v>82.466472303206999</v>
      </c>
      <c r="F22" s="6">
        <f>Table1[[#This Row],[2 - Fígado C]]/Table1[[#This Row],[Rescale A_2]]</f>
        <v>15.02615193026152</v>
      </c>
      <c r="G22" s="6">
        <f>Table1[[#This Row],[10 - Fígado C]]/Table1[[#This Row],[Rescale A_10]]</f>
        <v>91.189504373177826</v>
      </c>
      <c r="H22" s="6">
        <f>Table1[[#This Row],[2 - Rim ]]/Table1[[#This Row],[Rescale A_2]]</f>
        <v>20.840597758405977</v>
      </c>
      <c r="I22" s="6">
        <f>Table1[[#This Row],[10 - Rim]]/Table1[[#This Row],[Rescale A_10]]</f>
        <v>61.749271137026241</v>
      </c>
      <c r="J22" s="6">
        <f>Table1[[#This Row],[2 - Gordura A]]/Table1[[#This Row],[Rescale A_2]]</f>
        <v>3.1058530510585309</v>
      </c>
      <c r="K22" s="6">
        <f>Table1[[#This Row],[10 - Gordura A]]/Table1[[#This Row],[Rescale A_10]]</f>
        <v>33.658892128279881</v>
      </c>
      <c r="L22" s="6">
        <f>Table1[[#This Row],[2 - Gordura B]]/Table1[[#This Row],[Rescale A_2]]</f>
        <v>3.3312577833125783</v>
      </c>
      <c r="M22" s="6">
        <f>Table1[[#This Row],[10 - Gordura B]]/Table1[[#This Row],[Rescale A_10]]</f>
        <v>29.110787172011658</v>
      </c>
      <c r="P22" s="4"/>
      <c r="Q22" s="4"/>
      <c r="R22" s="4"/>
      <c r="S22" s="4"/>
      <c r="T22" s="3">
        <f>U15/U14</f>
        <v>4.9756642380027891</v>
      </c>
      <c r="U22" s="3">
        <f>T22/T2</f>
        <v>1.0497181936714743</v>
      </c>
    </row>
    <row r="23" spans="1:25">
      <c r="A23" s="3" t="s">
        <v>22</v>
      </c>
      <c r="B23" s="6">
        <f>Table1[[#This Row],[2 - Fígado A]]/Table1[[#This Row],[Rescale A_2]]</f>
        <v>7.996124031007751</v>
      </c>
      <c r="C23" s="6">
        <f>Table1[[#This Row],[10 - Fígado A]]/Table1[[#This Row],[Rescale A_10]]</f>
        <v>30.030456852791875</v>
      </c>
      <c r="D23" s="6">
        <f>Table1[[#This Row],[2 - Fígado B]]/Table1[[#This Row],[Rescale A_2]]</f>
        <v>8.4699612403100772</v>
      </c>
      <c r="E23" s="6">
        <f>Table1[[#This Row],[10 - Fígado B]]/Table1[[#This Row],[Rescale A_10]]</f>
        <v>29.536379018612521</v>
      </c>
      <c r="F23" s="6">
        <f>Table1[[#This Row],[2 - Fígado C]]/Table1[[#This Row],[Rescale A_2]]</f>
        <v>8.8934108527131777</v>
      </c>
      <c r="G23" s="6">
        <f>Table1[[#This Row],[10 - Fígado C]]/Table1[[#This Row],[Rescale A_10]]</f>
        <v>32.646362098138745</v>
      </c>
      <c r="H23" s="6">
        <f>Table1[[#This Row],[2 - Rim ]]/Table1[[#This Row],[Rescale A_2]]</f>
        <v>12.654069767441861</v>
      </c>
      <c r="I23" s="6">
        <f>Table1[[#This Row],[10 - Rim]]/Table1[[#This Row],[Rescale A_10]]</f>
        <v>31.651438240270728</v>
      </c>
      <c r="J23" s="6">
        <f>Table1[[#This Row],[2 - Gordura A]]/Table1[[#This Row],[Rescale A_2]]</f>
        <v>2.4709302325581395</v>
      </c>
      <c r="K23" s="6">
        <f>Table1[[#This Row],[10 - Gordura A]]/Table1[[#This Row],[Rescale A_10]]</f>
        <v>11.937394247038917</v>
      </c>
      <c r="L23" s="6">
        <f>Table1[[#This Row],[2 - Gordura B]]/Table1[[#This Row],[Rescale A_2]]</f>
        <v>2.4389534883720931</v>
      </c>
      <c r="M23" s="6">
        <f>Table1[[#This Row],[10 - Gordura B]]/Table1[[#This Row],[Rescale A_10]]</f>
        <v>10.40439932318105</v>
      </c>
      <c r="P23" s="4"/>
      <c r="Q23" s="4"/>
      <c r="R23" s="4"/>
      <c r="S23" s="4"/>
    </row>
    <row r="25" spans="1:25">
      <c r="Y25" s="3" t="s">
        <v>105</v>
      </c>
    </row>
    <row r="26" spans="1:25">
      <c r="K26" s="3">
        <v>2</v>
      </c>
      <c r="L26" s="3">
        <v>10</v>
      </c>
      <c r="M26" s="3" t="s">
        <v>92</v>
      </c>
      <c r="N26" s="3" t="s">
        <v>93</v>
      </c>
      <c r="P26" s="3" t="s">
        <v>98</v>
      </c>
      <c r="Q26" s="3" t="s">
        <v>97</v>
      </c>
      <c r="R26" s="3" t="s">
        <v>100</v>
      </c>
      <c r="S26" s="3" t="s">
        <v>99</v>
      </c>
    </row>
    <row r="27" spans="1:25">
      <c r="K27" s="6">
        <v>3.275167785234899</v>
      </c>
      <c r="L27" s="6">
        <v>37.717647058823538</v>
      </c>
    </row>
    <row r="28" spans="1:25">
      <c r="K28" s="6">
        <v>11.490523968784837</v>
      </c>
      <c r="L28" s="6">
        <v>49.698113207547166</v>
      </c>
      <c r="M28" s="3">
        <f t="shared" ref="M28:M47" si="2">K28/K28</f>
        <v>1</v>
      </c>
      <c r="N28" s="3">
        <f t="shared" ref="N28:N47" si="3">L28/K28</f>
        <v>4.3251389877917736</v>
      </c>
      <c r="P28" s="16">
        <f>K28*$U$15/(L28*$U$14)</f>
        <v>1.1504056290554365</v>
      </c>
      <c r="Q28" s="16">
        <f>-$U$17/LN((P28-1)/(P28*$V$14-$V$15))</f>
        <v>1.7611436189939376</v>
      </c>
      <c r="R28" s="16">
        <f>M28*$U$15/(N28*$U$14)</f>
        <v>1.1504056290554363</v>
      </c>
      <c r="S28" s="16">
        <f>-$U$17/LN((R28-1)/(R28*$V$14-$V$15))</f>
        <v>1.7611436189939353</v>
      </c>
      <c r="U28" s="16">
        <v>1.7611436189939329</v>
      </c>
      <c r="W28" s="3">
        <f t="shared" ref="W28:X36" si="4">M28-0.2</f>
        <v>0.8</v>
      </c>
      <c r="X28" s="3">
        <f>W28-0.3</f>
        <v>0.5</v>
      </c>
      <c r="Y28" s="3">
        <f>$U$17*(((M28/$W$14-N28/$W$15)+(N28*$W$15-M28*$W$14))/(2*(N28*$W$15-M28*$W$14)))</f>
        <v>1.9096253597885742</v>
      </c>
    </row>
    <row r="29" spans="1:25">
      <c r="K29" s="6">
        <v>8.8557347670250888</v>
      </c>
      <c r="L29" s="6">
        <v>41.8125</v>
      </c>
      <c r="M29" s="3">
        <f t="shared" si="2"/>
        <v>1</v>
      </c>
      <c r="N29" s="3">
        <f t="shared" si="3"/>
        <v>4.7215167459273504</v>
      </c>
      <c r="P29" s="16">
        <f>K29*$U$15/(L29*$U$14)</f>
        <v>1.0538275104699477</v>
      </c>
      <c r="Q29" s="16">
        <f>-$U$17/LN((P29-1)/(P29*$V$14-$V$15))</f>
        <v>0.67707794546015254</v>
      </c>
      <c r="R29" s="16">
        <f>M29*$U$15/(N29*$U$14)</f>
        <v>1.0538275104699477</v>
      </c>
      <c r="S29" s="16">
        <f>-$U$17/LN((R29-1)/(R29*$V$14-$V$15))</f>
        <v>0.67707794546015254</v>
      </c>
      <c r="U29" s="16">
        <v>0.67707794546015576</v>
      </c>
      <c r="W29" s="3">
        <f t="shared" si="4"/>
        <v>0.8</v>
      </c>
      <c r="X29" s="3">
        <f t="shared" ref="X29:X47" si="5">W29-0.3</f>
        <v>0.5</v>
      </c>
      <c r="Y29" s="3">
        <f t="shared" ref="Y29:Y47" si="6">$U$17*(((M29/$W$14-N29/$W$15)+(N29*$W$15-M29*$W$14))/(2*(N29*$W$15-M29*$W$14)))</f>
        <v>0.83623272263655513</v>
      </c>
    </row>
    <row r="30" spans="1:25">
      <c r="K30" s="6">
        <v>9.6373626373626369</v>
      </c>
      <c r="L30" s="6">
        <v>42.510067114093964</v>
      </c>
      <c r="M30" s="3">
        <f t="shared" si="2"/>
        <v>1</v>
      </c>
      <c r="N30" s="3">
        <f t="shared" si="3"/>
        <v>4.4109647746665344</v>
      </c>
      <c r="P30" s="16">
        <f>K30*$U$15/(L30*$U$14)</f>
        <v>1.1280217576389384</v>
      </c>
      <c r="Q30" s="16">
        <f>-$U$17/LN((P30-1)/(P30*$V$14-$V$15))</f>
        <v>1.5093617935882717</v>
      </c>
      <c r="R30" s="16">
        <f>M30*$U$15/(N30*$U$14)</f>
        <v>1.1280217576389386</v>
      </c>
      <c r="S30" s="16">
        <f>-$U$17/LN((R30-1)/(R30*$V$14-$V$15))</f>
        <v>1.5093617935882735</v>
      </c>
      <c r="U30" s="16">
        <v>1.5093617935882702</v>
      </c>
      <c r="W30" s="3">
        <f t="shared" si="4"/>
        <v>0.8</v>
      </c>
      <c r="X30" s="3">
        <f t="shared" si="5"/>
        <v>0.5</v>
      </c>
      <c r="Y30" s="3">
        <f t="shared" si="6"/>
        <v>1.6600763646406491</v>
      </c>
    </row>
    <row r="31" spans="1:25">
      <c r="K31" s="6">
        <v>7.3270440251572317</v>
      </c>
      <c r="L31" s="6">
        <v>35.338235294117652</v>
      </c>
      <c r="M31" s="3">
        <f t="shared" si="2"/>
        <v>1</v>
      </c>
      <c r="N31" s="3">
        <f t="shared" si="3"/>
        <v>4.8229866195405213</v>
      </c>
      <c r="P31" s="16">
        <f>K31*$U$15/(L31*$U$14)</f>
        <v>1.0316562392778965</v>
      </c>
      <c r="Q31" s="16">
        <f>-$U$17/LN((P31-1)/(P31*$V$14-$V$15))</f>
        <v>0.4280301934750958</v>
      </c>
      <c r="R31" s="16">
        <f>M31*$U$15/(N31*$U$14)</f>
        <v>1.0316562392778965</v>
      </c>
      <c r="S31" s="16">
        <f>-$U$17/LN((R31-1)/(R31*$V$14-$V$15))</f>
        <v>0.4280301934750958</v>
      </c>
      <c r="U31" s="16">
        <v>0.42803019347509341</v>
      </c>
      <c r="W31" s="3">
        <f t="shared" si="4"/>
        <v>0.8</v>
      </c>
      <c r="X31" s="3">
        <f t="shared" si="5"/>
        <v>0.5</v>
      </c>
      <c r="Y31" s="3">
        <f t="shared" si="6"/>
        <v>0.59103041519718136</v>
      </c>
    </row>
    <row r="32" spans="1:25">
      <c r="K32" s="6">
        <v>20.40360610263523</v>
      </c>
      <c r="L32" s="6">
        <v>67.559907834101381</v>
      </c>
      <c r="M32" s="3">
        <f t="shared" si="2"/>
        <v>1</v>
      </c>
      <c r="N32" s="3">
        <f t="shared" si="3"/>
        <v>3.311174872434715</v>
      </c>
      <c r="P32" s="16">
        <f>K32*$U$15/(L32*$U$14)</f>
        <v>1.5026884503820153</v>
      </c>
      <c r="Q32" s="16">
        <f>-$U$17/LN((P32-1)/(P32*$V$14-$V$15))</f>
        <v>5.7846483968471025</v>
      </c>
      <c r="R32" s="16">
        <f>M32*$U$15/(N32*$U$14)</f>
        <v>1.5026884503820153</v>
      </c>
      <c r="S32" s="16">
        <f>-$U$17/LN((R32-1)/(R32*$V$14-$V$15))</f>
        <v>5.7846483968471025</v>
      </c>
      <c r="U32" s="16">
        <v>5.7846483968471736</v>
      </c>
      <c r="W32" s="3">
        <f t="shared" si="4"/>
        <v>0.8</v>
      </c>
      <c r="X32" s="3">
        <f t="shared" si="5"/>
        <v>0.5</v>
      </c>
      <c r="Y32" s="3">
        <f t="shared" si="6"/>
        <v>5.8993836552431977</v>
      </c>
    </row>
    <row r="33" spans="11:25">
      <c r="K33" s="6">
        <v>12.710858585858587</v>
      </c>
      <c r="L33" s="6">
        <v>34.845217391304352</v>
      </c>
      <c r="M33" s="3">
        <f t="shared" si="2"/>
        <v>1</v>
      </c>
      <c r="N33" s="3">
        <f t="shared" si="3"/>
        <v>2.7413740115141598</v>
      </c>
      <c r="P33" s="16">
        <f>K33*$U$15/(L33*$U$14)</f>
        <v>1.8150256831443989</v>
      </c>
      <c r="Q33" s="16">
        <f>-$U$17/LN((P33-1)/(P33*$V$14-$V$15))</f>
        <v>9.4538129635987005</v>
      </c>
      <c r="R33" s="16">
        <f>M33*$U$15/(N33*$U$14)</f>
        <v>1.8150256831443987</v>
      </c>
      <c r="S33" s="16">
        <f>-$U$17/LN((R33-1)/(R33*$V$14-$V$15))</f>
        <v>9.4538129635987005</v>
      </c>
      <c r="U33" s="16">
        <v>9.4538129635988248</v>
      </c>
      <c r="W33" s="3">
        <f t="shared" si="4"/>
        <v>0.8</v>
      </c>
      <c r="X33" s="3">
        <f t="shared" si="5"/>
        <v>0.5</v>
      </c>
      <c r="Y33" s="3">
        <f t="shared" si="6"/>
        <v>9.5376036019516839</v>
      </c>
    </row>
    <row r="34" spans="11:25">
      <c r="K34" s="6">
        <v>10.810256410256411</v>
      </c>
      <c r="L34" s="6">
        <v>46.91348088531187</v>
      </c>
      <c r="M34" s="3">
        <f t="shared" si="2"/>
        <v>1</v>
      </c>
      <c r="N34" s="3">
        <f t="shared" si="3"/>
        <v>4.3397195316109176</v>
      </c>
      <c r="P34" s="16">
        <f>K34*$U$15/(L34*$U$14)</f>
        <v>1.1465405083806894</v>
      </c>
      <c r="Q34" s="16">
        <f>-$U$17/LN((P34-1)/(P34*$V$14-$V$15))</f>
        <v>1.7176378536963226</v>
      </c>
      <c r="R34" s="16">
        <f>M34*$U$15/(N34*$U$14)</f>
        <v>1.1465405083806894</v>
      </c>
      <c r="S34" s="16">
        <f>-$U$17/LN((R34-1)/(R34*$V$14-$V$15))</f>
        <v>1.7176378536963226</v>
      </c>
      <c r="U34" s="16">
        <v>1.7176378536963004</v>
      </c>
      <c r="W34" s="3">
        <f t="shared" si="4"/>
        <v>0.8</v>
      </c>
      <c r="X34" s="3">
        <f t="shared" si="5"/>
        <v>0.5</v>
      </c>
      <c r="Y34" s="3">
        <f t="shared" si="6"/>
        <v>1.8665013658210712</v>
      </c>
    </row>
    <row r="35" spans="11:25">
      <c r="K35" s="6">
        <v>17.67715458276334</v>
      </c>
      <c r="L35" s="6">
        <v>79.766756032171571</v>
      </c>
      <c r="M35" s="3">
        <f t="shared" si="2"/>
        <v>1</v>
      </c>
      <c r="N35" s="3">
        <f t="shared" si="3"/>
        <v>4.5124205741771721</v>
      </c>
      <c r="P35" s="16">
        <f>K35*$U$15/(L35*$U$14)</f>
        <v>1.1026596825829094</v>
      </c>
      <c r="Q35" s="16">
        <f>-$U$17/LN((P35-1)/(P35*$V$14-$V$15))</f>
        <v>1.2245488615868059</v>
      </c>
      <c r="R35" s="16">
        <f>M35*$U$15/(N35*$U$14)</f>
        <v>1.1026596825829091</v>
      </c>
      <c r="S35" s="16">
        <f>-$U$17/LN((R35-1)/(R35*$V$14-$V$15))</f>
        <v>1.2245488615868034</v>
      </c>
      <c r="U35" s="16">
        <v>1.2245488615868163</v>
      </c>
      <c r="W35" s="3">
        <f t="shared" si="4"/>
        <v>0.8</v>
      </c>
      <c r="X35" s="3">
        <f t="shared" si="5"/>
        <v>0.5</v>
      </c>
      <c r="Y35" s="3">
        <f t="shared" si="6"/>
        <v>1.3778865608202484</v>
      </c>
    </row>
    <row r="36" spans="11:25">
      <c r="K36" s="6">
        <v>12.864197530864198</v>
      </c>
      <c r="L36" s="6">
        <v>45.998168498168496</v>
      </c>
      <c r="M36" s="3">
        <f t="shared" si="2"/>
        <v>1</v>
      </c>
      <c r="N36" s="3">
        <f t="shared" si="3"/>
        <v>3.5756733669401615</v>
      </c>
      <c r="P36" s="16">
        <f>K36*$U$15/(L36*$U$14)</f>
        <v>1.3915320912717071</v>
      </c>
      <c r="Q36" s="16">
        <f>-$U$17/LN((P36-1)/(P36*$V$14-$V$15))</f>
        <v>4.5022730604685011</v>
      </c>
      <c r="R36" s="16">
        <f>M36*$U$15/(N36*$U$14)</f>
        <v>1.3915320912717071</v>
      </c>
      <c r="S36" s="16">
        <f>-$U$17/LN((R36-1)/(R36*$V$14-$V$15))</f>
        <v>4.5022730604685011</v>
      </c>
      <c r="U36" s="16">
        <v>4.5022730604685153</v>
      </c>
      <c r="W36" s="3">
        <f t="shared" si="4"/>
        <v>0.8</v>
      </c>
      <c r="X36" s="3">
        <f t="shared" si="5"/>
        <v>0.5</v>
      </c>
      <c r="Y36" s="3">
        <f t="shared" si="6"/>
        <v>4.6276981722017112</v>
      </c>
    </row>
    <row r="37" spans="11:25">
      <c r="K37" s="6">
        <v>14.998908296943229</v>
      </c>
      <c r="L37" s="6">
        <v>105.25954198473281</v>
      </c>
      <c r="P37" s="16"/>
      <c r="Q37" s="16"/>
      <c r="R37" s="16"/>
      <c r="S37" s="16"/>
      <c r="U37" s="16"/>
    </row>
    <row r="38" spans="11:25">
      <c r="K38" s="6">
        <v>10.258220502901354</v>
      </c>
      <c r="L38" s="6">
        <v>43.316326530612244</v>
      </c>
      <c r="M38" s="3">
        <f t="shared" si="2"/>
        <v>1</v>
      </c>
      <c r="N38" s="3">
        <f t="shared" si="3"/>
        <v>4.2225965525269222</v>
      </c>
      <c r="P38" s="16">
        <f>K38*$U$15/(L38*$U$14)</f>
        <v>1.1783423247066334</v>
      </c>
      <c r="Q38" s="16">
        <f>-$U$17/LN((P38-1)/(P38*$V$14-$V$15))</f>
        <v>2.0759804104281954</v>
      </c>
      <c r="R38" s="16">
        <f>M38*$U$15/(N38*$U$14)</f>
        <v>1.1783423247066334</v>
      </c>
      <c r="S38" s="16">
        <f>-$U$17/LN((R38-1)/(R38*$V$14-$V$15))</f>
        <v>2.0759804104281954</v>
      </c>
      <c r="U38" s="16">
        <v>2.0759804104282051</v>
      </c>
      <c r="W38" s="3">
        <f t="shared" ref="W38:X45" si="7">M38-0.2</f>
        <v>0.8</v>
      </c>
      <c r="X38" s="3">
        <f t="shared" si="5"/>
        <v>0.5</v>
      </c>
      <c r="Y38" s="3">
        <f t="shared" si="6"/>
        <v>2.2217351239820298</v>
      </c>
    </row>
    <row r="39" spans="11:25">
      <c r="K39" s="6">
        <v>13.138443935926773</v>
      </c>
      <c r="L39" s="6">
        <v>60.157142857142851</v>
      </c>
      <c r="M39" s="3">
        <f t="shared" si="2"/>
        <v>1</v>
      </c>
      <c r="N39" s="3">
        <f t="shared" si="3"/>
        <v>4.5787113870193199</v>
      </c>
      <c r="P39" s="16">
        <f>K39*$U$15/(L39*$U$14)</f>
        <v>1.0866953204582479</v>
      </c>
      <c r="Q39" s="16">
        <f>-$U$17/LN((P39-1)/(P39*$V$14-$V$15))</f>
        <v>1.045487730213289</v>
      </c>
      <c r="R39" s="16">
        <f>M39*$U$15/(N39*$U$14)</f>
        <v>1.0866953204582481</v>
      </c>
      <c r="S39" s="16">
        <f>-$U$17/LN((R39-1)/(R39*$V$14-$V$15))</f>
        <v>1.0454877302132917</v>
      </c>
      <c r="U39" s="16">
        <v>1.0454877302133012</v>
      </c>
      <c r="W39" s="3">
        <f t="shared" si="7"/>
        <v>0.8</v>
      </c>
      <c r="X39" s="3">
        <f t="shared" si="5"/>
        <v>0.5</v>
      </c>
      <c r="Y39" s="3">
        <f t="shared" si="6"/>
        <v>1.200565308077219</v>
      </c>
    </row>
    <row r="40" spans="11:25">
      <c r="K40" s="6">
        <v>12.319514661274013</v>
      </c>
      <c r="L40" s="6">
        <v>55.175097276264601</v>
      </c>
      <c r="M40" s="3">
        <f t="shared" si="2"/>
        <v>1</v>
      </c>
      <c r="N40" s="3">
        <f t="shared" si="3"/>
        <v>4.4786745901367118</v>
      </c>
      <c r="P40" s="16">
        <f>K40*$U$15/(L40*$U$14)</f>
        <v>1.1109680191904514</v>
      </c>
      <c r="Q40" s="16">
        <f>-$U$17/LN((P40-1)/(P40*$V$14-$V$15))</f>
        <v>1.3177997023817716</v>
      </c>
      <c r="R40" s="16">
        <f>M40*$U$15/(N40*$U$14)</f>
        <v>1.1109680191904514</v>
      </c>
      <c r="S40" s="16">
        <f>-$U$17/LN((R40-1)/(R40*$V$14-$V$15))</f>
        <v>1.3177997023817716</v>
      </c>
      <c r="U40" s="16">
        <v>1.3177997023817838</v>
      </c>
      <c r="W40" s="3">
        <f t="shared" si="7"/>
        <v>0.8</v>
      </c>
      <c r="X40" s="3">
        <f t="shared" si="5"/>
        <v>0.5</v>
      </c>
      <c r="Y40" s="3">
        <f t="shared" si="6"/>
        <v>1.4702631825429489</v>
      </c>
    </row>
    <row r="41" spans="11:25">
      <c r="K41" s="6">
        <v>7.9821092278719403</v>
      </c>
      <c r="L41" s="6">
        <v>31.387478849407781</v>
      </c>
      <c r="M41" s="3">
        <f t="shared" si="2"/>
        <v>1</v>
      </c>
      <c r="N41" s="3">
        <f t="shared" si="3"/>
        <v>3.9322286820893075</v>
      </c>
      <c r="P41" s="16">
        <f>K41*$U$15/(L41*$U$14)</f>
        <v>1.2653547492459349</v>
      </c>
      <c r="Q41" s="16">
        <f>-$U$17/LN((P41-1)/(P41*$V$14-$V$15))</f>
        <v>3.0610911009201853</v>
      </c>
      <c r="R41" s="16">
        <f>M41*$U$15/(N41*$U$14)</f>
        <v>1.2653547492459349</v>
      </c>
      <c r="S41" s="16">
        <f>-$U$17/LN((R41-1)/(R41*$V$14-$V$15))</f>
        <v>3.0610911009201853</v>
      </c>
      <c r="U41" s="16">
        <v>3.061091100920192</v>
      </c>
      <c r="W41" s="3">
        <f t="shared" si="7"/>
        <v>0.8</v>
      </c>
      <c r="X41" s="3">
        <f t="shared" si="5"/>
        <v>0.5</v>
      </c>
      <c r="Y41" s="3">
        <f t="shared" si="6"/>
        <v>3.198524609666793</v>
      </c>
    </row>
    <row r="42" spans="11:25">
      <c r="K42" s="6">
        <v>8.6000000000000014</v>
      </c>
      <c r="L42" s="6">
        <v>32.173174872665534</v>
      </c>
      <c r="M42" s="3">
        <f t="shared" si="2"/>
        <v>1</v>
      </c>
      <c r="N42" s="3">
        <f t="shared" si="3"/>
        <v>3.7410668456587826</v>
      </c>
      <c r="P42" s="16">
        <f>K42*$U$15/(L42*$U$14)</f>
        <v>1.3300121177403341</v>
      </c>
      <c r="Q42" s="16">
        <f>-$U$17/LN((P42-1)/(P42*$V$14-$V$15))</f>
        <v>3.7976968502088377</v>
      </c>
      <c r="R42" s="16">
        <f>M42*$U$15/(N42*$U$14)</f>
        <v>1.3300121177403341</v>
      </c>
      <c r="S42" s="16">
        <f>-$U$17/LN((R42-1)/(R42*$V$14-$V$15))</f>
        <v>3.7976968502088377</v>
      </c>
      <c r="U42" s="16">
        <v>3.7976968502088173</v>
      </c>
      <c r="W42" s="3">
        <f t="shared" si="7"/>
        <v>0.8</v>
      </c>
      <c r="X42" s="3">
        <f t="shared" si="5"/>
        <v>0.5</v>
      </c>
      <c r="Y42" s="3">
        <f t="shared" si="6"/>
        <v>3.9289860295100238</v>
      </c>
    </row>
    <row r="43" spans="11:25">
      <c r="K43" s="6">
        <v>6.0271828665568368</v>
      </c>
      <c r="L43" s="6">
        <v>21.189115646258507</v>
      </c>
      <c r="M43" s="3">
        <f t="shared" si="2"/>
        <v>1</v>
      </c>
      <c r="N43" s="3">
        <f t="shared" si="3"/>
        <v>3.5155919631758685</v>
      </c>
      <c r="P43" s="16">
        <f>K43*$U$15/(L43*$U$14)</f>
        <v>1.4153133498200228</v>
      </c>
      <c r="Q43" s="16">
        <f>-$U$17/LN((P43-1)/(P43*$V$14-$V$15))</f>
        <v>4.7756156281657471</v>
      </c>
      <c r="R43" s="16">
        <f>M43*$U$15/(N43*$U$14)</f>
        <v>1.4153133498200228</v>
      </c>
      <c r="S43" s="16">
        <f>-$U$17/LN((R43-1)/(R43*$V$14-$V$15))</f>
        <v>4.7756156281657471</v>
      </c>
      <c r="U43" s="16">
        <v>4.7756156281658271</v>
      </c>
      <c r="W43" s="3">
        <f t="shared" si="7"/>
        <v>0.8</v>
      </c>
      <c r="X43" s="3">
        <f t="shared" si="5"/>
        <v>0.5</v>
      </c>
      <c r="Y43" s="3">
        <f t="shared" si="6"/>
        <v>4.8987652257913643</v>
      </c>
    </row>
    <row r="44" spans="11:25">
      <c r="K44" s="6">
        <v>16.101376720901126</v>
      </c>
      <c r="L44" s="6">
        <v>51.16115702479339</v>
      </c>
      <c r="M44" s="3">
        <f t="shared" si="2"/>
        <v>1</v>
      </c>
      <c r="N44" s="3">
        <f t="shared" si="3"/>
        <v>3.1774399116059011</v>
      </c>
      <c r="P44" s="16">
        <f>K44*$U$15/(L44*$U$14)</f>
        <v>1.5659349590935463</v>
      </c>
      <c r="Q44" s="16">
        <f>-$U$17/LN((P44-1)/(P44*$V$14-$V$15))</f>
        <v>6.519728458894841</v>
      </c>
      <c r="R44" s="16">
        <f>M44*$U$15/(N44*$U$14)</f>
        <v>1.5659349590935465</v>
      </c>
      <c r="S44" s="16">
        <f>-$U$17/LN((R44-1)/(R44*$V$14-$V$15))</f>
        <v>6.519728458894841</v>
      </c>
      <c r="U44" s="16">
        <v>6.5197284588949005</v>
      </c>
      <c r="W44" s="3">
        <f t="shared" si="7"/>
        <v>0.8</v>
      </c>
      <c r="X44" s="3">
        <f t="shared" si="5"/>
        <v>0.5</v>
      </c>
      <c r="Y44" s="3">
        <f t="shared" si="6"/>
        <v>6.6283127156830597</v>
      </c>
    </row>
    <row r="45" spans="11:25">
      <c r="K45" s="6">
        <v>6.7399650959860375</v>
      </c>
      <c r="L45" s="6">
        <v>27.604724409448821</v>
      </c>
      <c r="M45" s="3">
        <f t="shared" si="2"/>
        <v>1</v>
      </c>
      <c r="N45" s="3">
        <f t="shared" si="3"/>
        <v>4.0956776505992174</v>
      </c>
      <c r="P45" s="16">
        <f>K45*$U$15/(L45*$U$14)</f>
        <v>1.2148573844122781</v>
      </c>
      <c r="Q45" s="16">
        <f>-$U$17/LN((P45-1)/(P45*$V$14-$V$15))</f>
        <v>2.488538187070489</v>
      </c>
      <c r="R45" s="16">
        <f>M45*$U$15/(N45*$U$14)</f>
        <v>1.2148573844122781</v>
      </c>
      <c r="S45" s="16">
        <f>-$U$17/LN((R45-1)/(R45*$V$14-$V$15))</f>
        <v>2.488538187070489</v>
      </c>
      <c r="U45" s="16">
        <v>2.4885381870705521</v>
      </c>
      <c r="W45" s="3">
        <f t="shared" si="7"/>
        <v>0.8</v>
      </c>
      <c r="X45" s="3">
        <f t="shared" si="5"/>
        <v>0.5</v>
      </c>
      <c r="Y45" s="3">
        <f t="shared" si="6"/>
        <v>2.6307823880651098</v>
      </c>
    </row>
    <row r="46" spans="11:25">
      <c r="K46" s="6">
        <v>14.703611457036114</v>
      </c>
      <c r="L46" s="6">
        <v>73.597667638483955</v>
      </c>
      <c r="P46" s="16"/>
      <c r="Q46" s="16"/>
      <c r="R46" s="16"/>
      <c r="S46" s="16"/>
      <c r="U46" s="16"/>
    </row>
    <row r="47" spans="11:25">
      <c r="K47" s="6">
        <v>7.996124031007751</v>
      </c>
      <c r="L47" s="6">
        <v>30.030456852791875</v>
      </c>
      <c r="M47" s="3">
        <f t="shared" si="2"/>
        <v>1</v>
      </c>
      <c r="N47" s="3">
        <f t="shared" si="3"/>
        <v>3.7556266931751354</v>
      </c>
      <c r="P47" s="16">
        <f>K47*$U$15/(L47*$U$14)</f>
        <v>1.3248559147384777</v>
      </c>
      <c r="Q47" s="16">
        <f>-$U$17/LN((P47-1)/(P47*$V$14-$V$15))</f>
        <v>3.7388090681306001</v>
      </c>
      <c r="R47" s="16">
        <f>M47*$U$15/(N47*$U$14)</f>
        <v>1.324855914738478</v>
      </c>
      <c r="S47" s="16">
        <f>-$U$17/LN((R47-1)/(R47*$V$14-$V$15))</f>
        <v>3.7388090681306001</v>
      </c>
      <c r="U47" s="16">
        <v>3.7388090681306001</v>
      </c>
      <c r="W47" s="3">
        <f>M47-0.2</f>
        <v>0.8</v>
      </c>
      <c r="X47" s="3">
        <f t="shared" si="5"/>
        <v>0.5</v>
      </c>
      <c r="Y47" s="3">
        <f t="shared" si="6"/>
        <v>3.8705886023000229</v>
      </c>
    </row>
    <row r="49" spans="13:19">
      <c r="O49" s="3" t="s">
        <v>103</v>
      </c>
    </row>
    <row r="50" spans="13:19">
      <c r="M50" s="14" t="s">
        <v>101</v>
      </c>
      <c r="N50" s="3">
        <f>STDEV(N27:N47)</f>
        <v>0.5816202690505522</v>
      </c>
      <c r="O50" s="3">
        <f>N51/N50</f>
        <v>6.9020389730061744</v>
      </c>
      <c r="R50" s="14" t="s">
        <v>101</v>
      </c>
      <c r="S50" s="3">
        <f>STDEV(S27:S47)</f>
        <v>2.3828250851557571</v>
      </c>
    </row>
    <row r="51" spans="13:19">
      <c r="M51" s="14" t="s">
        <v>102</v>
      </c>
      <c r="N51" s="3">
        <f>AVERAGE(N27:N47)</f>
        <v>4.0143657644772484</v>
      </c>
      <c r="R51" s="14" t="s">
        <v>102</v>
      </c>
      <c r="S51" s="3">
        <f>AVERAGE(S27:S47)</f>
        <v>3.1044045457849361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AI26"/>
  <sheetViews>
    <sheetView topLeftCell="S1" workbookViewId="0">
      <selection activeCell="AD9" sqref="AD9"/>
    </sheetView>
  </sheetViews>
  <sheetFormatPr defaultRowHeight="15"/>
  <cols>
    <col min="1" max="1" width="8.140625" bestFit="1" customWidth="1"/>
    <col min="2" max="2" width="14" bestFit="1" customWidth="1"/>
    <col min="3" max="3" width="15" bestFit="1" customWidth="1"/>
    <col min="4" max="4" width="14.28515625" bestFit="1" customWidth="1"/>
    <col min="5" max="5" width="15.28515625" bestFit="1" customWidth="1"/>
    <col min="6" max="6" width="13.85546875" bestFit="1" customWidth="1"/>
    <col min="7" max="7" width="14.85546875" bestFit="1" customWidth="1"/>
    <col min="8" max="8" width="14.140625" bestFit="1" customWidth="1"/>
    <col min="9" max="9" width="15.140625" bestFit="1" customWidth="1"/>
    <col min="10" max="10" width="13.85546875" bestFit="1" customWidth="1"/>
    <col min="11" max="11" width="14.85546875" bestFit="1" customWidth="1"/>
    <col min="12" max="12" width="14.140625" bestFit="1" customWidth="1"/>
    <col min="13" max="13" width="15.140625" bestFit="1" customWidth="1"/>
    <col min="14" max="14" width="13.140625" bestFit="1" customWidth="1"/>
    <col min="15" max="15" width="14.140625" bestFit="1" customWidth="1"/>
    <col min="16" max="16" width="13.42578125" bestFit="1" customWidth="1"/>
    <col min="17" max="17" width="14.42578125" bestFit="1" customWidth="1"/>
    <col min="18" max="18" width="18.85546875" bestFit="1" customWidth="1"/>
    <col min="19" max="19" width="19.85546875" bestFit="1" customWidth="1"/>
    <col min="20" max="20" width="19.140625" bestFit="1" customWidth="1"/>
    <col min="21" max="21" width="20.140625" bestFit="1" customWidth="1"/>
    <col min="22" max="22" width="18.7109375" bestFit="1" customWidth="1"/>
    <col min="23" max="23" width="19.7109375" bestFit="1" customWidth="1"/>
    <col min="24" max="24" width="19" bestFit="1" customWidth="1"/>
    <col min="25" max="25" width="20" bestFit="1" customWidth="1"/>
    <col min="26" max="27" width="13.28515625" customWidth="1"/>
    <col min="29" max="29" width="11.7109375" bestFit="1" customWidth="1"/>
    <col min="30" max="30" width="12.28515625" bestFit="1" customWidth="1"/>
    <col min="31" max="32" width="12.140625" bestFit="1" customWidth="1"/>
    <col min="33" max="33" width="11.42578125" bestFit="1" customWidth="1"/>
    <col min="34" max="34" width="14.7109375" bestFit="1" customWidth="1"/>
    <col min="35" max="35" width="14.5703125" bestFit="1" customWidth="1"/>
    <col min="36" max="39" width="8.85546875" bestFit="1" customWidth="1"/>
  </cols>
  <sheetData>
    <row r="1" spans="1:35">
      <c r="A1" s="1" t="s">
        <v>0</v>
      </c>
      <c r="B1" s="9" t="s">
        <v>59</v>
      </c>
      <c r="C1" s="9" t="s">
        <v>61</v>
      </c>
      <c r="D1" s="9" t="s">
        <v>60</v>
      </c>
      <c r="E1" s="9" t="s">
        <v>62</v>
      </c>
      <c r="F1" s="10" t="s">
        <v>63</v>
      </c>
      <c r="G1" s="10" t="s">
        <v>64</v>
      </c>
      <c r="H1" s="10" t="s">
        <v>65</v>
      </c>
      <c r="I1" s="10" t="s">
        <v>70</v>
      </c>
      <c r="J1" s="11" t="s">
        <v>66</v>
      </c>
      <c r="K1" s="11" t="s">
        <v>67</v>
      </c>
      <c r="L1" s="11" t="s">
        <v>68</v>
      </c>
      <c r="M1" s="11" t="s">
        <v>69</v>
      </c>
      <c r="N1" s="12" t="s">
        <v>72</v>
      </c>
      <c r="O1" s="12" t="s">
        <v>73</v>
      </c>
      <c r="P1" s="12" t="s">
        <v>74</v>
      </c>
      <c r="Q1" s="12" t="s">
        <v>75</v>
      </c>
      <c r="R1" s="13" t="s">
        <v>82</v>
      </c>
      <c r="S1" s="13" t="s">
        <v>83</v>
      </c>
      <c r="T1" s="13" t="s">
        <v>84</v>
      </c>
      <c r="U1" s="13" t="s">
        <v>85</v>
      </c>
      <c r="V1" s="11" t="s">
        <v>86</v>
      </c>
      <c r="W1" s="11" t="s">
        <v>87</v>
      </c>
      <c r="X1" s="11" t="s">
        <v>88</v>
      </c>
      <c r="Y1" s="11" t="s">
        <v>89</v>
      </c>
      <c r="Z1" s="1"/>
      <c r="AA1" s="1"/>
      <c r="AC1" s="1" t="s">
        <v>0</v>
      </c>
      <c r="AD1" s="1" t="s">
        <v>76</v>
      </c>
      <c r="AE1" s="1" t="s">
        <v>77</v>
      </c>
      <c r="AF1" s="1" t="s">
        <v>78</v>
      </c>
      <c r="AG1" s="1" t="s">
        <v>79</v>
      </c>
      <c r="AH1" s="1" t="s">
        <v>80</v>
      </c>
      <c r="AI1" s="1" t="s">
        <v>81</v>
      </c>
    </row>
    <row r="2" spans="1:35">
      <c r="A2" s="1" t="s">
        <v>1</v>
      </c>
      <c r="B2" s="2">
        <f>Table4[[#This Row],[2 - Fígado A]]/SIN(Original!$B$25*PI()/180)</f>
        <v>93.845702508374387</v>
      </c>
      <c r="C2" s="2">
        <f>Table4[[#This Row],[10 - Fígado A]]/SIN(Original!$B$26*PI()/180)</f>
        <v>217.2072725759823</v>
      </c>
      <c r="D2" s="2">
        <f>Table4[[#This Row],[2 - Fígado A]]/TAN(Original!$B$25*PI()/180)</f>
        <v>93.788534242032298</v>
      </c>
      <c r="E2" s="2">
        <f>Table4[[#This Row],[10 - Fígado A]]/TAN(Original!$B$26*PI()/180)</f>
        <v>213.90740604346331</v>
      </c>
      <c r="F2" s="2">
        <f>Table4[[#This Row],[2 - Fígado B]]/SIN(Original!$B$25*PI()/180)</f>
        <v>102.05720147785715</v>
      </c>
      <c r="G2" s="2">
        <f>Table4[[#This Row],[10 - Fígado B]]/SIN(Original!$B$26*PI()/180)</f>
        <v>217.33148135110889</v>
      </c>
      <c r="H2" s="2">
        <f>Table4[[#This Row],[2 - Fígado B]]/TAN(Original!$B$25*PI()/180)</f>
        <v>101.99503098821013</v>
      </c>
      <c r="I2" s="2">
        <f>Table4[[#This Row],[10 - Fígado B]]/TAN(Original!$B$26*PI()/180)</f>
        <v>214.02972780820014</v>
      </c>
      <c r="J2" s="2">
        <f>Table4[[#This Row],[2 - Fígado C]]/SIN(Original!$B$25*PI()/180)</f>
        <v>106.30718103817493</v>
      </c>
      <c r="K2" s="2">
        <f>Table4[[#This Row],[10 - Fígado C]]/SIN(Original!$B$26*PI()/180)</f>
        <v>271.09129756727918</v>
      </c>
      <c r="L2" s="2">
        <f>Table4[[#This Row],[2 - Fígado C]]/TAN(Original!$B$25*PI()/180)</f>
        <v>106.24242157581037</v>
      </c>
      <c r="M2" s="2">
        <f>Table4[[#This Row],[10 - Fígado C]]/TAN(Original!$B$26*PI()/180)</f>
        <v>266.97281161839601</v>
      </c>
      <c r="N2" s="2">
        <f>Table4[[#This Row],[2 - Rim ]]/SIN(Original!$B$25*PI()/180)</f>
        <v>141.42239677184128</v>
      </c>
      <c r="O2" s="2">
        <f>Table4[[#This Row],[10 - Rim]]/SIN(Original!$B$26*PI()/180)</f>
        <v>219.01394566873324</v>
      </c>
      <c r="P2" s="2">
        <f>Table4[[#This Row],[2 - Rim ]]/TAN(Original!$B$25*PI()/180)</f>
        <v>141.33624606883313</v>
      </c>
      <c r="Q2" s="2">
        <f>Table4[[#This Row],[10 - Rim]]/TAN(Original!$B$26*PI()/180)</f>
        <v>215.68663171236295</v>
      </c>
      <c r="R2" s="2">
        <f>Table4[[#This Row],[2 - Gordura A]]/SIN(Original!$B$25*PI()/180)</f>
        <v>34.076759189516274</v>
      </c>
      <c r="S2" s="2">
        <f>Table4[[#This Row],[10 - Gordura A]]/SIN(Original!$B$26*PI()/180)</f>
        <v>64.249811860955461</v>
      </c>
      <c r="T2" s="2">
        <f>Table4[[#This Row],[2 - Gordura A]]/TAN(Original!$B$25*PI()/180)</f>
        <v>34.056000548541242</v>
      </c>
      <c r="U2" s="2">
        <f>Table4[[#This Row],[10 - Gordura A]]/TAN(Original!$B$26*PI()/180)</f>
        <v>63.27371285024465</v>
      </c>
      <c r="V2" s="2">
        <f>Table4[[#This Row],[2 - Gordura B]]/SIN(Original!$B$25*PI()/180)</f>
        <v>26.307565785134461</v>
      </c>
      <c r="W2" s="2">
        <f>Table4[[#This Row],[10 - Gordura B]]/SIN(Original!$B$26*PI()/180)</f>
        <v>67.095321982038186</v>
      </c>
      <c r="X2" s="2">
        <f>Table4[[#This Row],[2 - Gordura B]]/TAN(Original!$B$25*PI()/180)</f>
        <v>26.291539926864793</v>
      </c>
      <c r="Y2" s="2">
        <f>Table4[[#This Row],[10 - Gordura B]]/TAN(Original!$B$26*PI()/180)</f>
        <v>66.075993278761629</v>
      </c>
      <c r="Z2" s="2"/>
      <c r="AA2" s="2"/>
      <c r="AC2" s="8" t="s">
        <v>1</v>
      </c>
      <c r="AD2" s="8">
        <f>-$B$26/LN((Table11[[#This Row],[2 - Fíg A - S/sin]]-Table11[[#This Row],[10 - Fíg A - S/sin]])/(Table11[[#This Row],[2 - Fíg A - S/tan]]-Table11[[#This Row],[10 - Fíg A - S/tan]]))</f>
        <v>-6.0815864071527885</v>
      </c>
      <c r="AE2" s="8">
        <f>-$B$26/LN((Table11[[#This Row],[2 - Fíg B - S/sin]]-Table11[[#This Row],[10 - Fíg B - S/sin]])/(Table11[[#This Row],[2 - Fíg B - S/tan]]-Table11[[#This Row],[10 - Fíg B - S/tan]]))</f>
        <v>-5.6830709837771627</v>
      </c>
      <c r="AF2" s="8">
        <f>-$B$26/LN((Table11[[#This Row],[2 - Fíg C - S/sin]]-Table11[[#This Row],[10 - Fíg C - S/sin]])/(Table11[[#This Row],[2 - Fíg C - S/tan]]-Table11[[#This Row],[10 - Fíg C - S/tan]]))</f>
        <v>-6.5039691363949128</v>
      </c>
      <c r="AG2" s="8">
        <f t="shared" ref="AG2:AG23" si="0">-$B$26/LN((N2-O2)/(P2-Q2))</f>
        <v>-3.7966090417841425</v>
      </c>
      <c r="AH2" s="8">
        <f>-$B$26/LN((Table11[[#This Row],[2 - Gord B - S/sin]]-Table11[[#This Row],[10 - Gord B - S/sin]])/(Table11[[#This Row],[2 - Gord B - S/tan]]-Table11[[#This Row],[10 - Gord B - S/tan]]))</f>
        <v>-6.5045281906693537</v>
      </c>
      <c r="AI2" s="8">
        <f t="shared" ref="AI2:AI23" si="1">-$B$26/LN((V2-W2)/(X2-Y2))</f>
        <v>-6.5045281906693537</v>
      </c>
    </row>
    <row r="3" spans="1:35">
      <c r="A3" s="1" t="s">
        <v>2</v>
      </c>
      <c r="B3" s="2">
        <f>Table4[[#This Row],[2 - Fígado A]]/SIN(Original!$B$25*PI()/180)</f>
        <v>329.24612256546959</v>
      </c>
      <c r="C3" s="2">
        <f>Table4[[#This Row],[10 - Fígado A]]/SIN(Original!$B$26*PI()/180)</f>
        <v>286.20002740755342</v>
      </c>
      <c r="D3" s="2">
        <f>Table4[[#This Row],[2 - Fígado A]]/TAN(Original!$B$25*PI()/180)</f>
        <v>329.04555472353519</v>
      </c>
      <c r="E3" s="2">
        <f>Table4[[#This Row],[10 - Fígado A]]/TAN(Original!$B$26*PI()/180)</f>
        <v>281.85200590326502</v>
      </c>
      <c r="F3" s="2">
        <f>Table4[[#This Row],[2 - Fígado B]]/SIN(Original!$B$25*PI()/180)</f>
        <v>344.22782737610368</v>
      </c>
      <c r="G3" s="2">
        <f>Table4[[#This Row],[10 - Fígado B]]/SIN(Original!$B$26*PI()/180)</f>
        <v>253.57061653796791</v>
      </c>
      <c r="H3" s="2">
        <f>Table4[[#This Row],[2 - Fígado B]]/TAN(Original!$B$25*PI()/180)</f>
        <v>344.0181330843908</v>
      </c>
      <c r="I3" s="2">
        <f>Table4[[#This Row],[10 - Fígado B]]/TAN(Original!$B$26*PI()/180)</f>
        <v>249.71830910267639</v>
      </c>
      <c r="J3" s="2">
        <f>Table4[[#This Row],[2 - Fígado C]]/SIN(Original!$B$25*PI()/180)</f>
        <v>327.16976688808967</v>
      </c>
      <c r="K3" s="2">
        <f>Table4[[#This Row],[10 - Fígado C]]/SIN(Original!$B$26*PI()/180)</f>
        <v>253.57061653796791</v>
      </c>
      <c r="L3" s="2">
        <f>Table4[[#This Row],[2 - Fígado C]]/TAN(Original!$B$25*PI()/180)</f>
        <v>326.97046390593266</v>
      </c>
      <c r="M3" s="2">
        <f>Table4[[#This Row],[10 - Fígado C]]/TAN(Original!$B$26*PI()/180)</f>
        <v>249.71830910267639</v>
      </c>
      <c r="N3" s="2">
        <f>Table4[[#This Row],[2 - Rim ]]/SIN(Original!$B$25*PI()/180)</f>
        <v>479.70204934177326</v>
      </c>
      <c r="O3" s="2">
        <f>Table4[[#This Row],[10 - Rim]]/SIN(Original!$B$26*PI()/180)</f>
        <v>213.67211613399917</v>
      </c>
      <c r="P3" s="2">
        <f>Table4[[#This Row],[2 - Rim ]]/TAN(Original!$B$25*PI()/180)</f>
        <v>479.40982781442983</v>
      </c>
      <c r="Q3" s="2">
        <f>Table4[[#This Row],[10 - Rim]]/TAN(Original!$B$26*PI()/180)</f>
        <v>210.42595657128729</v>
      </c>
      <c r="R3" s="2">
        <f>Table4[[#This Row],[2 - Gordura A]]/SIN(Original!$B$25*PI()/180)</f>
        <v>116.40369366727188</v>
      </c>
      <c r="S3" s="2">
        <f>Table4[[#This Row],[10 - Gordura A]]/SIN(Original!$B$26*PI()/180)</f>
        <v>88.478618951393614</v>
      </c>
      <c r="T3" s="2">
        <f>Table4[[#This Row],[2 - Gordura A]]/TAN(Original!$B$25*PI()/180)</f>
        <v>116.33278368221232</v>
      </c>
      <c r="U3" s="2">
        <f>Table4[[#This Row],[10 - Gordura A]]/TAN(Original!$B$26*PI()/180)</f>
        <v>87.134429919145305</v>
      </c>
      <c r="V3" s="2">
        <f>Table4[[#This Row],[2 - Gordura B]]/SIN(Original!$B$25*PI()/180)</f>
        <v>95.065146090505266</v>
      </c>
      <c r="W3" s="2">
        <f>Table4[[#This Row],[10 - Gordura B]]/SIN(Original!$B$26*PI()/180)</f>
        <v>70.724220895814938</v>
      </c>
      <c r="X3" s="2">
        <f>Table4[[#This Row],[2 - Gordura B]]/TAN(Original!$B$25*PI()/180)</f>
        <v>95.007234972081207</v>
      </c>
      <c r="Y3" s="2">
        <f>Table4[[#This Row],[10 - Gordura B]]/TAN(Original!$B$26*PI()/180)</f>
        <v>69.649761063946556</v>
      </c>
      <c r="Z3" s="2"/>
      <c r="AA3" s="2"/>
      <c r="AC3" s="8" t="s">
        <v>2</v>
      </c>
      <c r="AD3" s="8">
        <f>-$B$26/LN((Table11[[#This Row],[2 - Fíg A - S/sin]]-Table11[[#This Row],[10 - Fíg A - S/sin]])/(Table11[[#This Row],[2 - Fíg A - S/tan]]-Table11[[#This Row],[10 - Fíg A - S/tan]]))</f>
        <v>1.7611436189939329</v>
      </c>
      <c r="AE3" s="8">
        <f>-$B$26/LN((Table11[[#This Row],[2 - Fíg B - S/sin]]-Table11[[#This Row],[10 - Fíg B - S/sin]])/(Table11[[#This Row],[2 - Fíg B - S/tan]]-Table11[[#This Row],[10 - Fíg B - S/tan]]))</f>
        <v>4.1123177446811638</v>
      </c>
      <c r="AF3" s="8">
        <f>-$B$26/LN((Table11[[#This Row],[2 - Fíg C - S/sin]]-Table11[[#This Row],[10 - Fíg C - S/sin]])/(Table11[[#This Row],[2 - Fíg C - S/tan]]-Table11[[#This Row],[10 - Fíg C - S/tan]]))</f>
        <v>3.3442518497760956</v>
      </c>
      <c r="AG3" s="8">
        <f t="shared" si="0"/>
        <v>14.670476253897769</v>
      </c>
      <c r="AH3" s="8">
        <f>-$B$26/LN((Table11[[#This Row],[2 - Gord B - S/sin]]-Table11[[#This Row],[10 - Gord B - S/sin]])/(Table11[[#This Row],[2 - Gord B - S/tan]]-Table11[[#This Row],[10 - Gord B - S/tan]]))</f>
        <v>3.9594844836611571</v>
      </c>
      <c r="AI3" s="8">
        <f t="shared" si="1"/>
        <v>3.9594844836611571</v>
      </c>
    </row>
    <row r="4" spans="1:35">
      <c r="A4" s="1" t="s">
        <v>3</v>
      </c>
      <c r="B4" s="2">
        <f>Table4[[#This Row],[2 - Fígado A]]/SIN(Original!$B$25*PI()/180)</f>
        <v>253.74964122019756</v>
      </c>
      <c r="C4" s="2">
        <f>Table4[[#This Row],[10 - Fígado A]]/SIN(Original!$B$26*PI()/180)</f>
        <v>240.7885908264432</v>
      </c>
      <c r="D4" s="2">
        <f>Table4[[#This Row],[2 - Fígado A]]/TAN(Original!$B$25*PI()/180)</f>
        <v>253.59506379485205</v>
      </c>
      <c r="E4" s="2">
        <f>Table4[[#This Row],[10 - Fígado A]]/TAN(Original!$B$26*PI()/180)</f>
        <v>237.13047108276547</v>
      </c>
      <c r="F4" s="2">
        <f>Table4[[#This Row],[2 - Fígado B]]/SIN(Original!$B$25*PI()/180)</f>
        <v>271.08051320478052</v>
      </c>
      <c r="G4" s="2">
        <f>Table4[[#This Row],[10 - Fígado B]]/SIN(Original!$B$26*PI()/180)</f>
        <v>278.51085957590624</v>
      </c>
      <c r="H4" s="2">
        <f>Table4[[#This Row],[2 - Fígado B]]/TAN(Original!$B$25*PI()/180)</f>
        <v>270.91537828048649</v>
      </c>
      <c r="I4" s="2">
        <f>Table4[[#This Row],[10 - Fígado B]]/TAN(Original!$B$26*PI()/180)</f>
        <v>274.27965380844677</v>
      </c>
      <c r="J4" s="2">
        <f>Table4[[#This Row],[2 - Fígado C]]/SIN(Original!$B$25*PI()/180)</f>
        <v>238.78090289869854</v>
      </c>
      <c r="K4" s="2">
        <f>Table4[[#This Row],[10 - Fígado C]]/SIN(Original!$B$26*PI()/180)</f>
        <v>280.71684020452983</v>
      </c>
      <c r="L4" s="2">
        <f>Table4[[#This Row],[2 - Fígado C]]/TAN(Original!$B$25*PI()/180)</f>
        <v>238.6354440242967</v>
      </c>
      <c r="M4" s="2">
        <f>Table4[[#This Row],[10 - Fígado C]]/TAN(Original!$B$26*PI()/180)</f>
        <v>276.45212063451004</v>
      </c>
      <c r="N4" s="2">
        <f>Table4[[#This Row],[2 - Rim ]]/SIN(Original!$B$25*PI()/180)</f>
        <v>310.15842010927724</v>
      </c>
      <c r="O4" s="2">
        <f>Table4[[#This Row],[10 - Rim]]/SIN(Original!$B$26*PI()/180)</f>
        <v>247.65035162389864</v>
      </c>
      <c r="P4" s="2">
        <f>Table4[[#This Row],[2 - Rim ]]/TAN(Original!$B$25*PI()/180)</f>
        <v>309.9694799799467</v>
      </c>
      <c r="Q4" s="2">
        <f>Table4[[#This Row],[10 - Rim]]/TAN(Original!$B$26*PI()/180)</f>
        <v>243.88798631541482</v>
      </c>
      <c r="R4" s="2">
        <f>Table4[[#This Row],[2 - Gordura A]]/SIN(Original!$B$25*PI()/180)</f>
        <v>46.908893504937865</v>
      </c>
      <c r="S4" s="2">
        <f>Table4[[#This Row],[10 - Gordura A]]/SIN(Original!$B$26*PI()/180)</f>
        <v>52.978366360049208</v>
      </c>
      <c r="T4" s="2">
        <f>Table4[[#This Row],[2 - Gordura A]]/TAN(Original!$B$25*PI()/180)</f>
        <v>46.88031787445054</v>
      </c>
      <c r="U4" s="2">
        <f>Table4[[#This Row],[10 - Gordura A]]/TAN(Original!$B$26*PI()/180)</f>
        <v>52.173505933297605</v>
      </c>
      <c r="V4" s="2">
        <f>Table4[[#This Row],[2 - Gordura B]]/SIN(Original!$B$25*PI()/180)</f>
        <v>42.210301544673158</v>
      </c>
      <c r="W4" s="2">
        <f>Table4[[#This Row],[10 - Gordura B]]/SIN(Original!$B$26*PI()/180)</f>
        <v>55.741647358009253</v>
      </c>
      <c r="X4" s="2">
        <f>Table4[[#This Row],[2 - Gordura B]]/TAN(Original!$B$25*PI()/180)</f>
        <v>42.184588169456319</v>
      </c>
      <c r="Y4" s="2">
        <f>Table4[[#This Row],[10 - Gordura B]]/TAN(Original!$B$26*PI()/180)</f>
        <v>54.894806483839965</v>
      </c>
      <c r="Z4" s="2"/>
      <c r="AA4" s="2"/>
      <c r="AC4" s="8" t="s">
        <v>3</v>
      </c>
      <c r="AD4" s="8">
        <f>-$B$26/LN((Table11[[#This Row],[2 - Fíg A - S/sin]]-Table11[[#This Row],[10 - Fíg A - S/sin]])/(Table11[[#This Row],[2 - Fíg A - S/tan]]-Table11[[#This Row],[10 - Fíg A - S/tan]]))</f>
        <v>0.67707794546015576</v>
      </c>
      <c r="AE4" s="8">
        <f>-$B$26/LN((Table11[[#This Row],[2 - Fíg B - S/sin]]-Table11[[#This Row],[10 - Fíg B - S/sin]])/(Table11[[#This Row],[2 - Fíg B - S/tan]]-Table11[[#This Row],[10 - Fíg B - S/tan]]))</f>
        <v>-0.2044525649455024</v>
      </c>
      <c r="AF4" s="8">
        <f>-$B$26/LN((Table11[[#This Row],[2 - Fíg C - S/sin]]-Table11[[#This Row],[10 - Fíg C - S/sin]])/(Table11[[#This Row],[2 - Fíg C - S/tan]]-Table11[[#This Row],[10 - Fíg C - S/tan]]))</f>
        <v>-1.566837727305854</v>
      </c>
      <c r="AG4" s="8">
        <f t="shared" si="0"/>
        <v>2.9140312923006784</v>
      </c>
      <c r="AH4" s="8">
        <f>-$B$26/LN((Table11[[#This Row],[2 - Gord B - S/sin]]-Table11[[#This Row],[10 - Gord B - S/sin]])/(Table11[[#This Row],[2 - Gord B - S/tan]]-Table11[[#This Row],[10 - Gord B - S/tan]]))</f>
        <v>-2.5877501097172573</v>
      </c>
      <c r="AI4" s="8">
        <f t="shared" si="1"/>
        <v>-2.5877501097172573</v>
      </c>
    </row>
    <row r="5" spans="1:35">
      <c r="A5" s="1" t="s">
        <v>4</v>
      </c>
      <c r="B5" s="2">
        <f>Table4[[#This Row],[2 - Fígado A]]/SIN(Original!$B$25*PI()/180)</f>
        <v>276.14617825339593</v>
      </c>
      <c r="C5" s="2">
        <f>Table4[[#This Row],[10 - Fígado A]]/SIN(Original!$B$26*PI()/180)</f>
        <v>244.80571973309921</v>
      </c>
      <c r="D5" s="2">
        <f>Table4[[#This Row],[2 - Fígado A]]/TAN(Original!$B$25*PI()/180)</f>
        <v>275.97795746282401</v>
      </c>
      <c r="E5" s="2">
        <f>Table4[[#This Row],[10 - Fígado A]]/TAN(Original!$B$26*PI()/180)</f>
        <v>241.08657077488976</v>
      </c>
      <c r="F5" s="2">
        <f>Table4[[#This Row],[2 - Fígado B]]/SIN(Original!$B$25*PI()/180)</f>
        <v>262.79019148686439</v>
      </c>
      <c r="G5" s="2">
        <f>Table4[[#This Row],[10 - Fígado B]]/SIN(Original!$B$26*PI()/180)</f>
        <v>224.73698434133857</v>
      </c>
      <c r="H5" s="2">
        <f>Table4[[#This Row],[2 - Fígado B]]/TAN(Original!$B$25*PI()/180)</f>
        <v>262.63010680256389</v>
      </c>
      <c r="I5" s="2">
        <f>Table4[[#This Row],[10 - Fígado B]]/TAN(Original!$B$26*PI()/180)</f>
        <v>221.32272456793339</v>
      </c>
      <c r="J5" s="2">
        <f>Table4[[#This Row],[2 - Fígado C]]/SIN(Original!$B$25*PI()/180)</f>
        <v>263.28874502038917</v>
      </c>
      <c r="K5" s="2">
        <f>Table4[[#This Row],[10 - Fígado C]]/SIN(Original!$B$26*PI()/180)</f>
        <v>252.38101513374448</v>
      </c>
      <c r="L5" s="2">
        <f>Table4[[#This Row],[2 - Fígado C]]/TAN(Original!$B$25*PI()/180)</f>
        <v>263.12835663074651</v>
      </c>
      <c r="M5" s="2">
        <f>Table4[[#This Row],[10 - Fígado C]]/TAN(Original!$B$26*PI()/180)</f>
        <v>248.54678041680296</v>
      </c>
      <c r="N5" s="2">
        <f>Table4[[#This Row],[2 - Rim ]]/SIN(Original!$B$25*PI()/180)</f>
        <v>323.58748291722526</v>
      </c>
      <c r="O5" s="2">
        <f>Table4[[#This Row],[10 - Rim]]/SIN(Original!$B$26*PI()/180)</f>
        <v>166.40527728305312</v>
      </c>
      <c r="P5" s="2">
        <f>Table4[[#This Row],[2 - Rim ]]/TAN(Original!$B$25*PI()/180)</f>
        <v>323.39036216567325</v>
      </c>
      <c r="Q5" s="2">
        <f>Table4[[#This Row],[10 - Rim]]/TAN(Original!$B$26*PI()/180)</f>
        <v>163.87720721049698</v>
      </c>
      <c r="R5" s="2">
        <f>Table4[[#This Row],[2 - Gordura A]]/SIN(Original!$B$25*PI()/180)</f>
        <v>66.228900979814838</v>
      </c>
      <c r="S5" s="2">
        <f>Table4[[#This Row],[10 - Gordura A]]/SIN(Original!$B$26*PI()/180)</f>
        <v>53.307276435408447</v>
      </c>
      <c r="T5" s="2">
        <f>Table4[[#This Row],[2 - Gordura A]]/TAN(Original!$B$25*PI()/180)</f>
        <v>66.188556122782941</v>
      </c>
      <c r="U5" s="2">
        <f>Table4[[#This Row],[10 - Gordura A]]/TAN(Original!$B$26*PI()/180)</f>
        <v>52.497419125555211</v>
      </c>
      <c r="V5" s="2">
        <f>Table4[[#This Row],[2 - Gordura B]]/SIN(Original!$B$25*PI()/180)</f>
        <v>53.135310809875222</v>
      </c>
      <c r="W5" s="2">
        <f>Table4[[#This Row],[10 - Gordura B]]/SIN(Original!$B$26*PI()/180)</f>
        <v>59.790724412236266</v>
      </c>
      <c r="X5" s="2">
        <f>Table4[[#This Row],[2 - Gordura B]]/TAN(Original!$B$25*PI()/180)</f>
        <v>53.102942214197896</v>
      </c>
      <c r="Y5" s="2">
        <f>Table4[[#This Row],[10 - Gordura B]]/TAN(Original!$B$26*PI()/180)</f>
        <v>58.882368959386561</v>
      </c>
      <c r="Z5" s="2"/>
      <c r="AA5" s="2"/>
      <c r="AC5" s="8" t="s">
        <v>4</v>
      </c>
      <c r="AD5" s="8">
        <f>-$B$26/LN((Table11[[#This Row],[2 - Fíg A - S/sin]]-Table11[[#This Row],[10 - Fíg A - S/sin]])/(Table11[[#This Row],[2 - Fíg A - S/tan]]-Table11[[#This Row],[10 - Fíg A - S/tan]]))</f>
        <v>1.5093617935882702</v>
      </c>
      <c r="AE5" s="8">
        <f>-$B$26/LN((Table11[[#This Row],[2 - Fíg B - S/sin]]-Table11[[#This Row],[10 - Fíg B - S/sin]])/(Table11[[#This Row],[2 - Fíg B - S/tan]]-Table11[[#This Row],[10 - Fíg B - S/tan]]))</f>
        <v>1.9742647959675637</v>
      </c>
      <c r="AF5" s="8">
        <f>-$B$26/LN((Table11[[#This Row],[2 - Fíg C - S/sin]]-Table11[[#This Row],[10 - Fíg C - S/sin]])/(Table11[[#This Row],[2 - Fíg C - S/tan]]-Table11[[#This Row],[10 - Fíg C - S/tan]]))</f>
        <v>0.55806815045916169</v>
      </c>
      <c r="AG5" s="8">
        <f t="shared" si="0"/>
        <v>11.004898626257287</v>
      </c>
      <c r="AH5" s="8">
        <f>-$B$26/LN((Table11[[#This Row],[2 - Gord B - S/sin]]-Table11[[#This Row],[10 - Gord B - S/sin]])/(Table11[[#This Row],[2 - Gord B - S/tan]]-Table11[[#This Row],[10 - Gord B - S/tan]]))</f>
        <v>-1.1479095621396496</v>
      </c>
      <c r="AI5" s="8">
        <f t="shared" si="1"/>
        <v>-1.1479095621396496</v>
      </c>
    </row>
    <row r="6" spans="1:35">
      <c r="A6" s="1" t="s">
        <v>5</v>
      </c>
      <c r="B6" s="2">
        <f>Table4[[#This Row],[2 - Fígado A]]/SIN(Original!$B$25*PI()/180)</f>
        <v>209.94698254866697</v>
      </c>
      <c r="C6" s="2">
        <f>Table4[[#This Row],[10 - Fígado A]]/SIN(Original!$B$26*PI()/180)</f>
        <v>203.50478633814933</v>
      </c>
      <c r="D6" s="2">
        <f>Table4[[#This Row],[2 - Fígado A]]/TAN(Original!$B$25*PI()/180)</f>
        <v>209.81908851947594</v>
      </c>
      <c r="E6" s="2">
        <f>Table4[[#This Row],[10 - Fígado A]]/TAN(Original!$B$26*PI()/180)</f>
        <v>200.41309136090231</v>
      </c>
      <c r="F6" s="2">
        <f>Table4[[#This Row],[2 - Fígado B]]/SIN(Original!$B$25*PI()/180)</f>
        <v>194.03683721266748</v>
      </c>
      <c r="G6" s="2">
        <f>Table4[[#This Row],[10 - Fígado B]]/SIN(Original!$B$26*PI()/180)</f>
        <v>206.50515415289644</v>
      </c>
      <c r="H6" s="2">
        <f>Table4[[#This Row],[2 - Fígado B]]/TAN(Original!$B$25*PI()/180)</f>
        <v>193.9186352141374</v>
      </c>
      <c r="I6" s="2">
        <f>Table4[[#This Row],[10 - Fígado B]]/TAN(Original!$B$26*PI()/180)</f>
        <v>203.36787684675355</v>
      </c>
      <c r="J6" s="2">
        <f>Table4[[#This Row],[2 - Fígado C]]/SIN(Original!$B$25*PI()/180)</f>
        <v>227.6077587630613</v>
      </c>
      <c r="K6" s="2">
        <f>Table4[[#This Row],[10 - Fígado C]]/SIN(Original!$B$26*PI()/180)</f>
        <v>261.60061797692185</v>
      </c>
      <c r="L6" s="2">
        <f>Table4[[#This Row],[2 - Fígado C]]/TAN(Original!$B$25*PI()/180)</f>
        <v>227.46910626617864</v>
      </c>
      <c r="M6" s="2">
        <f>Table4[[#This Row],[10 - Fígado C]]/TAN(Original!$B$26*PI()/180)</f>
        <v>257.62631677645743</v>
      </c>
      <c r="N6" s="2">
        <f>Table4[[#This Row],[2 - Rim ]]/SIN(Original!$B$25*PI()/180)</f>
        <v>296.08831959438618</v>
      </c>
      <c r="O6" s="2">
        <f>Table4[[#This Row],[10 - Rim]]/SIN(Original!$B$26*PI()/180)</f>
        <v>216.95804847524118</v>
      </c>
      <c r="P6" s="2">
        <f>Table4[[#This Row],[2 - Rim ]]/TAN(Original!$B$25*PI()/180)</f>
        <v>295.90795059012794</v>
      </c>
      <c r="Q6" s="2">
        <f>Table4[[#This Row],[10 - Rim]]/TAN(Original!$B$26*PI()/180)</f>
        <v>213.66196821681595</v>
      </c>
      <c r="R6" s="2">
        <f>Table4[[#This Row],[2 - Gordura A]]/SIN(Original!$B$25*PI()/180)</f>
        <v>39.208982761694649</v>
      </c>
      <c r="S6" s="2">
        <f>Table4[[#This Row],[10 - Gordura A]]/SIN(Original!$B$26*PI()/180)</f>
        <v>61.229280284012468</v>
      </c>
      <c r="T6" s="2">
        <f>Table4[[#This Row],[2 - Gordura A]]/TAN(Original!$B$25*PI()/180)</f>
        <v>39.185097708787481</v>
      </c>
      <c r="U6" s="2">
        <f>Table4[[#This Row],[10 - Gordura A]]/TAN(Original!$B$26*PI()/180)</f>
        <v>60.299069935053005</v>
      </c>
      <c r="V6" s="2">
        <f>Table4[[#This Row],[2 - Gordura B]]/SIN(Original!$B$25*PI()/180)</f>
        <v>44.048962249021365</v>
      </c>
      <c r="W6" s="2">
        <f>Table4[[#This Row],[10 - Gordura B]]/SIN(Original!$B$26*PI()/180)</f>
        <v>55.397920256963658</v>
      </c>
      <c r="X6" s="2">
        <f>Table4[[#This Row],[2 - Gordura B]]/TAN(Original!$B$25*PI()/180)</f>
        <v>44.02212881138238</v>
      </c>
      <c r="Y6" s="2">
        <f>Table4[[#This Row],[10 - Gordura B]]/TAN(Original!$B$26*PI()/180)</f>
        <v>54.556301369809859</v>
      </c>
      <c r="Z6" s="2"/>
      <c r="AA6" s="2"/>
      <c r="AC6" s="8" t="s">
        <v>5</v>
      </c>
      <c r="AD6" s="8">
        <f>-$B$26/LN((Table11[[#This Row],[2 - Fíg A - S/sin]]-Table11[[#This Row],[10 - Fíg A - S/sin]])/(Table11[[#This Row],[2 - Fíg A - S/tan]]-Table11[[#This Row],[10 - Fíg A - S/tan]]))</f>
        <v>0.42803019347509341</v>
      </c>
      <c r="AE6" s="8">
        <f>-$B$26/LN((Table11[[#This Row],[2 - Fíg B - S/sin]]-Table11[[#This Row],[10 - Fíg B - S/sin]])/(Table11[[#This Row],[2 - Fíg B - S/tan]]-Table11[[#This Row],[10 - Fíg B - S/tan]]))</f>
        <v>-0.58429692469699779</v>
      </c>
      <c r="AF6" s="8">
        <f>-$B$26/LN((Table11[[#This Row],[2 - Fíg C - S/sin]]-Table11[[#This Row],[10 - Fíg C - S/sin]])/(Table11[[#This Row],[2 - Fíg C - S/tan]]-Table11[[#This Row],[10 - Fíg C - S/tan]]))</f>
        <v>-1.3530846915963903</v>
      </c>
      <c r="AG6" s="8">
        <f t="shared" si="0"/>
        <v>4.1948213774732137</v>
      </c>
      <c r="AH6" s="8">
        <f>-$B$26/LN((Table11[[#This Row],[2 - Gord B - S/sin]]-Table11[[#This Row],[10 - Gord B - S/sin]])/(Table11[[#This Row],[2 - Gord B - S/tan]]-Table11[[#This Row],[10 - Gord B - S/tan]]))</f>
        <v>-2.1744548414677554</v>
      </c>
      <c r="AI6" s="8">
        <f t="shared" si="1"/>
        <v>-2.1744548414677554</v>
      </c>
    </row>
    <row r="7" spans="1:35">
      <c r="A7" s="1" t="s">
        <v>6</v>
      </c>
      <c r="B7" s="2">
        <f>Table4[[#This Row],[2 - Fígado A]]/SIN(Original!$B$25*PI()/180)</f>
        <v>584.63897850919625</v>
      </c>
      <c r="C7" s="2">
        <f>Table4[[#This Row],[10 - Fígado A]]/SIN(Original!$B$26*PI()/180)</f>
        <v>389.06200307892738</v>
      </c>
      <c r="D7" s="2">
        <f>Table4[[#This Row],[2 - Fígado A]]/TAN(Original!$B$25*PI()/180)</f>
        <v>584.28283223990491</v>
      </c>
      <c r="E7" s="2">
        <f>Table4[[#This Row],[10 - Fígado A]]/TAN(Original!$B$26*PI()/180)</f>
        <v>383.15127703458722</v>
      </c>
      <c r="F7" s="2">
        <f>Table4[[#This Row],[2 - Fígado B]]/SIN(Original!$B$25*PI()/180)</f>
        <v>576.49194631598129</v>
      </c>
      <c r="G7" s="2">
        <f>Table4[[#This Row],[10 - Fígado B]]/SIN(Original!$B$26*PI()/180)</f>
        <v>437.13579446240527</v>
      </c>
      <c r="H7" s="2">
        <f>Table4[[#This Row],[2 - Fígado B]]/TAN(Original!$B$25*PI()/180)</f>
        <v>576.14076299857663</v>
      </c>
      <c r="I7" s="2">
        <f>Table4[[#This Row],[10 - Fígado B]]/TAN(Original!$B$26*PI()/180)</f>
        <v>430.49471950572769</v>
      </c>
      <c r="J7" s="2">
        <f>Table4[[#This Row],[2 - Fígado C]]/SIN(Original!$B$25*PI()/180)</f>
        <v>567.23214875003453</v>
      </c>
      <c r="K7" s="2">
        <f>Table4[[#This Row],[10 - Fígado C]]/SIN(Original!$B$26*PI()/180)</f>
        <v>438.72808123193801</v>
      </c>
      <c r="L7" s="2">
        <f>Table4[[#This Row],[2 - Fígado C]]/TAN(Original!$B$25*PI()/180)</f>
        <v>566.88660625111561</v>
      </c>
      <c r="M7" s="2">
        <f>Table4[[#This Row],[10 - Fígado C]]/TAN(Original!$B$26*PI()/180)</f>
        <v>432.06281586138232</v>
      </c>
      <c r="N7" s="2">
        <f>Table4[[#This Row],[2 - Rim ]]/SIN(Original!$B$25*PI()/180)</f>
        <v>698.77691245511517</v>
      </c>
      <c r="O7" s="2">
        <f>Table4[[#This Row],[10 - Rim]]/SIN(Original!$B$26*PI()/180)</f>
        <v>302.25583602656417</v>
      </c>
      <c r="P7" s="2">
        <f>Table4[[#This Row],[2 - Rim ]]/TAN(Original!$B$25*PI()/180)</f>
        <v>698.35123644036776</v>
      </c>
      <c r="Q7" s="2">
        <f>Table4[[#This Row],[10 - Rim]]/TAN(Original!$B$26*PI()/180)</f>
        <v>297.66389071214701</v>
      </c>
      <c r="R7" s="2">
        <f>Table4[[#This Row],[2 - Gordura A]]/SIN(Original!$B$25*PI()/180)</f>
        <v>138.26109756192602</v>
      </c>
      <c r="S7" s="2">
        <f>Table4[[#This Row],[10 - Gordura A]]/SIN(Original!$B$26*PI()/180)</f>
        <v>97.925636326267323</v>
      </c>
      <c r="T7" s="2">
        <f>Table4[[#This Row],[2 - Gordura A]]/TAN(Original!$B$25*PI()/180)</f>
        <v>138.17687263698113</v>
      </c>
      <c r="U7" s="2">
        <f>Table4[[#This Row],[10 - Gordura A]]/TAN(Original!$B$26*PI()/180)</f>
        <v>96.437925872761966</v>
      </c>
      <c r="V7" s="2">
        <f>Table4[[#This Row],[2 - Gordura B]]/SIN(Original!$B$25*PI()/180)</f>
        <v>131.3857972232617</v>
      </c>
      <c r="W7" s="2">
        <f>Table4[[#This Row],[10 - Gordura B]]/SIN(Original!$B$26*PI()/180)</f>
        <v>106.2453346970762</v>
      </c>
      <c r="X7" s="2">
        <f>Table4[[#This Row],[2 - Gordura B]]/TAN(Original!$B$25*PI()/180)</f>
        <v>131.30576054551872</v>
      </c>
      <c r="Y7" s="2">
        <f>Table4[[#This Row],[10 - Gordura B]]/TAN(Original!$B$26*PI()/180)</f>
        <v>104.6312293310576</v>
      </c>
      <c r="Z7" s="2"/>
      <c r="AA7" s="2"/>
      <c r="AC7" s="8" t="s">
        <v>6</v>
      </c>
      <c r="AD7" s="8">
        <f>-$B$26/LN((Table11[[#This Row],[2 - Fíg A - S/sin]]-Table11[[#This Row],[10 - Fíg A - S/sin]])/(Table11[[#This Row],[2 - Fíg A - S/tan]]-Table11[[#This Row],[10 - Fíg A - S/tan]]))</f>
        <v>5.7846483968471736</v>
      </c>
      <c r="AE7" s="8">
        <f>-$B$26/LN((Table11[[#This Row],[2 - Fíg B - S/sin]]-Table11[[#This Row],[10 - Fíg B - S/sin]])/(Table11[[#This Row],[2 - Fíg B - S/tan]]-Table11[[#This Row],[10 - Fíg B - S/tan]]))</f>
        <v>3.6696068294924262</v>
      </c>
      <c r="AF7" s="8">
        <f>-$B$26/LN((Table11[[#This Row],[2 - Fíg C - S/sin]]-Table11[[#This Row],[10 - Fíg C - S/sin]])/(Table11[[#This Row],[2 - Fíg C - S/tan]]-Table11[[#This Row],[10 - Fíg C - S/tan]]))</f>
        <v>3.3744297350569399</v>
      </c>
      <c r="AG7" s="8">
        <f t="shared" si="0"/>
        <v>15.499068751606719</v>
      </c>
      <c r="AH7" s="8">
        <f>-$B$26/LN((Table11[[#This Row],[2 - Gord B - S/sin]]-Table11[[#This Row],[10 - Gord B - S/sin]])/(Table11[[#This Row],[2 - Gord B - S/tan]]-Table11[[#This Row],[10 - Gord B - S/tan]]))</f>
        <v>2.7350717310779151</v>
      </c>
      <c r="AI7" s="8">
        <f t="shared" si="1"/>
        <v>2.7350717310779151</v>
      </c>
    </row>
    <row r="8" spans="1:35">
      <c r="A8" s="1" t="s">
        <v>7</v>
      </c>
      <c r="B8" s="2">
        <f>Table4[[#This Row],[2 - Fígado A]]/SIN(Original!$B$25*PI()/180)</f>
        <v>364.21323476987851</v>
      </c>
      <c r="C8" s="2">
        <f>Table4[[#This Row],[10 - Fígado A]]/SIN(Original!$B$26*PI()/180)</f>
        <v>200.66560939176674</v>
      </c>
      <c r="D8" s="2">
        <f>Table4[[#This Row],[2 - Fígado A]]/TAN(Original!$B$25*PI()/180)</f>
        <v>363.99136590796894</v>
      </c>
      <c r="E8" s="2">
        <f>Table4[[#This Row],[10 - Fígado A]]/TAN(Original!$B$26*PI()/180)</f>
        <v>197.61704789193121</v>
      </c>
      <c r="F8" s="2">
        <f>Table4[[#This Row],[2 - Fígado B]]/SIN(Original!$B$25*PI()/180)</f>
        <v>364.75591864010278</v>
      </c>
      <c r="G8" s="2">
        <f>Table4[[#This Row],[10 - Fígado B]]/SIN(Original!$B$26*PI()/180)</f>
        <v>184.5210215329362</v>
      </c>
      <c r="H8" s="2">
        <f>Table4[[#This Row],[2 - Fígado B]]/TAN(Original!$B$25*PI()/180)</f>
        <v>364.53371918984232</v>
      </c>
      <c r="I8" s="2">
        <f>Table4[[#This Row],[10 - Fígado B]]/TAN(Original!$B$26*PI()/180)</f>
        <v>181.71773259936816</v>
      </c>
      <c r="J8" s="2">
        <f>Table4[[#This Row],[2 - Fígado C]]/SIN(Original!$B$25*PI()/180)</f>
        <v>358.46078574550074</v>
      </c>
      <c r="K8" s="2">
        <f>Table4[[#This Row],[10 - Fígado C]]/SIN(Original!$B$26*PI()/180)</f>
        <v>173.24384663898883</v>
      </c>
      <c r="L8" s="2">
        <f>Table4[[#This Row],[2 - Fígado C]]/TAN(Original!$B$25*PI()/180)</f>
        <v>358.24242112011086</v>
      </c>
      <c r="M8" s="2">
        <f>Table4[[#This Row],[10 - Fígado C]]/TAN(Original!$B$26*PI()/180)</f>
        <v>170.61188333173413</v>
      </c>
      <c r="N8" s="2">
        <f>Table4[[#This Row],[2 - Rim ]]/SIN(Original!$B$25*PI()/180)</f>
        <v>469.168295271261</v>
      </c>
      <c r="O8" s="2">
        <f>Table4[[#This Row],[10 - Rim]]/SIN(Original!$B$26*PI()/180)</f>
        <v>179.87394413436462</v>
      </c>
      <c r="P8" s="2">
        <f>Table4[[#This Row],[2 - Rim ]]/TAN(Original!$B$25*PI()/180)</f>
        <v>468.88249062228476</v>
      </c>
      <c r="Q8" s="2">
        <f>Table4[[#This Row],[10 - Rim]]/TAN(Original!$B$26*PI()/180)</f>
        <v>177.14125474840705</v>
      </c>
      <c r="R8" s="2">
        <f>Table4[[#This Row],[2 - Gordura A]]/SIN(Original!$B$25*PI()/180)</f>
        <v>80.896075588104523</v>
      </c>
      <c r="S8" s="2">
        <f>Table4[[#This Row],[10 - Gordura A]]/SIN(Original!$B$26*PI()/180)</f>
        <v>54.563098421159161</v>
      </c>
      <c r="T8" s="2">
        <f>Table4[[#This Row],[2 - Gordura A]]/TAN(Original!$B$25*PI()/180)</f>
        <v>80.846795884595053</v>
      </c>
      <c r="U8" s="2">
        <f>Table4[[#This Row],[10 - Gordura A]]/TAN(Original!$B$26*PI()/180)</f>
        <v>53.734162353525704</v>
      </c>
      <c r="V8" s="2">
        <f>Table4[[#This Row],[2 - Gordura B]]/SIN(Original!$B$25*PI()/180)</f>
        <v>79.702171073611041</v>
      </c>
      <c r="W8" s="2">
        <f>Table4[[#This Row],[10 - Gordura B]]/SIN(Original!$B$26*PI()/180)</f>
        <v>56.205599915481869</v>
      </c>
      <c r="X8" s="2">
        <f>Table4[[#This Row],[2 - Gordura B]]/TAN(Original!$B$25*PI()/180)</f>
        <v>79.653618664473584</v>
      </c>
      <c r="Y8" s="2">
        <f>Table4[[#This Row],[10 - Gordura B]]/TAN(Original!$B$26*PI()/180)</f>
        <v>55.351710559468842</v>
      </c>
      <c r="Z8" s="2"/>
      <c r="AA8" s="2"/>
      <c r="AC8" s="8" t="s">
        <v>7</v>
      </c>
      <c r="AD8" s="8">
        <f>-$B$26/LN((Table11[[#This Row],[2 - Fíg A - S/sin]]-Table11[[#This Row],[10 - Fíg A - S/sin]])/(Table11[[#This Row],[2 - Fíg A - S/tan]]-Table11[[#This Row],[10 - Fíg A - S/tan]]))</f>
        <v>9.4538129635988248</v>
      </c>
      <c r="AE8" s="8">
        <f>-$B$26/LN((Table11[[#This Row],[2 - Fíg B - S/sin]]-Table11[[#This Row],[10 - Fíg B - S/sin]])/(Table11[[#This Row],[2 - Fíg B - S/tan]]-Table11[[#This Row],[10 - Fíg B - S/tan]]))</f>
        <v>11.393106015926081</v>
      </c>
      <c r="AF8" s="8">
        <f>-$B$26/LN((Table11[[#This Row],[2 - Fíg C - S/sin]]-Table11[[#This Row],[10 - Fíg C - S/sin]])/(Table11[[#This Row],[2 - Fíg C - S/tan]]-Table11[[#This Row],[10 - Fíg C - S/tan]]))</f>
        <v>12.5125291110735</v>
      </c>
      <c r="AG8" s="8">
        <f t="shared" si="0"/>
        <v>19.234091257115711</v>
      </c>
      <c r="AH8" s="8">
        <f>-$B$26/LN((Table11[[#This Row],[2 - Gord B - S/sin]]-Table11[[#This Row],[10 - Gord B - S/sin]])/(Table11[[#This Row],[2 - Gord B - S/tan]]-Table11[[#This Row],[10 - Gord B - S/tan]]))</f>
        <v>4.8070692028050708</v>
      </c>
      <c r="AI8" s="8">
        <f t="shared" si="1"/>
        <v>4.8070692028050708</v>
      </c>
    </row>
    <row r="9" spans="1:35">
      <c r="A9" s="1" t="s">
        <v>8</v>
      </c>
      <c r="B9" s="2">
        <f>Table4[[#This Row],[2 - Fígado A]]/SIN(Original!$B$25*PI()/180)</f>
        <v>309.75393434489632</v>
      </c>
      <c r="C9" s="2">
        <f>Table4[[#This Row],[10 - Fígado A]]/SIN(Original!$B$26*PI()/180)</f>
        <v>270.1639689838571</v>
      </c>
      <c r="D9" s="2">
        <f>Table4[[#This Row],[2 - Fígado A]]/TAN(Original!$B$25*PI()/180)</f>
        <v>309.56524061736462</v>
      </c>
      <c r="E9" s="2">
        <f>Table4[[#This Row],[10 - Fígado A]]/TAN(Original!$B$26*PI()/180)</f>
        <v>266.05957123985212</v>
      </c>
      <c r="F9" s="2">
        <f>Table4[[#This Row],[2 - Fígado B]]/SIN(Original!$B$25*PI()/180)</f>
        <v>293.44336190073903</v>
      </c>
      <c r="G9" s="2">
        <f>Table4[[#This Row],[10 - Fígado B]]/SIN(Original!$B$26*PI()/180)</f>
        <v>277.10461992833001</v>
      </c>
      <c r="H9" s="2">
        <f>Table4[[#This Row],[2 - Fígado B]]/TAN(Original!$B$25*PI()/180)</f>
        <v>293.26460413324338</v>
      </c>
      <c r="I9" s="2">
        <f>Table4[[#This Row],[10 - Fígado B]]/TAN(Original!$B$26*PI()/180)</f>
        <v>272.89477810092058</v>
      </c>
      <c r="J9" s="2">
        <f>Table4[[#This Row],[2 - Fígado C]]/SIN(Original!$B$25*PI()/180)</f>
        <v>313.89770139827681</v>
      </c>
      <c r="K9" s="2">
        <f>Table4[[#This Row],[10 - Fígado C]]/SIN(Original!$B$26*PI()/180)</f>
        <v>312.68849146501839</v>
      </c>
      <c r="L9" s="2">
        <f>Table4[[#This Row],[2 - Fígado C]]/TAN(Original!$B$25*PI()/180)</f>
        <v>313.70648339981699</v>
      </c>
      <c r="M9" s="2">
        <f>Table4[[#This Row],[10 - Fígado C]]/TAN(Original!$B$26*PI()/180)</f>
        <v>307.9380506724417</v>
      </c>
      <c r="N9" s="2">
        <f>Table4[[#This Row],[2 - Rim ]]/SIN(Original!$B$25*PI()/180)</f>
        <v>444.79371881499105</v>
      </c>
      <c r="O9" s="2">
        <f>Table4[[#This Row],[10 - Rim]]/SIN(Original!$B$26*PI()/180)</f>
        <v>230.97652074644913</v>
      </c>
      <c r="P9" s="2">
        <f>Table4[[#This Row],[2 - Rim ]]/TAN(Original!$B$25*PI()/180)</f>
        <v>444.52276249941298</v>
      </c>
      <c r="Q9" s="2">
        <f>Table4[[#This Row],[10 - Rim]]/TAN(Original!$B$26*PI()/180)</f>
        <v>227.46746839488821</v>
      </c>
      <c r="R9" s="2">
        <f>Table4[[#This Row],[2 - Gordura A]]/SIN(Original!$B$25*PI()/180)</f>
        <v>75.46945952539788</v>
      </c>
      <c r="S9" s="2">
        <f>Table4[[#This Row],[10 - Gordura A]]/SIN(Original!$B$26*PI()/180)</f>
        <v>62.199356043289797</v>
      </c>
      <c r="T9" s="2">
        <f>Table4[[#This Row],[2 - Gordura A]]/TAN(Original!$B$25*PI()/180)</f>
        <v>75.423485569771557</v>
      </c>
      <c r="U9" s="2">
        <f>Table4[[#This Row],[10 - Gordura A]]/TAN(Original!$B$26*PI()/180)</f>
        <v>61.254408063798522</v>
      </c>
      <c r="V9" s="2">
        <f>Table4[[#This Row],[2 - Gordura B]]/SIN(Original!$B$25*PI()/180)</f>
        <v>65.271678195447322</v>
      </c>
      <c r="W9" s="2">
        <f>Table4[[#This Row],[10 - Gordura B]]/SIN(Original!$B$26*PI()/180)</f>
        <v>73.369285109186109</v>
      </c>
      <c r="X9" s="2">
        <f>Table4[[#This Row],[2 - Gordura B]]/TAN(Original!$B$25*PI()/180)</f>
        <v>65.231916452672365</v>
      </c>
      <c r="Y9" s="2">
        <f>Table4[[#This Row],[10 - Gordura B]]/TAN(Original!$B$26*PI()/180)</f>
        <v>72.254640808489611</v>
      </c>
      <c r="Z9" s="2"/>
      <c r="AA9" s="2"/>
      <c r="AC9" s="8" t="s">
        <v>8</v>
      </c>
      <c r="AD9" s="8">
        <f>-$B$26/LN((Table11[[#This Row],[2 - Fíg A - S/sin]]-Table11[[#This Row],[10 - Fíg A - S/sin]])/(Table11[[#This Row],[2 - Fíg A - S/tan]]-Table11[[#This Row],[10 - Fíg A - S/tan]]))</f>
        <v>1.7176378536963004</v>
      </c>
      <c r="AE9" s="8">
        <f>-$B$26/LN((Table11[[#This Row],[2 - Fíg B - S/sin]]-Table11[[#This Row],[10 - Fíg B - S/sin]])/(Table11[[#This Row],[2 - Fíg B - S/tan]]-Table11[[#This Row],[10 - Fíg B - S/tan]]))</f>
        <v>0.73464192280713247</v>
      </c>
      <c r="AF9" s="8">
        <f>-$B$26/LN((Table11[[#This Row],[2 - Fíg C - S/sin]]-Table11[[#This Row],[10 - Fíg C - S/sin]])/(Table11[[#This Row],[2 - Fíg C - S/tan]]-Table11[[#This Row],[10 - Fíg C - S/tan]]))</f>
        <v>0.10368443134806898</v>
      </c>
      <c r="AG9" s="8">
        <f t="shared" si="0"/>
        <v>10.777943095051519</v>
      </c>
      <c r="AH9" s="8">
        <f>-$B$26/LN((Table11[[#This Row],[2 - Gord B - S/sin]]-Table11[[#This Row],[10 - Gord B - S/sin]])/(Table11[[#This Row],[2 - Gord B - S/tan]]-Table11[[#This Row],[10 - Gord B - S/tan]]))</f>
        <v>-1.1375018750953521</v>
      </c>
      <c r="AI9" s="8">
        <f t="shared" si="1"/>
        <v>-1.1375018750953521</v>
      </c>
    </row>
    <row r="10" spans="1:35">
      <c r="A10" s="1" t="s">
        <v>9</v>
      </c>
      <c r="B10" s="2">
        <f>Table4[[#This Row],[2 - Fígado A]]/SIN(Original!$B$25*PI()/180)</f>
        <v>506.51603183425158</v>
      </c>
      <c r="C10" s="2">
        <f>Table4[[#This Row],[10 - Fígado A]]/SIN(Original!$B$26*PI()/180)</f>
        <v>459.35844017418907</v>
      </c>
      <c r="D10" s="2">
        <f>Table4[[#This Row],[2 - Fígado A]]/TAN(Original!$B$25*PI()/180)</f>
        <v>506.20747595326327</v>
      </c>
      <c r="E10" s="2">
        <f>Table4[[#This Row],[10 - Fígado A]]/TAN(Original!$B$26*PI()/180)</f>
        <v>452.37975329513591</v>
      </c>
      <c r="F10" s="2">
        <f>Table4[[#This Row],[2 - Fígado B]]/SIN(Original!$B$25*PI()/180)</f>
        <v>589.65490379837843</v>
      </c>
      <c r="G10" s="2">
        <f>Table4[[#This Row],[10 - Fígado B]]/SIN(Original!$B$26*PI()/180)</f>
        <v>496.22692251667439</v>
      </c>
      <c r="H10" s="2">
        <f>Table4[[#This Row],[2 - Fígado B]]/TAN(Original!$B$25*PI()/180)</f>
        <v>589.29570196292673</v>
      </c>
      <c r="I10" s="2">
        <f>Table4[[#This Row],[10 - Fígado B]]/TAN(Original!$B$26*PI()/180)</f>
        <v>488.68812054780915</v>
      </c>
      <c r="J10" s="2">
        <f>Table4[[#This Row],[2 - Fígado C]]/SIN(Original!$B$25*PI()/180)</f>
        <v>644.84563068451257</v>
      </c>
      <c r="K10" s="2">
        <f>Table4[[#This Row],[10 - Fígado C]]/SIN(Original!$B$26*PI()/180)</f>
        <v>515.20153089142912</v>
      </c>
      <c r="L10" s="2">
        <f>Table4[[#This Row],[2 - Fígado C]]/TAN(Original!$B$25*PI()/180)</f>
        <v>644.45280814944533</v>
      </c>
      <c r="M10" s="2">
        <f>Table4[[#This Row],[10 - Fígado C]]/TAN(Original!$B$26*PI()/180)</f>
        <v>507.37446198563794</v>
      </c>
      <c r="N10" s="2">
        <f>Table4[[#This Row],[2 - Rim ]]/SIN(Original!$B$25*PI()/180)</f>
        <v>712.14852703642487</v>
      </c>
      <c r="O10" s="2">
        <f>Table4[[#This Row],[10 - Rim]]/SIN(Original!$B$26*PI()/180)</f>
        <v>350.76007133120703</v>
      </c>
      <c r="P10" s="2">
        <f>Table4[[#This Row],[2 - Rim ]]/TAN(Original!$B$25*PI()/180)</f>
        <v>711.71470539536347</v>
      </c>
      <c r="Q10" s="2">
        <f>Table4[[#This Row],[10 - Rim]]/TAN(Original!$B$26*PI()/180)</f>
        <v>345.43123769408777</v>
      </c>
      <c r="R10" s="2">
        <f>Table4[[#This Row],[2 - Gordura A]]/SIN(Original!$B$25*PI()/180)</f>
        <v>118.69142117273751</v>
      </c>
      <c r="S10" s="2">
        <f>Table4[[#This Row],[10 - Gordura A]]/SIN(Original!$B$26*PI()/180)</f>
        <v>120.59452076095154</v>
      </c>
      <c r="T10" s="2">
        <f>Table4[[#This Row],[2 - Gordura A]]/TAN(Original!$B$25*PI()/180)</f>
        <v>118.61911756589393</v>
      </c>
      <c r="U10" s="2">
        <f>Table4[[#This Row],[10 - Gordura A]]/TAN(Original!$B$26*PI()/180)</f>
        <v>118.76241901617675</v>
      </c>
      <c r="V10" s="2">
        <f>Table4[[#This Row],[2 - Gordura B]]/SIN(Original!$B$25*PI()/180)</f>
        <v>129.19647430163235</v>
      </c>
      <c r="W10" s="2">
        <f>Table4[[#This Row],[10 - Gordura B]]/SIN(Original!$B$26*PI()/180)</f>
        <v>129.0088100727834</v>
      </c>
      <c r="X10" s="2">
        <f>Table4[[#This Row],[2 - Gordura B]]/TAN(Original!$B$25*PI()/180)</f>
        <v>129.1177713002597</v>
      </c>
      <c r="Y10" s="2">
        <f>Table4[[#This Row],[10 - Gordura B]]/TAN(Original!$B$26*PI()/180)</f>
        <v>127.04887636655653</v>
      </c>
      <c r="Z10" s="2"/>
      <c r="AA10" s="2"/>
      <c r="AC10" s="8" t="s">
        <v>9</v>
      </c>
      <c r="AD10" s="8">
        <f>-$B$26/LN((Table11[[#This Row],[2 - Fíg A - S/sin]]-Table11[[#This Row],[10 - Fíg A - S/sin]])/(Table11[[#This Row],[2 - Fíg A - S/tan]]-Table11[[#This Row],[10 - Fíg A - S/tan]]))</f>
        <v>1.2245488615868163</v>
      </c>
      <c r="AE10" s="8">
        <f>-$B$26/LN((Table11[[#This Row],[2 - Fíg B - S/sin]]-Table11[[#This Row],[10 - Fíg B - S/sin]])/(Table11[[#This Row],[2 - Fíg B - S/tan]]-Table11[[#This Row],[10 - Fíg B - S/tan]]))</f>
        <v>2.1881030922814175</v>
      </c>
      <c r="AF10" s="8">
        <f>-$B$26/LN((Table11[[#This Row],[2 - Fíg C - S/sin]]-Table11[[#This Row],[10 - Fíg C - S/sin]])/(Table11[[#This Row],[2 - Fíg C - S/tan]]-Table11[[#This Row],[10 - Fíg C - S/tan]]))</f>
        <v>2.9053277453072273</v>
      </c>
      <c r="AG10" s="8">
        <f t="shared" si="0"/>
        <v>12.040938155668762</v>
      </c>
      <c r="AH10" s="8">
        <f>-$B$26/LN((Table11[[#This Row],[2 - Gord B - S/sin]]-Table11[[#This Row],[10 - Gord B - S/sin]])/(Table11[[#This Row],[2 - Gord B - S/tan]]-Table11[[#This Row],[10 - Gord B - S/tan]]))</f>
        <v>6.7496750424648755E-2</v>
      </c>
      <c r="AI10" s="8">
        <f t="shared" si="1"/>
        <v>6.7496750424648755E-2</v>
      </c>
    </row>
    <row r="11" spans="1:35">
      <c r="A11" s="1" t="s">
        <v>10</v>
      </c>
      <c r="B11" s="2">
        <f>Table4[[#This Row],[2 - Fígado A]]/SIN(Original!$B$25*PI()/180)</f>
        <v>368.60696417843536</v>
      </c>
      <c r="C11" s="2">
        <f>Table4[[#This Row],[10 - Fígado A]]/SIN(Original!$B$26*PI()/180)</f>
        <v>264.8928950259201</v>
      </c>
      <c r="D11" s="2">
        <f>Table4[[#This Row],[2 - Fígado A]]/TAN(Original!$B$25*PI()/180)</f>
        <v>368.38241877528469</v>
      </c>
      <c r="E11" s="2">
        <f>Table4[[#This Row],[10 - Fígado A]]/TAN(Original!$B$26*PI()/180)</f>
        <v>260.86857673937504</v>
      </c>
      <c r="F11" s="2">
        <f>Table4[[#This Row],[2 - Fígado B]]/SIN(Original!$B$25*PI()/180)</f>
        <v>363.91174373086494</v>
      </c>
      <c r="G11" s="2">
        <f>Table4[[#This Row],[10 - Fígado B]]/SIN(Original!$B$26*PI()/180)</f>
        <v>283.19228474799741</v>
      </c>
      <c r="H11" s="2">
        <f>Table4[[#This Row],[2 - Fígado B]]/TAN(Original!$B$25*PI()/180)</f>
        <v>363.69005852915035</v>
      </c>
      <c r="I11" s="2">
        <f>Table4[[#This Row],[10 - Fígado B]]/TAN(Original!$B$26*PI()/180)</f>
        <v>278.8899576130687</v>
      </c>
      <c r="J11" s="2">
        <f>Table4[[#This Row],[2 - Fígado C]]/SIN(Original!$B$25*PI()/180)</f>
        <v>365.74480924806716</v>
      </c>
      <c r="K11" s="2">
        <f>Table4[[#This Row],[10 - Fígado C]]/SIN(Original!$B$26*PI()/180)</f>
        <v>295.37429923157049</v>
      </c>
      <c r="L11" s="2">
        <f>Table4[[#This Row],[2 - Fígado C]]/TAN(Original!$B$25*PI()/180)</f>
        <v>365.52200739236719</v>
      </c>
      <c r="M11" s="2">
        <f>Table4[[#This Row],[10 - Fígado C]]/TAN(Original!$B$26*PI()/180)</f>
        <v>290.88689992379847</v>
      </c>
      <c r="N11" s="2">
        <f>Table4[[#This Row],[2 - Rim ]]/SIN(Original!$B$25*PI()/180)</f>
        <v>436.07663882913829</v>
      </c>
      <c r="O11" s="2">
        <f>Table4[[#This Row],[10 - Rim]]/SIN(Original!$B$26*PI()/180)</f>
        <v>215.23668360716511</v>
      </c>
      <c r="P11" s="2">
        <f>Table4[[#This Row],[2 - Rim ]]/TAN(Original!$B$25*PI()/180)</f>
        <v>435.81099272315998</v>
      </c>
      <c r="Q11" s="2">
        <f>Table4[[#This Row],[10 - Rim]]/TAN(Original!$B$26*PI()/180)</f>
        <v>211.96675474897179</v>
      </c>
      <c r="R11" s="2">
        <f>Table4[[#This Row],[2 - Gordura A]]/SIN(Original!$B$25*PI()/180)</f>
        <v>74.158755836282666</v>
      </c>
      <c r="S11" s="2">
        <f>Table4[[#This Row],[10 - Gordura A]]/SIN(Original!$B$26*PI()/180)</f>
        <v>59.06431264762702</v>
      </c>
      <c r="T11" s="2">
        <f>Table4[[#This Row],[2 - Gordura A]]/TAN(Original!$B$25*PI()/180)</f>
        <v>74.113580325929718</v>
      </c>
      <c r="U11" s="2">
        <f>Table4[[#This Row],[10 - Gordura A]]/TAN(Original!$B$26*PI()/180)</f>
        <v>58.166993021720103</v>
      </c>
      <c r="V11" s="2">
        <f>Table4[[#This Row],[2 - Gordura B]]/SIN(Original!$B$25*PI()/180)</f>
        <v>61.648887657482177</v>
      </c>
      <c r="W11" s="2">
        <f>Table4[[#This Row],[10 - Gordura B]]/SIN(Original!$B$26*PI()/180)</f>
        <v>56.859948122028072</v>
      </c>
      <c r="X11" s="2">
        <f>Table4[[#This Row],[2 - Gordura B]]/TAN(Original!$B$25*PI()/180)</f>
        <v>61.611332820818433</v>
      </c>
      <c r="Y11" s="2">
        <f>Table4[[#This Row],[10 - Gordura B]]/TAN(Original!$B$26*PI()/180)</f>
        <v>55.996117746445179</v>
      </c>
      <c r="Z11" s="2"/>
      <c r="AA11" s="2"/>
      <c r="AC11" s="8" t="s">
        <v>10</v>
      </c>
      <c r="AD11" s="8">
        <f>-$B$26/LN((Table11[[#This Row],[2 - Fíg A - S/sin]]-Table11[[#This Row],[10 - Fíg A - S/sin]])/(Table11[[#This Row],[2 - Fíg A - S/tan]]-Table11[[#This Row],[10 - Fíg A - S/tan]]))</f>
        <v>4.5022730604685153</v>
      </c>
      <c r="AE11" s="8">
        <f>-$B$26/LN((Table11[[#This Row],[2 - Fíg B - S/sin]]-Table11[[#This Row],[10 - Fíg B - S/sin]])/(Table11[[#This Row],[2 - Fíg B - S/tan]]-Table11[[#This Row],[10 - Fíg B - S/tan]]))</f>
        <v>3.2848673983928194</v>
      </c>
      <c r="AF11" s="8">
        <f>-$B$26/LN((Table11[[#This Row],[2 - Fíg C - S/sin]]-Table11[[#This Row],[10 - Fíg C - S/sin]])/(Table11[[#This Row],[2 - Fíg C - S/tan]]-Table11[[#This Row],[10 - Fíg C - S/tan]]))</f>
        <v>2.7533824685757979</v>
      </c>
      <c r="AG11" s="8">
        <f t="shared" si="0"/>
        <v>11.989174986643389</v>
      </c>
      <c r="AH11" s="8">
        <f>-$B$26/LN((Table11[[#This Row],[2 - Gord B - S/sin]]-Table11[[#This Row],[10 - Gord B - S/sin]])/(Table11[[#This Row],[2 - Gord B - S/tan]]-Table11[[#This Row],[10 - Gord B - S/tan]]))</f>
        <v>1.0177740067532224</v>
      </c>
      <c r="AI11" s="8">
        <f t="shared" si="1"/>
        <v>1.0177740067532224</v>
      </c>
    </row>
    <row r="12" spans="1:35">
      <c r="A12" s="1" t="s">
        <v>11</v>
      </c>
      <c r="B12" s="2">
        <f>Table4[[#This Row],[2 - Fígado A]]/SIN(Original!$B$25*PI()/180)</f>
        <v>429.77434387666619</v>
      </c>
      <c r="C12" s="2">
        <f>Table4[[#This Row],[10 - Fígado A]]/SIN(Original!$B$26*PI()/180)</f>
        <v>606.16554345089742</v>
      </c>
      <c r="D12" s="2">
        <f>Table4[[#This Row],[2 - Fígado A]]/TAN(Original!$B$25*PI()/180)</f>
        <v>429.51253695849061</v>
      </c>
      <c r="E12" s="2">
        <f>Table4[[#This Row],[10 - Fígado A]]/TAN(Original!$B$26*PI()/180)</f>
        <v>596.9565267993022</v>
      </c>
      <c r="F12" s="2">
        <f>Table4[[#This Row],[2 - Fígado B]]/SIN(Original!$B$25*PI()/180)</f>
        <v>374.93815311927517</v>
      </c>
      <c r="G12" s="2">
        <f>Table4[[#This Row],[10 - Fígado B]]/SIN(Original!$B$26*PI()/180)</f>
        <v>588.42765116121461</v>
      </c>
      <c r="H12" s="2">
        <f>Table4[[#This Row],[2 - Fígado B]]/TAN(Original!$B$25*PI()/180)</f>
        <v>374.70975092688474</v>
      </c>
      <c r="I12" s="2">
        <f>Table4[[#This Row],[10 - Fígado B]]/TAN(Original!$B$26*PI()/180)</f>
        <v>579.48811295032704</v>
      </c>
      <c r="J12" s="2">
        <f>Table4[[#This Row],[2 - Fígado C]]/SIN(Original!$B$25*PI()/180)</f>
        <v>397.61712533781963</v>
      </c>
      <c r="K12" s="2">
        <f>Table4[[#This Row],[10 - Fígado C]]/SIN(Original!$B$26*PI()/180)</f>
        <v>581.04235771718311</v>
      </c>
      <c r="L12" s="2">
        <f>Table4[[#This Row],[2 - Fígado C]]/TAN(Original!$B$25*PI()/180)</f>
        <v>397.37490772831899</v>
      </c>
      <c r="M12" s="2">
        <f>Table4[[#This Row],[10 - Fígado C]]/TAN(Original!$B$26*PI()/180)</f>
        <v>572.2150187083746</v>
      </c>
      <c r="N12" s="2">
        <f>Table4[[#This Row],[2 - Rim ]]/SIN(Original!$B$25*PI()/180)</f>
        <v>481.35727517098326</v>
      </c>
      <c r="O12" s="2">
        <f>Table4[[#This Row],[10 - Rim]]/SIN(Original!$B$26*PI()/180)</f>
        <v>552.18256518142891</v>
      </c>
      <c r="P12" s="2">
        <f>Table4[[#This Row],[2 - Rim ]]/TAN(Original!$B$25*PI()/180)</f>
        <v>481.0640453247874</v>
      </c>
      <c r="Q12" s="2">
        <f>Table4[[#This Row],[10 - Rim]]/TAN(Original!$B$26*PI()/180)</f>
        <v>543.79367126884006</v>
      </c>
      <c r="R12" s="2">
        <f>Table4[[#This Row],[2 - Gordura A]]/SIN(Original!$B$25*PI()/180)</f>
        <v>110.51697772154172</v>
      </c>
      <c r="S12" s="2">
        <f>Table4[[#This Row],[10 - Gordura A]]/SIN(Original!$B$26*PI()/180)</f>
        <v>190.34714650390788</v>
      </c>
      <c r="T12" s="2">
        <f>Table4[[#This Row],[2 - Gordura A]]/TAN(Original!$B$25*PI()/180)</f>
        <v>110.44965376478255</v>
      </c>
      <c r="U12" s="2">
        <f>Table4[[#This Row],[10 - Gordura A]]/TAN(Original!$B$26*PI()/180)</f>
        <v>187.45534564079907</v>
      </c>
      <c r="V12" s="2">
        <f>Table4[[#This Row],[2 - Gordura B]]/SIN(Original!$B$25*PI()/180)</f>
        <v>99.975165807542425</v>
      </c>
      <c r="W12" s="2">
        <f>Table4[[#This Row],[10 - Gordura B]]/SIN(Original!$B$26*PI()/180)</f>
        <v>156.47590484541806</v>
      </c>
      <c r="X12" s="2">
        <f>Table4[[#This Row],[2 - Gordura B]]/TAN(Original!$B$25*PI()/180)</f>
        <v>99.914263637771043</v>
      </c>
      <c r="Y12" s="2">
        <f>Table4[[#This Row],[10 - Gordura B]]/TAN(Original!$B$26*PI()/180)</f>
        <v>154.09868425136821</v>
      </c>
      <c r="Z12" s="2"/>
      <c r="AA12" s="2"/>
      <c r="AC12" s="8" t="s">
        <v>11</v>
      </c>
      <c r="AD12" s="8">
        <f>-$B$26/LN((Table11[[#This Row],[2 - Fíg A - S/sin]]-Table11[[#This Row],[10 - Fíg A - S/sin]])/(Table11[[#This Row],[2 - Fíg A - S/tan]]-Table11[[#This Row],[10 - Fíg A - S/tan]]))</f>
        <v>-3.1120722358968997</v>
      </c>
      <c r="AE12" s="8">
        <f>-$B$26/LN((Table11[[#This Row],[2 - Fíg B - S/sin]]-Table11[[#This Row],[10 - Fíg B - S/sin]])/(Table11[[#This Row],[2 - Fíg B - S/tan]]-Table11[[#This Row],[10 - Fíg B - S/tan]]))</f>
        <v>-3.888677386579074</v>
      </c>
      <c r="AF12" s="8">
        <f>-$B$26/LN((Table11[[#This Row],[2 - Fíg C - S/sin]]-Table11[[#This Row],[10 - Fíg C - S/sin]])/(Table11[[#This Row],[2 - Fíg C - S/tan]]-Table11[[#This Row],[10 - Fíg C - S/tan]]))</f>
        <v>-3.3795605238267319</v>
      </c>
      <c r="AG12" s="8">
        <f t="shared" si="0"/>
        <v>-1.3346262036892778</v>
      </c>
      <c r="AH12" s="8">
        <f>-$B$26/LN((Table11[[#This Row],[2 - Gord B - S/sin]]-Table11[[#This Row],[10 - Gord B - S/sin]])/(Table11[[#This Row],[2 - Gord B - S/tan]]-Table11[[#This Row],[10 - Gord B - S/tan]]))</f>
        <v>-3.8700158372639479</v>
      </c>
      <c r="AI12" s="8">
        <f t="shared" si="1"/>
        <v>-3.8700158372639479</v>
      </c>
    </row>
    <row r="13" spans="1:35">
      <c r="A13" s="1" t="s">
        <v>12</v>
      </c>
      <c r="B13" s="2">
        <f>Table4[[#This Row],[2 - Fígado A]]/SIN(Original!$B$25*PI()/180)</f>
        <v>293.93605845800721</v>
      </c>
      <c r="C13" s="2">
        <f>Table4[[#This Row],[10 - Fígado A]]/SIN(Original!$B$26*PI()/180)</f>
        <v>249.44878266270129</v>
      </c>
      <c r="D13" s="2">
        <f>Table4[[#This Row],[2 - Fígado A]]/TAN(Original!$B$25*PI()/180)</f>
        <v>293.75700055308107</v>
      </c>
      <c r="E13" s="2">
        <f>Table4[[#This Row],[10 - Fígado A]]/TAN(Original!$B$26*PI()/180)</f>
        <v>245.65909514568548</v>
      </c>
      <c r="F13" s="2">
        <f>Table4[[#This Row],[2 - Fígado B]]/SIN(Original!$B$25*PI()/180)</f>
        <v>306.96047134339074</v>
      </c>
      <c r="G13" s="2">
        <f>Table4[[#This Row],[10 - Fígado B]]/SIN(Original!$B$26*PI()/180)</f>
        <v>226.66050517940434</v>
      </c>
      <c r="H13" s="2">
        <f>Table4[[#This Row],[2 - Fígado B]]/TAN(Original!$B$25*PI()/180)</f>
        <v>306.77347931804269</v>
      </c>
      <c r="I13" s="2">
        <f>Table4[[#This Row],[10 - Fígado B]]/TAN(Original!$B$26*PI()/180)</f>
        <v>223.21702280234112</v>
      </c>
      <c r="J13" s="2">
        <f>Table4[[#This Row],[2 - Fígado C]]/SIN(Original!$B$25*PI()/180)</f>
        <v>328.04893561100113</v>
      </c>
      <c r="K13" s="2">
        <f>Table4[[#This Row],[10 - Fígado C]]/SIN(Original!$B$26*PI()/180)</f>
        <v>255.93621390085494</v>
      </c>
      <c r="L13" s="2">
        <f>Table4[[#This Row],[2 - Fígado C]]/TAN(Original!$B$25*PI()/180)</f>
        <v>327.84909706301249</v>
      </c>
      <c r="M13" s="2">
        <f>Table4[[#This Row],[10 - Fígado C]]/TAN(Original!$B$26*PI()/180)</f>
        <v>252.04796772615276</v>
      </c>
      <c r="N13" s="2">
        <f>Table4[[#This Row],[2 - Rim ]]/SIN(Original!$B$25*PI()/180)</f>
        <v>363.57510011964308</v>
      </c>
      <c r="O13" s="2">
        <f>Table4[[#This Row],[10 - Rim]]/SIN(Original!$B$26*PI()/180)</f>
        <v>173.43301228520531</v>
      </c>
      <c r="P13" s="2">
        <f>Table4[[#This Row],[2 - Rim ]]/TAN(Original!$B$25*PI()/180)</f>
        <v>363.35361999212057</v>
      </c>
      <c r="Q13" s="2">
        <f>Table4[[#This Row],[10 - Rim]]/TAN(Original!$B$26*PI()/180)</f>
        <v>170.79817512673168</v>
      </c>
      <c r="R13" s="2">
        <f>Table4[[#This Row],[2 - Gordura A]]/SIN(Original!$B$25*PI()/180)</f>
        <v>88.926257338714549</v>
      </c>
      <c r="S13" s="2">
        <f>Table4[[#This Row],[10 - Gordura A]]/SIN(Original!$B$26*PI()/180)</f>
        <v>85.300318707462225</v>
      </c>
      <c r="T13" s="2">
        <f>Table4[[#This Row],[2 - Gordura A]]/TAN(Original!$B$25*PI()/180)</f>
        <v>88.872085865450856</v>
      </c>
      <c r="U13" s="2">
        <f>Table4[[#This Row],[10 - Gordura A]]/TAN(Original!$B$26*PI()/180)</f>
        <v>84.004415197521084</v>
      </c>
      <c r="V13" s="2">
        <f>Table4[[#This Row],[2 - Gordura B]]/SIN(Original!$B$25*PI()/180)</f>
        <v>78.728419164626985</v>
      </c>
      <c r="W13" s="2">
        <f>Table4[[#This Row],[10 - Gordura B]]/SIN(Original!$B$26*PI()/180)</f>
        <v>81.327942333375404</v>
      </c>
      <c r="X13" s="2">
        <f>Table4[[#This Row],[2 - Gordura B]]/TAN(Original!$B$25*PI()/180)</f>
        <v>78.680459938842588</v>
      </c>
      <c r="Y13" s="2">
        <f>Table4[[#This Row],[10 - Gordura B]]/TAN(Original!$B$26*PI()/180)</f>
        <v>80.092388146437855</v>
      </c>
      <c r="Z13" s="2"/>
      <c r="AA13" s="2"/>
      <c r="AC13" s="8" t="s">
        <v>12</v>
      </c>
      <c r="AD13" s="8">
        <f>-$B$26/LN((Table11[[#This Row],[2 - Fíg A - S/sin]]-Table11[[#This Row],[10 - Fíg A - S/sin]])/(Table11[[#This Row],[2 - Fíg A - S/tan]]-Table11[[#This Row],[10 - Fíg A - S/tan]]))</f>
        <v>2.0759804104282051</v>
      </c>
      <c r="AE13" s="8">
        <f>-$B$26/LN((Table11[[#This Row],[2 - Fíg B - S/sin]]-Table11[[#This Row],[10 - Fíg B - S/sin]])/(Table11[[#This Row],[2 - Fíg B - S/tan]]-Table11[[#This Row],[10 - Fíg B - S/tan]]))</f>
        <v>4.0751303364297096</v>
      </c>
      <c r="AF13" s="8">
        <f>-$B$26/LN((Table11[[#This Row],[2 - Fíg C - S/sin]]-Table11[[#This Row],[10 - Fíg C - S/sin]])/(Table11[[#This Row],[2 - Fíg C - S/tan]]-Table11[[#This Row],[10 - Fíg C - S/tan]]))</f>
        <v>3.2476177838424678</v>
      </c>
      <c r="AG13" s="8">
        <f t="shared" si="0"/>
        <v>12.844385987022005</v>
      </c>
      <c r="AH13" s="8">
        <f>-$B$26/LN((Table11[[#This Row],[2 - Gord B - S/sin]]-Table11[[#This Row],[10 - Gord B - S/sin]])/(Table11[[#This Row],[2 - Gord B - S/tan]]-Table11[[#This Row],[10 - Gord B - S/tan]]))</f>
        <v>-0.26541202654327267</v>
      </c>
      <c r="AI13" s="8">
        <f t="shared" si="1"/>
        <v>-0.26541202654327267</v>
      </c>
    </row>
    <row r="14" spans="1:35">
      <c r="A14" s="1" t="s">
        <v>13</v>
      </c>
      <c r="B14" s="2">
        <f>Table4[[#This Row],[2 - Fígado A]]/SIN(Original!$B$25*PI()/180)</f>
        <v>376.46514068454303</v>
      </c>
      <c r="C14" s="2">
        <f>Table4[[#This Row],[10 - Fígado A]]/SIN(Original!$B$26*PI()/180)</f>
        <v>346.43117863596916</v>
      </c>
      <c r="D14" s="2">
        <f>Table4[[#This Row],[2 - Fígado A]]/TAN(Original!$B$25*PI()/180)</f>
        <v>376.23580829258566</v>
      </c>
      <c r="E14" s="2">
        <f>Table4[[#This Row],[10 - Fígado A]]/TAN(Original!$B$26*PI()/180)</f>
        <v>341.16811060585962</v>
      </c>
      <c r="F14" s="2">
        <f>Table4[[#This Row],[2 - Fígado B]]/SIN(Original!$B$25*PI()/180)</f>
        <v>358.6959073612806</v>
      </c>
      <c r="G14" s="2">
        <f>Table4[[#This Row],[10 - Fígado B]]/SIN(Original!$B$26*PI()/180)</f>
        <v>337.49137302880331</v>
      </c>
      <c r="H14" s="2">
        <f>Table4[[#This Row],[2 - Fígado B]]/TAN(Original!$B$25*PI()/180)</f>
        <v>358.47739950615517</v>
      </c>
      <c r="I14" s="2">
        <f>Table4[[#This Row],[10 - Fígado B]]/TAN(Original!$B$26*PI()/180)</f>
        <v>332.36412073350067</v>
      </c>
      <c r="J14" s="2">
        <f>Table4[[#This Row],[2 - Fígado C]]/SIN(Original!$B$25*PI()/180)</f>
        <v>352.13899469587011</v>
      </c>
      <c r="K14" s="2">
        <f>Table4[[#This Row],[10 - Fígado C]]/SIN(Original!$B$26*PI()/180)</f>
        <v>370.9196645476228</v>
      </c>
      <c r="L14" s="2">
        <f>Table4[[#This Row],[2 - Fígado C]]/TAN(Original!$B$25*PI()/180)</f>
        <v>351.9244811347786</v>
      </c>
      <c r="M14" s="2">
        <f>Table4[[#This Row],[10 - Fígado C]]/TAN(Original!$B$26*PI()/180)</f>
        <v>365.28456139118634</v>
      </c>
      <c r="N14" s="2">
        <f>Table4[[#This Row],[2 - Rim ]]/SIN(Original!$B$25*PI()/180)</f>
        <v>449.41079408723476</v>
      </c>
      <c r="O14" s="2">
        <f>Table4[[#This Row],[10 - Rim]]/SIN(Original!$B$26*PI()/180)</f>
        <v>276.81861258139719</v>
      </c>
      <c r="P14" s="2">
        <f>Table4[[#This Row],[2 - Rim ]]/TAN(Original!$B$25*PI()/180)</f>
        <v>449.13702517415004</v>
      </c>
      <c r="Q14" s="2">
        <f>Table4[[#This Row],[10 - Rim]]/TAN(Original!$B$26*PI()/180)</f>
        <v>272.61311584824267</v>
      </c>
      <c r="R14" s="2">
        <f>Table4[[#This Row],[2 - Gordura A]]/SIN(Original!$B$25*PI()/180)</f>
        <v>76.748662748629741</v>
      </c>
      <c r="S14" s="2">
        <f>Table4[[#This Row],[10 - Gordura A]]/SIN(Original!$B$26*PI()/180)</f>
        <v>70.572361135095917</v>
      </c>
      <c r="T14" s="2">
        <f>Table4[[#This Row],[2 - Gordura A]]/TAN(Original!$B$25*PI()/180)</f>
        <v>76.701909536962731</v>
      </c>
      <c r="U14" s="2">
        <f>Table4[[#This Row],[10 - Gordura A]]/TAN(Original!$B$26*PI()/180)</f>
        <v>69.500208394219882</v>
      </c>
      <c r="V14" s="2">
        <f>Table4[[#This Row],[2 - Gordura B]]/SIN(Original!$B$25*PI()/180)</f>
        <v>85.698848536915051</v>
      </c>
      <c r="W14" s="2">
        <f>Table4[[#This Row],[10 - Gordura B]]/SIN(Original!$B$26*PI()/180)</f>
        <v>76.235152110187158</v>
      </c>
      <c r="X14" s="2">
        <f>Table4[[#This Row],[2 - Gordura B]]/TAN(Original!$B$25*PI()/180)</f>
        <v>85.646643113891756</v>
      </c>
      <c r="Y14" s="2">
        <f>Table4[[#This Row],[10 - Gordura B]]/TAN(Original!$B$26*PI()/180)</f>
        <v>75.076968850177295</v>
      </c>
      <c r="Z14" s="2"/>
      <c r="AA14" s="2"/>
      <c r="AC14" s="8" t="s">
        <v>13</v>
      </c>
      <c r="AD14" s="8">
        <f>-$B$26/LN((Table11[[#This Row],[2 - Fíg A - S/sin]]-Table11[[#This Row],[10 - Fíg A - S/sin]])/(Table11[[#This Row],[2 - Fíg A - S/tan]]-Table11[[#This Row],[10 - Fíg A - S/tan]]))</f>
        <v>1.0454877302133012</v>
      </c>
      <c r="AE14" s="8">
        <f>-$B$26/LN((Table11[[#This Row],[2 - Fíg B - S/sin]]-Table11[[#This Row],[10 - Fíg B - S/sin]])/(Table11[[#This Row],[2 - Fíg B - S/tan]]-Table11[[#This Row],[10 - Fíg B - S/tan]]))</f>
        <v>0.77798996178559143</v>
      </c>
      <c r="AF14" s="8">
        <f>-$B$26/LN((Table11[[#This Row],[2 - Fíg C - S/sin]]-Table11[[#This Row],[10 - Fíg C - S/sin]])/(Table11[[#This Row],[2 - Fíg C - S/tan]]-Table11[[#This Row],[10 - Fíg C - S/tan]]))</f>
        <v>-0.47569134118757589</v>
      </c>
      <c r="AG14" s="8">
        <f t="shared" si="0"/>
        <v>7.1920562867387865</v>
      </c>
      <c r="AH14" s="8">
        <f>-$B$26/LN((Table11[[#This Row],[2 - Gord B - S/sin]]-Table11[[#This Row],[10 - Gord B - S/sin]])/(Table11[[#This Row],[2 - Gord B - S/tan]]-Table11[[#This Row],[10 - Gord B - S/tan]]))</f>
        <v>1.465719364320782</v>
      </c>
      <c r="AI14" s="8">
        <f t="shared" si="1"/>
        <v>1.465719364320782</v>
      </c>
    </row>
    <row r="15" spans="1:35">
      <c r="A15" s="1" t="s">
        <v>14</v>
      </c>
      <c r="B15" s="2">
        <f>Table4[[#This Row],[2 - Fígado A]]/SIN(Original!$B$25*PI()/180)</f>
        <v>352.99978009113158</v>
      </c>
      <c r="C15" s="2">
        <f>Table4[[#This Row],[10 - Fígado A]]/SIN(Original!$B$26*PI()/180)</f>
        <v>317.74072159913129</v>
      </c>
      <c r="D15" s="2">
        <f>Table4[[#This Row],[2 - Fígado A]]/TAN(Original!$B$25*PI()/180)</f>
        <v>352.78474216283485</v>
      </c>
      <c r="E15" s="2">
        <f>Table4[[#This Row],[10 - Fígado A]]/TAN(Original!$B$26*PI()/180)</f>
        <v>312.91352607851803</v>
      </c>
      <c r="F15" s="2">
        <f>Table4[[#This Row],[2 - Fígado B]]/SIN(Original!$B$25*PI()/180)</f>
        <v>307.60002176851145</v>
      </c>
      <c r="G15" s="2">
        <f>Table4[[#This Row],[10 - Fígado B]]/SIN(Original!$B$26*PI()/180)</f>
        <v>306.5817033088374</v>
      </c>
      <c r="H15" s="2">
        <f>Table4[[#This Row],[2 - Fígado B]]/TAN(Original!$B$25*PI()/180)</f>
        <v>307.41264014632452</v>
      </c>
      <c r="I15" s="2">
        <f>Table4[[#This Row],[10 - Fígado B]]/TAN(Original!$B$26*PI()/180)</f>
        <v>301.92403835023151</v>
      </c>
      <c r="J15" s="2">
        <f>Table4[[#This Row],[2 - Fígado C]]/SIN(Original!$B$25*PI()/180)</f>
        <v>301.89245802278327</v>
      </c>
      <c r="K15" s="2">
        <f>Table4[[#This Row],[10 - Fígado C]]/SIN(Original!$B$26*PI()/180)</f>
        <v>295.29944284867076</v>
      </c>
      <c r="L15" s="2">
        <f>Table4[[#This Row],[2 - Fígado C]]/TAN(Original!$B$25*PI()/180)</f>
        <v>301.70855329421698</v>
      </c>
      <c r="M15" s="2">
        <f>Table4[[#This Row],[10 - Fígado C]]/TAN(Original!$B$26*PI()/180)</f>
        <v>290.8131807775564</v>
      </c>
      <c r="N15" s="2">
        <f>Table4[[#This Row],[2 - Rim ]]/SIN(Original!$B$25*PI()/180)</f>
        <v>394.31442933685986</v>
      </c>
      <c r="O15" s="2">
        <f>Table4[[#This Row],[10 - Rim]]/SIN(Original!$B$26*PI()/180)</f>
        <v>217.76891416510276</v>
      </c>
      <c r="P15" s="2">
        <f>Table4[[#This Row],[2 - Rim ]]/TAN(Original!$B$25*PI()/180)</f>
        <v>394.07422364052712</v>
      </c>
      <c r="Q15" s="2">
        <f>Table4[[#This Row],[10 - Rim]]/TAN(Original!$B$26*PI()/180)</f>
        <v>214.46051503484324</v>
      </c>
      <c r="R15" s="2">
        <f>Table4[[#This Row],[2 - Gordura A]]/SIN(Original!$B$25*PI()/180)</f>
        <v>71.706701881611181</v>
      </c>
      <c r="S15" s="2">
        <f>Table4[[#This Row],[10 - Gordura A]]/SIN(Original!$B$26*PI()/180)</f>
        <v>65.867337880158416</v>
      </c>
      <c r="T15" s="2">
        <f>Table4[[#This Row],[2 - Gordura A]]/TAN(Original!$B$25*PI()/180)</f>
        <v>71.663020096275147</v>
      </c>
      <c r="U15" s="2">
        <f>Table4[[#This Row],[10 - Gordura A]]/TAN(Original!$B$26*PI()/180)</f>
        <v>64.8666650146547</v>
      </c>
      <c r="V15" s="2">
        <f>Table4[[#This Row],[2 - Gordura B]]/SIN(Original!$B$25*PI()/180)</f>
        <v>66.028110540683585</v>
      </c>
      <c r="W15" s="2">
        <f>Table4[[#This Row],[10 - Gordura B]]/SIN(Original!$B$26*PI()/180)</f>
        <v>76.298106984840757</v>
      </c>
      <c r="X15" s="2">
        <f>Table4[[#This Row],[2 - Gordura B]]/TAN(Original!$B$25*PI()/180)</f>
        <v>65.987887999762037</v>
      </c>
      <c r="Y15" s="2">
        <f>Table4[[#This Row],[10 - Gordura B]]/TAN(Original!$B$26*PI()/180)</f>
        <v>75.138967298826074</v>
      </c>
      <c r="Z15" s="2"/>
      <c r="AA15" s="2"/>
      <c r="AC15" s="8" t="s">
        <v>14</v>
      </c>
      <c r="AD15" s="8">
        <f>-$B$26/LN((Table11[[#This Row],[2 - Fíg A - S/sin]]-Table11[[#This Row],[10 - Fíg A - S/sin]])/(Table11[[#This Row],[2 - Fíg A - S/tan]]-Table11[[#This Row],[10 - Fíg A - S/tan]]))</f>
        <v>1.3177997023817838</v>
      </c>
      <c r="AE15" s="8">
        <f>-$B$26/LN((Table11[[#This Row],[2 - Fíg B - S/sin]]-Table11[[#This Row],[10 - Fíg B - S/sin]])/(Table11[[#This Row],[2 - Fíg B - S/tan]]-Table11[[#This Row],[10 - Fíg B - S/tan]]))</f>
        <v>9.6169780657107407E-2</v>
      </c>
      <c r="AF15" s="8">
        <f>-$B$26/LN((Table11[[#This Row],[2 - Fíg C - S/sin]]-Table11[[#This Row],[10 - Fíg C - S/sin]])/(Table11[[#This Row],[2 - Fíg C - S/tan]]-Table11[[#This Row],[10 - Fíg C - S/tan]]))</f>
        <v>0.32249884677780505</v>
      </c>
      <c r="AG15" s="8">
        <f t="shared" si="0"/>
        <v>9.4023353101651512</v>
      </c>
      <c r="AH15" s="8">
        <f>-$B$26/LN((Table11[[#This Row],[2 - Gord B - S/sin]]-Table11[[#This Row],[10 - Gord B - S/sin]])/(Table11[[#This Row],[2 - Gord B - S/tan]]-Table11[[#This Row],[10 - Gord B - S/tan]]))</f>
        <v>-1.4043622884989013</v>
      </c>
      <c r="AI15" s="8">
        <f t="shared" si="1"/>
        <v>-1.4043622884989013</v>
      </c>
    </row>
    <row r="16" spans="1:35">
      <c r="A16" s="1" t="s">
        <v>15</v>
      </c>
      <c r="B16" s="2">
        <f>Table4[[#This Row],[2 - Fígado A]]/SIN(Original!$B$25*PI()/180)</f>
        <v>228.71702981607544</v>
      </c>
      <c r="C16" s="2">
        <f>Table4[[#This Row],[10 - Fígado A]]/SIN(Original!$B$26*PI()/180)</f>
        <v>180.75328673826465</v>
      </c>
      <c r="D16" s="2">
        <f>Table4[[#This Row],[2 - Fígado A]]/TAN(Original!$B$25*PI()/180)</f>
        <v>228.57770158123878</v>
      </c>
      <c r="E16" s="2">
        <f>Table4[[#This Row],[10 - Fígado A]]/TAN(Original!$B$26*PI()/180)</f>
        <v>178.00723816228174</v>
      </c>
      <c r="F16" s="2">
        <f>Table4[[#This Row],[2 - Fígado B]]/SIN(Original!$B$25*PI()/180)</f>
        <v>184.09063282235257</v>
      </c>
      <c r="G16" s="2">
        <f>Table4[[#This Row],[10 - Fígado B]]/SIN(Original!$B$26*PI()/180)</f>
        <v>151.38453168548139</v>
      </c>
      <c r="H16" s="2">
        <f>Table4[[#This Row],[2 - Fígado B]]/TAN(Original!$B$25*PI()/180)</f>
        <v>183.97848978279961</v>
      </c>
      <c r="I16" s="2">
        <f>Table4[[#This Row],[10 - Fígado B]]/TAN(Original!$B$26*PI()/180)</f>
        <v>149.08466048998432</v>
      </c>
      <c r="J16" s="2">
        <f>Table4[[#This Row],[2 - Fígado C]]/SIN(Original!$B$25*PI()/180)</f>
        <v>199.60464628752226</v>
      </c>
      <c r="K16" s="2">
        <f>Table4[[#This Row],[10 - Fígado C]]/SIN(Original!$B$26*PI()/180)</f>
        <v>152.04713133498015</v>
      </c>
      <c r="L16" s="2">
        <f>Table4[[#This Row],[2 - Fígado C]]/TAN(Original!$B$25*PI()/180)</f>
        <v>199.48305253014092</v>
      </c>
      <c r="M16" s="2">
        <f>Table4[[#This Row],[10 - Fígado C]]/TAN(Original!$B$26*PI()/180)</f>
        <v>149.73719376195388</v>
      </c>
      <c r="N16" s="2">
        <f>Table4[[#This Row],[2 - Rim ]]/SIN(Original!$B$25*PI()/180)</f>
        <v>324.79598972819582</v>
      </c>
      <c r="O16" s="2">
        <f>Table4[[#This Row],[10 - Rim]]/SIN(Original!$B$26*PI()/180)</f>
        <v>223.14992019369265</v>
      </c>
      <c r="P16" s="2">
        <f>Table4[[#This Row],[2 - Rim ]]/TAN(Original!$B$25*PI()/180)</f>
        <v>324.59813278694736</v>
      </c>
      <c r="Q16" s="2">
        <f>Table4[[#This Row],[10 - Rim]]/TAN(Original!$B$26*PI()/180)</f>
        <v>219.75977149080398</v>
      </c>
      <c r="R16" s="2">
        <f>Table4[[#This Row],[2 - Gordura A]]/SIN(Original!$B$25*PI()/180)</f>
        <v>81.887010203113007</v>
      </c>
      <c r="S16" s="2">
        <f>Table4[[#This Row],[10 - Gordura A]]/SIN(Original!$B$26*PI()/180)</f>
        <v>60.169894641982978</v>
      </c>
      <c r="T16" s="2">
        <f>Table4[[#This Row],[2 - Gordura A]]/TAN(Original!$B$25*PI()/180)</f>
        <v>81.837126849010232</v>
      </c>
      <c r="U16" s="2">
        <f>Table4[[#This Row],[10 - Gordura A]]/TAN(Original!$B$26*PI()/180)</f>
        <v>59.255778741352543</v>
      </c>
      <c r="V16" s="2">
        <f>Table4[[#This Row],[2 - Gordura B]]/SIN(Original!$B$25*PI()/180)</f>
        <v>64.619238694054573</v>
      </c>
      <c r="W16" s="2">
        <f>Table4[[#This Row],[10 - Gordura B]]/SIN(Original!$B$26*PI()/180)</f>
        <v>66.659473562073771</v>
      </c>
      <c r="X16" s="2">
        <f>Table4[[#This Row],[2 - Gordura B]]/TAN(Original!$B$25*PI()/180)</f>
        <v>64.579874399795557</v>
      </c>
      <c r="Y16" s="2">
        <f>Table4[[#This Row],[10 - Gordura B]]/TAN(Original!$B$26*PI()/180)</f>
        <v>65.646766375642557</v>
      </c>
      <c r="Z16" s="2"/>
      <c r="AA16" s="2"/>
      <c r="AC16" s="8" t="s">
        <v>15</v>
      </c>
      <c r="AD16" s="8">
        <f>-$B$26/LN((Table11[[#This Row],[2 - Fíg A - S/sin]]-Table11[[#This Row],[10 - Fíg A - S/sin]])/(Table11[[#This Row],[2 - Fíg A - S/tan]]-Table11[[#This Row],[10 - Fíg A - S/tan]]))</f>
        <v>3.061091100920192</v>
      </c>
      <c r="AE16" s="8">
        <f>-$B$26/LN((Table11[[#This Row],[2 - Fíg B - S/sin]]-Table11[[#This Row],[10 - Fíg B - S/sin]])/(Table11[[#This Row],[2 - Fíg B - S/tan]]-Table11[[#This Row],[10 - Fíg B - S/tan]]))</f>
        <v>2.5019937618910459</v>
      </c>
      <c r="AF16" s="8">
        <f>-$B$26/LN((Table11[[#This Row],[2 - Fíg C - S/sin]]-Table11[[#This Row],[10 - Fíg C - S/sin]])/(Table11[[#This Row],[2 - Fíg C - S/tan]]-Table11[[#This Row],[10 - Fíg C - S/tan]]))</f>
        <v>3.6010083119707974</v>
      </c>
      <c r="AG16" s="8">
        <f t="shared" si="0"/>
        <v>5.2388401552600046</v>
      </c>
      <c r="AH16" s="8">
        <f>-$B$26/LN((Table11[[#This Row],[2 - Gord B - S/sin]]-Table11[[#This Row],[10 - Gord B - S/sin]])/(Table11[[#This Row],[2 - Gord B - S/tan]]-Table11[[#This Row],[10 - Gord B - S/tan]]))</f>
        <v>-0.24987845170872244</v>
      </c>
      <c r="AI16" s="8">
        <f t="shared" si="1"/>
        <v>-0.24987845170872244</v>
      </c>
    </row>
    <row r="17" spans="1:35">
      <c r="A17" s="1" t="s">
        <v>16</v>
      </c>
      <c r="B17" s="2">
        <f>Table4[[#This Row],[2 - Fígado A]]/SIN(Original!$B$25*PI()/180)</f>
        <v>246.42189179145691</v>
      </c>
      <c r="C17" s="2">
        <f>Table4[[#This Row],[10 - Fígado A]]/SIN(Original!$B$26*PI()/180)</f>
        <v>185.27792980572474</v>
      </c>
      <c r="D17" s="2">
        <f>Table4[[#This Row],[2 - Fígado A]]/TAN(Original!$B$25*PI()/180)</f>
        <v>246.27177823307423</v>
      </c>
      <c r="E17" s="2">
        <f>Table4[[#This Row],[10 - Fígado A]]/TAN(Original!$B$26*PI()/180)</f>
        <v>182.46314173472936</v>
      </c>
      <c r="F17" s="2">
        <f>Table4[[#This Row],[2 - Fígado B]]/SIN(Original!$B$25*PI()/180)</f>
        <v>245.25783488982574</v>
      </c>
      <c r="G17" s="2">
        <f>Table4[[#This Row],[10 - Fígado B]]/SIN(Original!$B$26*PI()/180)</f>
        <v>175.30518635444037</v>
      </c>
      <c r="H17" s="2">
        <f>Table4[[#This Row],[2 - Fígado B]]/TAN(Original!$B$25*PI()/180)</f>
        <v>245.10843044345577</v>
      </c>
      <c r="I17" s="2">
        <f>Table4[[#This Row],[10 - Fígado B]]/TAN(Original!$B$26*PI()/180)</f>
        <v>172.64190666510279</v>
      </c>
      <c r="J17" s="2">
        <f>Table4[[#This Row],[2 - Fígado C]]/SIN(Original!$B$25*PI()/180)</f>
        <v>274.95620968785141</v>
      </c>
      <c r="K17" s="2">
        <f>Table4[[#This Row],[10 - Fígado C]]/SIN(Original!$B$26*PI()/180)</f>
        <v>170.19171103579157</v>
      </c>
      <c r="L17" s="2">
        <f>Table4[[#This Row],[2 - Fígado C]]/TAN(Original!$B$25*PI()/180)</f>
        <v>274.78871379397771</v>
      </c>
      <c r="M17" s="2">
        <f>Table4[[#This Row],[10 - Fígado C]]/TAN(Original!$B$26*PI()/180)</f>
        <v>167.60611652646088</v>
      </c>
      <c r="N17" s="2">
        <f>Table4[[#This Row],[2 - Rim ]]/SIN(Original!$B$25*PI()/180)</f>
        <v>423.26899800080554</v>
      </c>
      <c r="O17" s="2">
        <f>Table4[[#This Row],[10 - Rim]]/SIN(Original!$B$26*PI()/180)</f>
        <v>192.47394860978881</v>
      </c>
      <c r="P17" s="2">
        <f>Table4[[#This Row],[2 - Rim ]]/TAN(Original!$B$25*PI()/180)</f>
        <v>423.01115396356897</v>
      </c>
      <c r="Q17" s="2">
        <f>Table4[[#This Row],[10 - Rim]]/TAN(Original!$B$26*PI()/180)</f>
        <v>189.54983684379329</v>
      </c>
      <c r="R17" s="2">
        <f>Table4[[#This Row],[2 - Gordura A]]/SIN(Original!$B$25*PI()/180)</f>
        <v>65.217034104207045</v>
      </c>
      <c r="S17" s="2">
        <f>Table4[[#This Row],[10 - Gordura A]]/SIN(Original!$B$26*PI()/180)</f>
        <v>56.864192071245121</v>
      </c>
      <c r="T17" s="2">
        <f>Table4[[#This Row],[2 - Gordura A]]/TAN(Original!$B$25*PI()/180)</f>
        <v>65.177305649136045</v>
      </c>
      <c r="U17" s="2">
        <f>Table4[[#This Row],[10 - Gordura A]]/TAN(Original!$B$26*PI()/180)</f>
        <v>56.000297220537519</v>
      </c>
      <c r="V17" s="2">
        <f>Table4[[#This Row],[2 - Gordura B]]/SIN(Original!$B$25*PI()/180)</f>
        <v>70.201585452217373</v>
      </c>
      <c r="W17" s="2">
        <f>Table4[[#This Row],[10 - Gordura B]]/SIN(Original!$B$26*PI()/180)</f>
        <v>55.475829747634947</v>
      </c>
      <c r="X17" s="2">
        <f>Table4[[#This Row],[2 - Gordura B]]/TAN(Original!$B$25*PI()/180)</f>
        <v>70.158820543143236</v>
      </c>
      <c r="Y17" s="2">
        <f>Table4[[#This Row],[10 - Gordura B]]/TAN(Original!$B$26*PI()/180)</f>
        <v>54.633027240256176</v>
      </c>
      <c r="Z17" s="2"/>
      <c r="AA17" s="2"/>
      <c r="AC17" s="8" t="s">
        <v>16</v>
      </c>
      <c r="AD17" s="8">
        <f>-$B$26/LN((Table11[[#This Row],[2 - Fíg A - S/sin]]-Table11[[#This Row],[10 - Fíg A - S/sin]])/(Table11[[#This Row],[2 - Fíg A - S/tan]]-Table11[[#This Row],[10 - Fíg A - S/tan]]))</f>
        <v>3.7976968502088173</v>
      </c>
      <c r="AE17" s="8">
        <f>-$B$26/LN((Table11[[#This Row],[2 - Fíg B - S/sin]]-Table11[[#This Row],[10 - Fíg B - S/sin]])/(Table11[[#This Row],[2 - Fíg B - S/tan]]-Table11[[#This Row],[10 - Fíg B - S/tan]]))</f>
        <v>4.5884356507315411</v>
      </c>
      <c r="AF17" s="8">
        <f>-$B$26/LN((Table11[[#This Row],[2 - Fíg C - S/sin]]-Table11[[#This Row],[10 - Fíg C - S/sin]])/(Table11[[#This Row],[2 - Fíg C - S/tan]]-Table11[[#This Row],[10 - Fíg C - S/tan]]))</f>
        <v>7.0993671462898575</v>
      </c>
      <c r="AG17" s="8">
        <f t="shared" si="0"/>
        <v>14.103742035076294</v>
      </c>
      <c r="AH17" s="8">
        <f>-$B$26/LN((Table11[[#This Row],[2 - Gord B - S/sin]]-Table11[[#This Row],[10 - Gord B - S/sin]])/(Table11[[#This Row],[2 - Gord B - S/tan]]-Table11[[#This Row],[10 - Gord B - S/tan]]))</f>
        <v>3.0621112108989372</v>
      </c>
      <c r="AI17" s="8">
        <f t="shared" si="1"/>
        <v>3.0621112108989372</v>
      </c>
    </row>
    <row r="18" spans="1:35">
      <c r="A18" s="1" t="s">
        <v>17</v>
      </c>
      <c r="B18" s="2">
        <f>Table4[[#This Row],[2 - Fígado A]]/SIN(Original!$B$25*PI()/180)</f>
        <v>172.70114001744091</v>
      </c>
      <c r="C18" s="2">
        <f>Table4[[#This Row],[10 - Fígado A]]/SIN(Original!$B$26*PI()/180)</f>
        <v>122.02325374759045</v>
      </c>
      <c r="D18" s="2">
        <f>Table4[[#This Row],[2 - Fígado A]]/TAN(Original!$B$25*PI()/180)</f>
        <v>172.59593514917088</v>
      </c>
      <c r="E18" s="2">
        <f>Table4[[#This Row],[10 - Fígado A]]/TAN(Original!$B$26*PI()/180)</f>
        <v>120.16944633840302</v>
      </c>
      <c r="F18" s="2">
        <f>Table4[[#This Row],[2 - Fígado B]]/SIN(Original!$B$25*PI()/180)</f>
        <v>178.34219133139038</v>
      </c>
      <c r="G18" s="2">
        <f>Table4[[#This Row],[10 - Fígado B]]/SIN(Original!$B$26*PI()/180)</f>
        <v>117.1576803189752</v>
      </c>
      <c r="H18" s="2">
        <f>Table4[[#This Row],[2 - Fígado B]]/TAN(Original!$B$25*PI()/180)</f>
        <v>178.23355008707603</v>
      </c>
      <c r="I18" s="2">
        <f>Table4[[#This Row],[10 - Fígado B]]/TAN(Original!$B$26*PI()/180)</f>
        <v>115.37779190305254</v>
      </c>
      <c r="J18" s="2">
        <f>Table4[[#This Row],[2 - Fígado C]]/SIN(Original!$B$25*PI()/180)</f>
        <v>200.74117751104754</v>
      </c>
      <c r="K18" s="2">
        <f>Table4[[#This Row],[10 - Fígado C]]/SIN(Original!$B$26*PI()/180)</f>
        <v>111.47726045464984</v>
      </c>
      <c r="L18" s="2">
        <f>Table4[[#This Row],[2 - Fígado C]]/TAN(Original!$B$25*PI()/180)</f>
        <v>200.61889140955287</v>
      </c>
      <c r="M18" s="2">
        <f>Table4[[#This Row],[10 - Fígado C]]/TAN(Original!$B$26*PI()/180)</f>
        <v>109.78367038030038</v>
      </c>
      <c r="N18" s="2">
        <f>Table4[[#This Row],[2 - Rim ]]/SIN(Original!$B$25*PI()/180)</f>
        <v>258.61505961064643</v>
      </c>
      <c r="O18" s="2">
        <f>Table4[[#This Row],[10 - Rim]]/SIN(Original!$B$26*PI()/180)</f>
        <v>117.9098462596307</v>
      </c>
      <c r="P18" s="2">
        <f>Table4[[#This Row],[2 - Rim ]]/TAN(Original!$B$25*PI()/180)</f>
        <v>258.45751830387667</v>
      </c>
      <c r="Q18" s="2">
        <f>Table4[[#This Row],[10 - Rim]]/TAN(Original!$B$26*PI()/180)</f>
        <v>116.1185307529618</v>
      </c>
      <c r="R18" s="2">
        <f>Table4[[#This Row],[2 - Gordura A]]/SIN(Original!$B$25*PI()/180)</f>
        <v>40.384262753839195</v>
      </c>
      <c r="S18" s="2">
        <f>Table4[[#This Row],[10 - Gordura A]]/SIN(Original!$B$26*PI()/180)</f>
        <v>39.990155844850491</v>
      </c>
      <c r="T18" s="2">
        <f>Table4[[#This Row],[2 - Gordura A]]/TAN(Original!$B$25*PI()/180)</f>
        <v>40.359661752115812</v>
      </c>
      <c r="U18" s="2">
        <f>Table4[[#This Row],[10 - Gordura A]]/TAN(Original!$B$26*PI()/180)</f>
        <v>39.382615520175221</v>
      </c>
      <c r="V18" s="2">
        <f>Table4[[#This Row],[2 - Gordura B]]/SIN(Original!$B$25*PI()/180)</f>
        <v>49.778147368700679</v>
      </c>
      <c r="W18" s="2">
        <f>Table4[[#This Row],[10 - Gordura B]]/SIN(Original!$B$26*PI()/180)</f>
        <v>38.673865448703374</v>
      </c>
      <c r="X18" s="2">
        <f>Table4[[#This Row],[2 - Gordura B]]/TAN(Original!$B$25*PI()/180)</f>
        <v>49.747823866284193</v>
      </c>
      <c r="Y18" s="2">
        <f>Table4[[#This Row],[10 - Gordura B]]/TAN(Original!$B$26*PI()/180)</f>
        <v>38.086322532834032</v>
      </c>
      <c r="Z18" s="2"/>
      <c r="AA18" s="2"/>
      <c r="AC18" s="8" t="s">
        <v>17</v>
      </c>
      <c r="AD18" s="8">
        <f>-$B$26/LN((Table11[[#This Row],[2 - Fíg A - S/sin]]-Table11[[#This Row],[10 - Fíg A - S/sin]])/(Table11[[#This Row],[2 - Fíg A - S/tan]]-Table11[[#This Row],[10 - Fíg A - S/tan]]))</f>
        <v>4.7756156281658271</v>
      </c>
      <c r="AE18" s="8">
        <f>-$B$26/LN((Table11[[#This Row],[2 - Fíg B - S/sin]]-Table11[[#This Row],[10 - Fíg B - S/sin]])/(Table11[[#This Row],[2 - Fíg B - S/tan]]-Table11[[#This Row],[10 - Fíg B - S/tan]]))</f>
        <v>6.0114709396399686</v>
      </c>
      <c r="AF18" s="8">
        <f>-$B$26/LN((Table11[[#This Row],[2 - Fíg C - S/sin]]-Table11[[#This Row],[10 - Fíg C - S/sin]])/(Table11[[#This Row],[2 - Fíg C - S/tan]]-Table11[[#This Row],[10 - Fíg C - S/tan]]))</f>
        <v>9.2837924958328664</v>
      </c>
      <c r="AG18" s="8">
        <f t="shared" si="0"/>
        <v>14.032738215348642</v>
      </c>
      <c r="AH18" s="8">
        <f>-$B$26/LN((Table11[[#This Row],[2 - Gord B - S/sin]]-Table11[[#This Row],[10 - Gord B - S/sin]])/(Table11[[#This Row],[2 - Gord B - S/tan]]-Table11[[#This Row],[10 - Gord B - S/tan]]))</f>
        <v>3.3086789474591662</v>
      </c>
      <c r="AI18" s="8">
        <f t="shared" si="1"/>
        <v>3.3086789474591662</v>
      </c>
    </row>
    <row r="19" spans="1:35">
      <c r="A19" s="1" t="s">
        <v>18</v>
      </c>
      <c r="B19" s="2">
        <f>Table4[[#This Row],[2 - Fígado A]]/SIN(Original!$B$25*PI()/180)</f>
        <v>607.45861697428904</v>
      </c>
      <c r="C19" s="2">
        <f>Table4[[#This Row],[10 - Fígado A]]/SIN(Original!$B$26*PI()/180)</f>
        <v>1466.1887819482513</v>
      </c>
      <c r="D19" s="2">
        <f>Table4[[#This Row],[2 - Fígado A]]/TAN(Original!$B$25*PI()/180)</f>
        <v>607.08856959781076</v>
      </c>
      <c r="E19" s="2">
        <f>Table4[[#This Row],[10 - Fígado A]]/TAN(Original!$B$26*PI()/180)</f>
        <v>1443.9140798421633</v>
      </c>
      <c r="F19" s="2">
        <f>Table4[[#This Row],[2 - Fígado B]]/SIN(Original!$B$25*PI()/180)</f>
        <v>609.60249155571057</v>
      </c>
      <c r="G19" s="2">
        <f>Table4[[#This Row],[10 - Fígado B]]/SIN(Original!$B$26*PI()/180)</f>
        <v>1509.4377299706482</v>
      </c>
      <c r="H19" s="2">
        <f>Table4[[#This Row],[2 - Fígado B]]/TAN(Original!$B$25*PI()/180)</f>
        <v>609.23113818876288</v>
      </c>
      <c r="I19" s="2">
        <f>Table4[[#This Row],[10 - Fígado B]]/TAN(Original!$B$26*PI()/180)</f>
        <v>1486.505979164242</v>
      </c>
      <c r="J19" s="2">
        <f>Table4[[#This Row],[2 - Fígado C]]/SIN(Original!$B$25*PI()/180)</f>
        <v>652.97472347215887</v>
      </c>
      <c r="K19" s="2">
        <f>Table4[[#This Row],[10 - Fígado C]]/SIN(Original!$B$26*PI()/180)</f>
        <v>1601.8689046950444</v>
      </c>
      <c r="L19" s="2">
        <f>Table4[[#This Row],[2 - Fígado C]]/TAN(Original!$B$25*PI()/180)</f>
        <v>652.57694891340623</v>
      </c>
      <c r="M19" s="2">
        <f>Table4[[#This Row],[10 - Fígado C]]/TAN(Original!$B$26*PI()/180)</f>
        <v>1577.5329166528534</v>
      </c>
      <c r="N19" s="2">
        <f>Table4[[#This Row],[2 - Rim ]]/SIN(Original!$B$25*PI()/180)</f>
        <v>870.86659198777704</v>
      </c>
      <c r="O19" s="2">
        <f>Table4[[#This Row],[10 - Rim]]/SIN(Original!$B$26*PI()/180)</f>
        <v>1879.0460900705939</v>
      </c>
      <c r="P19" s="2">
        <f>Table4[[#This Row],[2 - Rim ]]/TAN(Original!$B$25*PI()/180)</f>
        <v>870.33608358996582</v>
      </c>
      <c r="Q19" s="2">
        <f>Table4[[#This Row],[10 - Rim]]/TAN(Original!$B$26*PI()/180)</f>
        <v>1850.4991577687965</v>
      </c>
      <c r="R19" s="2">
        <f>Table4[[#This Row],[2 - Gordura A]]/SIN(Original!$B$25*PI()/180)</f>
        <v>114.16132146069</v>
      </c>
      <c r="S19" s="2">
        <f>Table4[[#This Row],[10 - Gordura A]]/SIN(Original!$B$26*PI()/180)</f>
        <v>201.03344232065052</v>
      </c>
      <c r="T19" s="2">
        <f>Table4[[#This Row],[2 - Gordura A]]/TAN(Original!$B$25*PI()/180)</f>
        <v>114.09177746819181</v>
      </c>
      <c r="U19" s="2">
        <f>Table4[[#This Row],[10 - Gordura A]]/TAN(Original!$B$26*PI()/180)</f>
        <v>197.97929261210916</v>
      </c>
      <c r="V19" s="2">
        <f>Table4[[#This Row],[2 - Gordura B]]/SIN(Original!$B$25*PI()/180)</f>
        <v>110.65691108721269</v>
      </c>
      <c r="W19" s="2">
        <f>Table4[[#This Row],[10 - Gordura B]]/SIN(Original!$B$26*PI()/180)</f>
        <v>198.27039587671794</v>
      </c>
      <c r="X19" s="2">
        <f>Table4[[#This Row],[2 - Gordura B]]/TAN(Original!$B$25*PI()/180)</f>
        <v>110.58950188682803</v>
      </c>
      <c r="Y19" s="2">
        <f>Table4[[#This Row],[10 - Gordura B]]/TAN(Original!$B$26*PI()/180)</f>
        <v>195.25822305219154</v>
      </c>
      <c r="Z19" s="2"/>
      <c r="AA19" s="2"/>
      <c r="AC19" s="8" t="s">
        <v>18</v>
      </c>
      <c r="AD19" s="8">
        <f>-$B$26/LN((Table11[[#This Row],[2 - Fíg A - S/sin]]-Table11[[#This Row],[10 - Fíg A - S/sin]])/(Table11[[#This Row],[2 - Fíg A - S/tan]]-Table11[[#This Row],[10 - Fíg A - S/tan]]))</f>
        <v>-6.2695518600677165</v>
      </c>
      <c r="AE19" s="8">
        <f>-$B$26/LN((Table11[[#This Row],[2 - Fíg B - S/sin]]-Table11[[#This Row],[10 - Fíg B - S/sin]])/(Table11[[#This Row],[2 - Fíg B - S/tan]]-Table11[[#This Row],[10 - Fíg B - S/tan]]))</f>
        <v>-6.380126217857752</v>
      </c>
      <c r="AF19" s="8">
        <f>-$B$26/LN((Table11[[#This Row],[2 - Fíg C - S/sin]]-Table11[[#This Row],[10 - Fíg C - S/sin]])/(Table11[[#This Row],[2 - Fíg C - S/tan]]-Table11[[#This Row],[10 - Fíg C - S/tan]]))</f>
        <v>-6.3402227154476707</v>
      </c>
      <c r="AG19" s="8">
        <f t="shared" si="0"/>
        <v>-5.7482385972963286</v>
      </c>
      <c r="AH19" s="8">
        <f>-$B$26/LN((Table11[[#This Row],[2 - Gord B - S/sin]]-Table11[[#This Row],[10 - Gord B - S/sin]])/(Table11[[#This Row],[2 - Gord B - S/tan]]-Table11[[#This Row],[10 - Gord B - S/tan]]))</f>
        <v>-4.7384107325798608</v>
      </c>
      <c r="AI19" s="8">
        <f t="shared" si="1"/>
        <v>-4.7384107325798608</v>
      </c>
    </row>
    <row r="20" spans="1:35">
      <c r="A20" s="1" t="s">
        <v>19</v>
      </c>
      <c r="B20" s="2">
        <f>Table4[[#This Row],[2 - Fígado A]]/SIN(Original!$B$25*PI()/180)</f>
        <v>461.36415255946281</v>
      </c>
      <c r="C20" s="2">
        <f>Table4[[#This Row],[10 - Fígado A]]/SIN(Original!$B$26*PI()/180)</f>
        <v>294.62536095785674</v>
      </c>
      <c r="D20" s="2">
        <f>Table4[[#This Row],[2 - Fígado A]]/TAN(Original!$B$25*PI()/180)</f>
        <v>461.08310198336574</v>
      </c>
      <c r="E20" s="2">
        <f>Table4[[#This Row],[10 - Fígado A]]/TAN(Original!$B$26*PI()/180)</f>
        <v>290.14933970531763</v>
      </c>
      <c r="F20" s="2">
        <f>Table4[[#This Row],[2 - Fígado B]]/SIN(Original!$B$25*PI()/180)</f>
        <v>421.44978786465657</v>
      </c>
      <c r="G20" s="2">
        <f>Table4[[#This Row],[10 - Fígado B]]/SIN(Original!$B$26*PI()/180)</f>
        <v>313.82919475908363</v>
      </c>
      <c r="H20" s="2">
        <f>Table4[[#This Row],[2 - Fígado B]]/TAN(Original!$B$25*PI()/180)</f>
        <v>421.19305204108156</v>
      </c>
      <c r="I20" s="2">
        <f>Table4[[#This Row],[10 - Fígado B]]/TAN(Original!$B$26*PI()/180)</f>
        <v>309.06142412032375</v>
      </c>
      <c r="J20" s="2">
        <f>Table4[[#This Row],[2 - Fígado C]]/SIN(Original!$B$25*PI()/180)</f>
        <v>452.82900539201995</v>
      </c>
      <c r="K20" s="2">
        <f>Table4[[#This Row],[10 - Fígado C]]/SIN(Original!$B$26*PI()/180)</f>
        <v>368.00209147344935</v>
      </c>
      <c r="L20" s="2">
        <f>Table4[[#This Row],[2 - Fígado C]]/TAN(Original!$B$25*PI()/180)</f>
        <v>452.55315419696535</v>
      </c>
      <c r="M20" s="2">
        <f>Table4[[#This Row],[10 - Fígado C]]/TAN(Original!$B$26*PI()/180)</f>
        <v>362.41131280776062</v>
      </c>
      <c r="N20" s="2">
        <f>Table4[[#This Row],[2 - Rim ]]/SIN(Original!$B$25*PI()/180)</f>
        <v>605.3499335564502</v>
      </c>
      <c r="O20" s="2">
        <f>Table4[[#This Row],[10 - Rim]]/SIN(Original!$B$26*PI()/180)</f>
        <v>293.44743063175923</v>
      </c>
      <c r="P20" s="2">
        <f>Table4[[#This Row],[2 - Rim ]]/TAN(Original!$B$25*PI()/180)</f>
        <v>604.98117073293542</v>
      </c>
      <c r="Q20" s="2">
        <f>Table4[[#This Row],[10 - Rim]]/TAN(Original!$B$26*PI()/180)</f>
        <v>288.98930478766857</v>
      </c>
      <c r="R20" s="2">
        <f>Table4[[#This Row],[2 - Gordura A]]/SIN(Original!$B$25*PI()/180)</f>
        <v>92.703174066553544</v>
      </c>
      <c r="S20" s="2">
        <f>Table4[[#This Row],[10 - Gordura A]]/SIN(Original!$B$26*PI()/180)</f>
        <v>90.177110520135543</v>
      </c>
      <c r="T20" s="2">
        <f>Table4[[#This Row],[2 - Gordura A]]/TAN(Original!$B$25*PI()/180)</f>
        <v>92.646701797668129</v>
      </c>
      <c r="U20" s="2">
        <f>Table4[[#This Row],[10 - Gordura A]]/TAN(Original!$B$26*PI()/180)</f>
        <v>88.80711758446823</v>
      </c>
      <c r="V20" s="2">
        <f>Table4[[#This Row],[2 - Gordura B]]/SIN(Original!$B$25*PI()/180)</f>
        <v>99.014879534914641</v>
      </c>
      <c r="W20" s="2">
        <f>Table4[[#This Row],[10 - Gordura B]]/SIN(Original!$B$26*PI()/180)</f>
        <v>90.724431681756641</v>
      </c>
      <c r="X20" s="2">
        <f>Table4[[#This Row],[2 - Gordura B]]/TAN(Original!$B$25*PI()/180)</f>
        <v>98.954562345594468</v>
      </c>
      <c r="Y20" s="2">
        <f>Table4[[#This Row],[10 - Gordura B]]/TAN(Original!$B$26*PI()/180)</f>
        <v>89.346123707820325</v>
      </c>
      <c r="Z20" s="2"/>
      <c r="AA20" s="2"/>
      <c r="AC20" s="8" t="s">
        <v>19</v>
      </c>
      <c r="AD20" s="8">
        <f>-$B$26/LN((Table11[[#This Row],[2 - Fíg A - S/sin]]-Table11[[#This Row],[10 - Fíg A - S/sin]])/(Table11[[#This Row],[2 - Fíg A - S/tan]]-Table11[[#This Row],[10 - Fíg A - S/tan]]))</f>
        <v>6.5197284588949005</v>
      </c>
      <c r="AE20" s="8">
        <f>-$B$26/LN((Table11[[#This Row],[2 - Fíg B - S/sin]]-Table11[[#This Row],[10 - Fíg B - S/sin]])/(Table11[[#This Row],[2 - Fíg B - S/tan]]-Table11[[#This Row],[10 - Fíg B - S/tan]]))</f>
        <v>3.9453096916003791</v>
      </c>
      <c r="AF20" s="8">
        <f>-$B$26/LN((Table11[[#This Row],[2 - Fíg C - S/sin]]-Table11[[#This Row],[10 - Fíg C - S/sin]])/(Table11[[#This Row],[2 - Fíg C - S/tan]]-Table11[[#This Row],[10 - Fíg C - S/tan]]))</f>
        <v>2.6657201013371776</v>
      </c>
      <c r="AG20" s="8">
        <f t="shared" si="0"/>
        <v>12.43683295313433</v>
      </c>
      <c r="AH20" s="8">
        <f>-$B$26/LN((Table11[[#This Row],[2 - Gord B - S/sin]]-Table11[[#This Row],[10 - Gord B - S/sin]])/(Table11[[#This Row],[2 - Gord B - S/tan]]-Table11[[#This Row],[10 - Gord B - S/tan]]))</f>
        <v>1.0980240937712196</v>
      </c>
      <c r="AI20" s="8">
        <f t="shared" si="1"/>
        <v>1.0980240937712196</v>
      </c>
    </row>
    <row r="21" spans="1:35">
      <c r="A21" s="1" t="s">
        <v>20</v>
      </c>
      <c r="B21" s="2">
        <f>Table4[[#This Row],[2 - Fígado A]]/SIN(Original!$B$25*PI()/180)</f>
        <v>193.12499413503113</v>
      </c>
      <c r="C21" s="2">
        <f>Table4[[#This Row],[10 - Fígado A]]/SIN(Original!$B$26*PI()/180)</f>
        <v>158.96927212444845</v>
      </c>
      <c r="D21" s="2">
        <f>Table4[[#This Row],[2 - Fígado A]]/TAN(Original!$B$25*PI()/180)</f>
        <v>193.00734760666674</v>
      </c>
      <c r="E21" s="2">
        <f>Table4[[#This Row],[10 - Fígado A]]/TAN(Original!$B$26*PI()/180)</f>
        <v>156.55417167886432</v>
      </c>
      <c r="F21" s="2">
        <f>Table4[[#This Row],[2 - Fígado B]]/SIN(Original!$B$25*PI()/180)</f>
        <v>177.37295551448872</v>
      </c>
      <c r="G21" s="2">
        <f>Table4[[#This Row],[10 - Fígado B]]/SIN(Original!$B$26*PI()/180)</f>
        <v>176.96202903556181</v>
      </c>
      <c r="H21" s="2">
        <f>Table4[[#This Row],[2 - Fígado B]]/TAN(Original!$B$25*PI()/180)</f>
        <v>177.26490470244616</v>
      </c>
      <c r="I21" s="2">
        <f>Table4[[#This Row],[10 - Fígado B]]/TAN(Original!$B$26*PI()/180)</f>
        <v>174.27357818299271</v>
      </c>
      <c r="J21" s="2">
        <f>Table4[[#This Row],[2 - Fígado C]]/SIN(Original!$B$25*PI()/180)</f>
        <v>207.9519130270655</v>
      </c>
      <c r="K21" s="2">
        <f>Table4[[#This Row],[10 - Fígado C]]/SIN(Original!$B$26*PI()/180)</f>
        <v>172.81752807367732</v>
      </c>
      <c r="L21" s="2">
        <f>Table4[[#This Row],[2 - Fígado C]]/TAN(Original!$B$25*PI()/180)</f>
        <v>207.82523434032203</v>
      </c>
      <c r="M21" s="2">
        <f>Table4[[#This Row],[10 - Fígado C]]/TAN(Original!$B$26*PI()/180)</f>
        <v>170.19204150336233</v>
      </c>
      <c r="N21" s="2">
        <f>Table4[[#This Row],[2 - Rim ]]/SIN(Original!$B$25*PI()/180)</f>
        <v>281.11138128691806</v>
      </c>
      <c r="O21" s="2">
        <f>Table4[[#This Row],[10 - Rim]]/SIN(Original!$B$26*PI()/180)</f>
        <v>143.52488451374984</v>
      </c>
      <c r="P21" s="2">
        <f>Table4[[#This Row],[2 - Rim ]]/TAN(Original!$B$25*PI()/180)</f>
        <v>280.94013582881337</v>
      </c>
      <c r="Q21" s="2">
        <f>Table4[[#This Row],[10 - Rim]]/TAN(Original!$B$26*PI()/180)</f>
        <v>141.34441901932263</v>
      </c>
      <c r="R21" s="2">
        <f>Table4[[#This Row],[2 - Gordura A]]/SIN(Original!$B$25*PI()/180)</f>
        <v>50.081481518962633</v>
      </c>
      <c r="S21" s="2">
        <f>Table4[[#This Row],[10 - Gordura A]]/SIN(Original!$B$26*PI()/180)</f>
        <v>48.890601062405246</v>
      </c>
      <c r="T21" s="2">
        <f>Table4[[#This Row],[2 - Gordura A]]/TAN(Original!$B$25*PI()/180)</f>
        <v>50.050973233577622</v>
      </c>
      <c r="U21" s="2">
        <f>Table4[[#This Row],[10 - Gordura A]]/TAN(Original!$B$26*PI()/180)</f>
        <v>48.147842975683574</v>
      </c>
      <c r="V21" s="2">
        <f>Table4[[#This Row],[2 - Gordura B]]/SIN(Original!$B$25*PI()/180)</f>
        <v>46.781054379420411</v>
      </c>
      <c r="W21" s="2">
        <f>Table4[[#This Row],[10 - Gordura B]]/SIN(Original!$B$26*PI()/180)</f>
        <v>47.512123718408667</v>
      </c>
      <c r="X21" s="2">
        <f>Table4[[#This Row],[2 - Gordura B]]/TAN(Original!$B$25*PI()/180)</f>
        <v>46.752556625074249</v>
      </c>
      <c r="Y21" s="2">
        <f>Table4[[#This Row],[10 - Gordura B]]/TAN(Original!$B$26*PI()/180)</f>
        <v>46.790307799964069</v>
      </c>
      <c r="Z21" s="2"/>
      <c r="AA21" s="2"/>
      <c r="AC21" s="8" t="s">
        <v>20</v>
      </c>
      <c r="AD21" s="8">
        <f>-$B$26/LN((Table11[[#This Row],[2 - Fíg A - S/sin]]-Table11[[#This Row],[10 - Fíg A - S/sin]])/(Table11[[#This Row],[2 - Fíg A - S/tan]]-Table11[[#This Row],[10 - Fíg A - S/tan]]))</f>
        <v>2.4885381870705521</v>
      </c>
      <c r="AE21" s="8">
        <f>-$B$26/LN((Table11[[#This Row],[2 - Fíg B - S/sin]]-Table11[[#This Row],[10 - Fíg B - S/sin]])/(Table11[[#This Row],[2 - Fíg B - S/tan]]-Table11[[#This Row],[10 - Fíg B - S/tan]]))</f>
        <v>8.1609710024698287E-2</v>
      </c>
      <c r="AF21" s="8">
        <f>-$B$26/LN((Table11[[#This Row],[2 - Fíg C - S/sin]]-Table11[[#This Row],[10 - Fíg C - S/sin]])/(Table11[[#This Row],[2 - Fíg C - S/tan]]-Table11[[#This Row],[10 - Fíg C - S/tan]]))</f>
        <v>2.3578668430554233</v>
      </c>
      <c r="AG21" s="8">
        <f t="shared" si="0"/>
        <v>11.174169903090673</v>
      </c>
      <c r="AH21" s="8">
        <f>-$B$26/LN((Table11[[#This Row],[2 - Gord B - S/sin]]-Table11[[#This Row],[10 - Gord B - S/sin]])/(Table11[[#This Row],[2 - Gord B - S/tan]]-Table11[[#This Row],[10 - Gord B - S/tan]]))</f>
        <v>-5.4665244831994218E-2</v>
      </c>
      <c r="AI21" s="8">
        <f t="shared" si="1"/>
        <v>-5.4665244831994218E-2</v>
      </c>
    </row>
    <row r="22" spans="1:35">
      <c r="A22" s="1" t="s">
        <v>21</v>
      </c>
      <c r="B22" s="2">
        <f>Table4[[#This Row],[2 - Fígado A]]/SIN(Original!$B$25*PI()/180)</f>
        <v>421.31299434992781</v>
      </c>
      <c r="C22" s="2">
        <f>Table4[[#This Row],[10 - Fígado A]]/SIN(Original!$B$26*PI()/180)</f>
        <v>423.83207602471686</v>
      </c>
      <c r="D22" s="2">
        <f>Table4[[#This Row],[2 - Fígado A]]/TAN(Original!$B$25*PI()/180)</f>
        <v>421.05634185726592</v>
      </c>
      <c r="E22" s="2">
        <f>Table4[[#This Row],[10 - Fígado A]]/TAN(Original!$B$26*PI()/180)</f>
        <v>417.39311444440068</v>
      </c>
      <c r="F22" s="2">
        <f>Table4[[#This Row],[2 - Fígado B]]/SIN(Original!$B$25*PI()/180)</f>
        <v>384.9516882397748</v>
      </c>
      <c r="G22" s="2">
        <f>Table4[[#This Row],[10 - Fígado B]]/SIN(Original!$B$26*PI()/180)</f>
        <v>474.90548654869048</v>
      </c>
      <c r="H22" s="2">
        <f>Table4[[#This Row],[2 - Fígado B]]/TAN(Original!$B$25*PI()/180)</f>
        <v>384.71718607234561</v>
      </c>
      <c r="I22" s="2">
        <f>Table4[[#This Row],[10 - Fígado B]]/TAN(Original!$B$26*PI()/180)</f>
        <v>467.69060510118521</v>
      </c>
      <c r="J22" s="2">
        <f>Table4[[#This Row],[2 - Fígado C]]/SIN(Original!$B$25*PI()/180)</f>
        <v>430.55497500010409</v>
      </c>
      <c r="K22" s="2">
        <f>Table4[[#This Row],[10 - Fígado C]]/SIN(Original!$B$26*PI()/180)</f>
        <v>525.13942615675376</v>
      </c>
      <c r="L22" s="2">
        <f>Table4[[#This Row],[2 - Fígado C]]/TAN(Original!$B$25*PI()/180)</f>
        <v>430.29269254254007</v>
      </c>
      <c r="M22" s="2">
        <f>Table4[[#This Row],[10 - Fígado C]]/TAN(Original!$B$26*PI()/180)</f>
        <v>517.16137829155298</v>
      </c>
      <c r="N22" s="2">
        <f>Table4[[#This Row],[2 - Rim ]]/SIN(Original!$B$25*PI()/180)</f>
        <v>597.16040996409265</v>
      </c>
      <c r="O22" s="2">
        <f>Table4[[#This Row],[10 - Rim]]/SIN(Original!$B$26*PI()/180)</f>
        <v>355.59987997953988</v>
      </c>
      <c r="P22" s="2">
        <f>Table4[[#This Row],[2 - Rim ]]/TAN(Original!$B$25*PI()/180)</f>
        <v>596.79663597707668</v>
      </c>
      <c r="Q22" s="2">
        <f>Table4[[#This Row],[10 - Rim]]/TAN(Original!$B$26*PI()/180)</f>
        <v>350.19751877406151</v>
      </c>
      <c r="R22" s="2">
        <f>Table4[[#This Row],[2 - Gordura A]]/SIN(Original!$B$25*PI()/180)</f>
        <v>88.994207496292034</v>
      </c>
      <c r="S22" s="2">
        <f>Table4[[#This Row],[10 - Gordura A]]/SIN(Original!$B$26*PI()/180)</f>
        <v>193.83383448365379</v>
      </c>
      <c r="T22" s="2">
        <f>Table4[[#This Row],[2 - Gordura A]]/TAN(Original!$B$25*PI()/180)</f>
        <v>88.939994629628302</v>
      </c>
      <c r="U22" s="2">
        <f>Table4[[#This Row],[10 - Gordura A]]/TAN(Original!$B$26*PI()/180)</f>
        <v>190.88906299558732</v>
      </c>
      <c r="V22" s="2">
        <f>Table4[[#This Row],[2 - Gordura B]]/SIN(Original!$B$25*PI()/180)</f>
        <v>95.452888954523331</v>
      </c>
      <c r="W22" s="2">
        <f>Table4[[#This Row],[10 - Gordura B]]/SIN(Original!$B$26*PI()/180)</f>
        <v>167.64234190725708</v>
      </c>
      <c r="X22" s="2">
        <f>Table4[[#This Row],[2 - Gordura B]]/TAN(Original!$B$25*PI()/180)</f>
        <v>95.394741633622971</v>
      </c>
      <c r="Y22" s="2">
        <f>Table4[[#This Row],[10 - Gordura B]]/TAN(Original!$B$26*PI()/180)</f>
        <v>165.09547804339016</v>
      </c>
      <c r="Z22" s="2"/>
      <c r="AA22" s="2"/>
      <c r="AC22" s="8" t="s">
        <v>21</v>
      </c>
      <c r="AD22" s="8" t="e">
        <f>-$B$26/LN((Table11[[#This Row],[2 - Fíg A - S/sin]]-Table11[[#This Row],[10 - Fíg A - S/sin]])/(Table11[[#This Row],[2 - Fíg A - S/tan]]-Table11[[#This Row],[10 - Fíg A - S/tan]]))</f>
        <v>#NUM!</v>
      </c>
      <c r="AE22" s="8">
        <f>-$B$26/LN((Table11[[#This Row],[2 - Fíg B - S/sin]]-Table11[[#This Row],[10 - Fíg B - S/sin]])/(Table11[[#This Row],[2 - Fíg B - S/tan]]-Table11[[#This Row],[10 - Fíg B - S/tan]]))</f>
        <v>-2.0055491177884477</v>
      </c>
      <c r="AF22" s="8">
        <f>-$B$26/LN((Table11[[#This Row],[2 - Fíg C - S/sin]]-Table11[[#This Row],[10 - Fíg C - S/sin]])/(Table11[[#This Row],[2 - Fíg C - S/tan]]-Table11[[#This Row],[10 - Fíg C - S/tan]]))</f>
        <v>-1.9037439057166849</v>
      </c>
      <c r="AG22" s="8">
        <f t="shared" si="0"/>
        <v>7.8473440071053968</v>
      </c>
      <c r="AH22" s="8">
        <f>-$B$26/LN((Table11[[#This Row],[2 - Gord B - S/sin]]-Table11[[#This Row],[10 - Gord B - S/sin]])/(Table11[[#This Row],[2 - Gord B - S/tan]]-Table11[[#This Row],[10 - Gord B - S/tan]]))</f>
        <v>-4.617611710524721</v>
      </c>
      <c r="AI22" s="8">
        <f t="shared" si="1"/>
        <v>-4.617611710524721</v>
      </c>
    </row>
    <row r="23" spans="1:35">
      <c r="A23" s="1" t="s">
        <v>22</v>
      </c>
      <c r="B23" s="2">
        <f>Table4[[#This Row],[2 - Fígado A]]/SIN(Original!$B$25*PI()/180)</f>
        <v>229.11860589768139</v>
      </c>
      <c r="C23" s="2">
        <f>Table4[[#This Row],[10 - Fígado A]]/SIN(Original!$B$26*PI()/180)</f>
        <v>172.93850851917634</v>
      </c>
      <c r="D23" s="2">
        <f>Table4[[#This Row],[2 - Fígado A]]/TAN(Original!$B$25*PI()/180)</f>
        <v>228.97903303354607</v>
      </c>
      <c r="E23" s="2">
        <f>Table4[[#This Row],[10 - Fígado A]]/TAN(Original!$B$26*PI()/180)</f>
        <v>170.31118398405263</v>
      </c>
      <c r="F23" s="2">
        <f>Table4[[#This Row],[2 - Fígado B]]/SIN(Original!$B$25*PI()/180)</f>
        <v>242.69579909738647</v>
      </c>
      <c r="G23" s="2">
        <f>Table4[[#This Row],[10 - Fígado B]]/SIN(Original!$B$26*PI()/180)</f>
        <v>170.09322767132872</v>
      </c>
      <c r="H23" s="2">
        <f>Table4[[#This Row],[2 - Fígado B]]/TAN(Original!$B$25*PI()/180)</f>
        <v>242.54795537399738</v>
      </c>
      <c r="I23" s="2">
        <f>Table4[[#This Row],[10 - Fígado B]]/TAN(Original!$B$26*PI()/180)</f>
        <v>167.50912934559517</v>
      </c>
      <c r="J23" s="2">
        <f>Table4[[#This Row],[2 - Fígado C]]/SIN(Original!$B$25*PI()/180)</f>
        <v>254.82920079119242</v>
      </c>
      <c r="K23" s="2">
        <f>Table4[[#This Row],[10 - Fígado C]]/SIN(Original!$B$26*PI()/180)</f>
        <v>188.00290643278049</v>
      </c>
      <c r="L23" s="2">
        <f>Table4[[#This Row],[2 - Fígado C]]/TAN(Original!$B$25*PI()/180)</f>
        <v>254.673965727325</v>
      </c>
      <c r="M23" s="2">
        <f>Table4[[#This Row],[10 - Fígado C]]/TAN(Original!$B$26*PI()/180)</f>
        <v>185.14671984383094</v>
      </c>
      <c r="N23" s="2">
        <f>Table4[[#This Row],[2 - Rim ]]/SIN(Original!$B$25*PI()/180)</f>
        <v>362.58602452954699</v>
      </c>
      <c r="O23" s="2">
        <f>Table4[[#This Row],[10 - Rim]]/SIN(Original!$B$26*PI()/180)</f>
        <v>182.27336828711475</v>
      </c>
      <c r="P23" s="2">
        <f>Table4[[#This Row],[2 - Rim ]]/TAN(Original!$B$25*PI()/180)</f>
        <v>362.3651469201501</v>
      </c>
      <c r="Q23" s="2">
        <f>Table4[[#This Row],[10 - Rim]]/TAN(Original!$B$26*PI()/180)</f>
        <v>179.50422625680014</v>
      </c>
      <c r="R23" s="2">
        <f>Table4[[#This Row],[2 - Gordura A]]/SIN(Original!$B$25*PI()/180)</f>
        <v>70.801314231590837</v>
      </c>
      <c r="S23" s="2">
        <f>Table4[[#This Row],[10 - Gordura A]]/SIN(Original!$B$26*PI()/180)</f>
        <v>68.744713635496339</v>
      </c>
      <c r="T23" s="2">
        <f>Table4[[#This Row],[2 - Gordura A]]/TAN(Original!$B$25*PI()/180)</f>
        <v>70.758183983948442</v>
      </c>
      <c r="U23" s="2">
        <f>Table4[[#This Row],[10 - Gordura A]]/TAN(Original!$B$26*PI()/180)</f>
        <v>67.700326966840848</v>
      </c>
      <c r="V23" s="2">
        <f>Table4[[#This Row],[2 - Gordura B]]/SIN(Original!$B$25*PI()/180)</f>
        <v>69.885061929770259</v>
      </c>
      <c r="W23" s="2">
        <f>Table4[[#This Row],[10 - Gordura B]]/SIN(Original!$B$26*PI()/180)</f>
        <v>59.91654771717463</v>
      </c>
      <c r="X23" s="2">
        <f>Table4[[#This Row],[2 - Gordura B]]/TAN(Original!$B$25*PI()/180)</f>
        <v>69.842489838273821</v>
      </c>
      <c r="Y23" s="2">
        <f>Table4[[#This Row],[10 - Gordura B]]/TAN(Original!$B$26*PI()/180)</f>
        <v>59.006280725599488</v>
      </c>
      <c r="Z23" s="2"/>
      <c r="AA23" s="2"/>
      <c r="AC23" s="8" t="s">
        <v>22</v>
      </c>
      <c r="AD23" s="8">
        <f>-$B$26/LN((Table11[[#This Row],[2 - Fíg A - S/sin]]-Table11[[#This Row],[10 - Fíg A - S/sin]])/(Table11[[#This Row],[2 - Fíg A - S/tan]]-Table11[[#This Row],[10 - Fíg A - S/tan]]))</f>
        <v>3.7388090681306001</v>
      </c>
      <c r="AE23" s="8">
        <f>-$B$26/LN((Table11[[#This Row],[2 - Fíg B - S/sin]]-Table11[[#This Row],[10 - Fíg B - S/sin]])/(Table11[[#This Row],[2 - Fíg B - S/tan]]-Table11[[#This Row],[10 - Fíg B - S/tan]]))</f>
        <v>4.908299680840333</v>
      </c>
      <c r="AF23" s="8">
        <f>-$B$26/LN((Table11[[#This Row],[2 - Fíg C - S/sin]]-Table11[[#This Row],[10 - Fíg C - S/sin]])/(Table11[[#This Row],[2 - Fíg C - S/tan]]-Table11[[#This Row],[10 - Fíg C - S/tan]]))</f>
        <v>4.0886302332207931</v>
      </c>
      <c r="AG23" s="8">
        <f t="shared" si="0"/>
        <v>11.54376944304963</v>
      </c>
      <c r="AH23" s="8">
        <f>-$B$26/LN((Table11[[#This Row],[2 - Gord B - S/sin]]-Table11[[#This Row],[10 - Gord B - S/sin]])/(Table11[[#This Row],[2 - Gord B - S/tan]]-Table11[[#This Row],[10 - Gord B - S/tan]]))</f>
        <v>1.9410106507923837</v>
      </c>
      <c r="AI23" s="8">
        <f t="shared" si="1"/>
        <v>1.9410106507923837</v>
      </c>
    </row>
    <row r="26" spans="1:35">
      <c r="A26" t="s">
        <v>71</v>
      </c>
      <c r="B26">
        <v>0.16200000000000001</v>
      </c>
    </row>
  </sheetData>
  <conditionalFormatting sqref="E2:E23">
    <cfRule type="cellIs" dxfId="106" priority="20" operator="greaterThan">
      <formula>$D2</formula>
    </cfRule>
  </conditionalFormatting>
  <conditionalFormatting sqref="C2:C23">
    <cfRule type="cellIs" dxfId="105" priority="19" operator="greaterThan">
      <formula>$B2</formula>
    </cfRule>
  </conditionalFormatting>
  <conditionalFormatting sqref="G2:G23">
    <cfRule type="cellIs" dxfId="104" priority="14" operator="greaterThan">
      <formula>$F2</formula>
    </cfRule>
  </conditionalFormatting>
  <conditionalFormatting sqref="I2:I23">
    <cfRule type="cellIs" dxfId="103" priority="13" operator="greaterThan">
      <formula>$H2</formula>
    </cfRule>
  </conditionalFormatting>
  <conditionalFormatting sqref="K2:K23">
    <cfRule type="cellIs" dxfId="102" priority="12" operator="greaterThan">
      <formula>$J2</formula>
    </cfRule>
  </conditionalFormatting>
  <conditionalFormatting sqref="M2:M23 Z2:AA23">
    <cfRule type="cellIs" dxfId="101" priority="11" operator="greaterThan">
      <formula>$L2</formula>
    </cfRule>
  </conditionalFormatting>
  <conditionalFormatting sqref="AC2:AI23">
    <cfRule type="cellIs" dxfId="100" priority="10" operator="lessThan">
      <formula>0</formula>
    </cfRule>
  </conditionalFormatting>
  <conditionalFormatting sqref="O2:O23">
    <cfRule type="cellIs" dxfId="99" priority="7" operator="greaterThan">
      <formula>$N2</formula>
    </cfRule>
  </conditionalFormatting>
  <conditionalFormatting sqref="Q2:Q23">
    <cfRule type="cellIs" dxfId="98" priority="6" operator="greaterThan">
      <formula>$P2</formula>
    </cfRule>
  </conditionalFormatting>
  <conditionalFormatting sqref="S2:S23">
    <cfRule type="cellIs" dxfId="97" priority="4" operator="greaterThan">
      <formula>$R2</formula>
    </cfRule>
  </conditionalFormatting>
  <conditionalFormatting sqref="U2:U23">
    <cfRule type="cellIs" dxfId="96" priority="3" operator="greaterThan">
      <formula>$T2</formula>
    </cfRule>
  </conditionalFormatting>
  <conditionalFormatting sqref="W2:W23">
    <cfRule type="cellIs" dxfId="95" priority="2" operator="greaterThan">
      <formula>$V2</formula>
    </cfRule>
  </conditionalFormatting>
  <conditionalFormatting sqref="Y2:Y23">
    <cfRule type="cellIs" dxfId="94" priority="1" operator="greaterThan">
      <formula>$X2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2:Q27"/>
  <sheetViews>
    <sheetView workbookViewId="0">
      <selection activeCell="B3" sqref="B3"/>
    </sheetView>
  </sheetViews>
  <sheetFormatPr defaultRowHeight="15"/>
  <cols>
    <col min="1" max="1" width="10.85546875" customWidth="1"/>
    <col min="2" max="5" width="10.5703125" bestFit="1" customWidth="1"/>
    <col min="6" max="6" width="12" customWidth="1"/>
    <col min="7" max="7" width="11.85546875" customWidth="1"/>
    <col min="8" max="10" width="10.5703125" bestFit="1" customWidth="1"/>
    <col min="11" max="11" width="10.85546875" customWidth="1"/>
    <col min="12" max="15" width="11.5703125" bestFit="1" customWidth="1"/>
    <col min="16" max="16" width="12.140625" customWidth="1"/>
    <col min="17" max="17" width="12" customWidth="1"/>
    <col min="18" max="24" width="10.5703125" bestFit="1" customWidth="1"/>
  </cols>
  <sheetData>
    <row r="2" spans="1:17">
      <c r="A2" s="1" t="s">
        <v>44</v>
      </c>
      <c r="B2" s="1" t="s">
        <v>38</v>
      </c>
      <c r="C2" s="1" t="s">
        <v>39</v>
      </c>
      <c r="D2" s="1" t="s">
        <v>40</v>
      </c>
      <c r="E2" s="1" t="s">
        <v>41</v>
      </c>
      <c r="F2" s="1" t="s">
        <v>42</v>
      </c>
      <c r="G2" s="1" t="s">
        <v>43</v>
      </c>
      <c r="K2" s="1" t="s">
        <v>44</v>
      </c>
      <c r="L2" s="1" t="s">
        <v>38</v>
      </c>
      <c r="M2" s="1" t="s">
        <v>39</v>
      </c>
      <c r="N2" s="1" t="s">
        <v>40</v>
      </c>
      <c r="O2" s="1" t="s">
        <v>41</v>
      </c>
      <c r="P2" s="1" t="s">
        <v>42</v>
      </c>
      <c r="Q2" s="1" t="s">
        <v>43</v>
      </c>
    </row>
    <row r="3" spans="1:17">
      <c r="A3" s="1" t="s">
        <v>1</v>
      </c>
      <c r="B3" s="2">
        <f>(Rescaled!C2-Rescaled!B2)/(Original!$B$26-Original!$B$25)</f>
        <v>4.3053099091985798</v>
      </c>
      <c r="C3" s="2">
        <f>(Rescaled!E2-Rescaled!D2)/(Original!$B$26-Original!$B$25)</f>
        <v>4.2721838399789451</v>
      </c>
      <c r="D3" s="2">
        <f>(Rescaled!G2-Rescaled!F2)/(Original!$B$26-Original!$B$25)</f>
        <v>5.4205553362284515</v>
      </c>
      <c r="E3" s="2">
        <f>(Rescaled!I2-Rescaled!H2)/(Original!$B$26-Original!$B$25)</f>
        <v>4.1369752599026199</v>
      </c>
      <c r="F3" s="2">
        <f>(Rescaled!K2-Rescaled!J2)/(Original!$B$26-Original!$B$25)</f>
        <v>1.2459501250164497</v>
      </c>
      <c r="G3" s="2">
        <f>(Rescaled!M2-Rescaled!L2)/(Original!$B$26-Original!$B$25)</f>
        <v>1.341607448348467</v>
      </c>
      <c r="K3" s="1" t="s">
        <v>1</v>
      </c>
      <c r="L3" s="2">
        <v>4.3053099091985798</v>
      </c>
      <c r="M3" s="2">
        <v>4.2721838399789451</v>
      </c>
      <c r="N3" s="2">
        <v>5.4205553362284515</v>
      </c>
      <c r="O3" s="2">
        <v>4.1369752599026199</v>
      </c>
      <c r="P3" s="2">
        <v>1.2459501250164497</v>
      </c>
      <c r="Q3" s="2">
        <v>1.341607448348467</v>
      </c>
    </row>
    <row r="4" spans="1:17">
      <c r="A4" s="1" t="s">
        <v>2</v>
      </c>
      <c r="B4" s="2">
        <f>(Rescaled!C3-Rescaled!B3)/(Original!$B$26-Original!$B$25)</f>
        <v>4.7759486548452914</v>
      </c>
      <c r="C4" s="2">
        <f>(Rescaled!E3-Rescaled!D3)/(Original!$B$26-Original!$B$25)</f>
        <v>4.0023371931595886</v>
      </c>
      <c r="D4" s="2">
        <f>(Rescaled!G3-Rescaled!F3)/(Original!$B$26-Original!$B$25)</f>
        <v>4.0767519088786521</v>
      </c>
      <c r="E4" s="2">
        <f>(Rescaled!I3-Rescaled!H3)/(Original!$B$26-Original!$B$25)</f>
        <v>2.5453016869649359</v>
      </c>
      <c r="F4" s="2">
        <f>(Rescaled!K3-Rescaled!J3)/(Original!$B$26-Original!$B$25)</f>
        <v>1.4127150775120425</v>
      </c>
      <c r="G4" s="2">
        <f>(Rescaled!M3-Rescaled!L3)/(Original!$B$26-Original!$B$25)</f>
        <v>1.1204257903704173</v>
      </c>
      <c r="K4" s="1" t="s">
        <v>2</v>
      </c>
      <c r="L4" s="2">
        <v>4.7759486548452914</v>
      </c>
      <c r="M4" s="2">
        <v>4.0023371931595886</v>
      </c>
      <c r="N4" s="2">
        <v>4.0767519088786521</v>
      </c>
      <c r="O4" s="2">
        <v>2.5453016869649359</v>
      </c>
      <c r="P4" s="2">
        <v>1.4127150775120425</v>
      </c>
      <c r="Q4" s="2">
        <v>1.1204257903704173</v>
      </c>
    </row>
    <row r="5" spans="1:17">
      <c r="A5" s="1" t="s">
        <v>3</v>
      </c>
      <c r="B5" s="2">
        <f>(Rescaled!C4-Rescaled!B4)/(Original!$B$26-Original!$B$25)</f>
        <v>4.1195956541218637</v>
      </c>
      <c r="C5" s="2">
        <f>(Rescaled!E4-Rescaled!D4)/(Original!$B$26-Original!$B$25)</f>
        <v>4.8627912186379927</v>
      </c>
      <c r="D5" s="2">
        <f>(Rescaled!G4-Rescaled!F4)/(Original!$B$26-Original!$B$25)</f>
        <v>5.051579301075269</v>
      </c>
      <c r="E5" s="2">
        <f>(Rescaled!I4-Rescaled!H4)/(Original!$B$26-Original!$B$25)</f>
        <v>4.0224574372759863</v>
      </c>
      <c r="F5" s="2">
        <f>(Rescaled!K4-Rescaled!J4)/(Original!$B$26-Original!$B$25)</f>
        <v>0.94531250000000022</v>
      </c>
      <c r="G5" s="2">
        <f>(Rescaled!M4-Rescaled!L4)/(Original!$B$26-Original!$B$25)</f>
        <v>1.0257896505376345</v>
      </c>
      <c r="K5" s="1" t="s">
        <v>3</v>
      </c>
      <c r="L5" s="2">
        <v>4.1195956541218637</v>
      </c>
      <c r="M5" s="2">
        <v>4.8627912186379927</v>
      </c>
      <c r="N5" s="2">
        <v>5.051579301075269</v>
      </c>
      <c r="O5" s="2">
        <v>4.0224574372759863</v>
      </c>
      <c r="P5" s="2">
        <v>0.94531250000000022</v>
      </c>
      <c r="Q5" s="2">
        <v>1.0257896505376345</v>
      </c>
    </row>
    <row r="6" spans="1:17">
      <c r="A6" s="1" t="s">
        <v>4</v>
      </c>
      <c r="B6" s="2">
        <f>(Rescaled!C5-Rescaled!B5)/(Original!$B$26-Original!$B$25)</f>
        <v>4.1090880595914161</v>
      </c>
      <c r="C6" s="2">
        <f>(Rescaled!E5-Rescaled!D5)/(Original!$B$26-Original!$B$25)</f>
        <v>3.7317402954986845</v>
      </c>
      <c r="D6" s="2">
        <f>(Rescaled!G5-Rescaled!F5)/(Original!$B$26-Original!$B$25)</f>
        <v>4.3296073333825014</v>
      </c>
      <c r="E6" s="2">
        <f>(Rescaled!I5-Rescaled!H5)/(Original!$B$26-Original!$B$25)</f>
        <v>2.2003666076652655</v>
      </c>
      <c r="F6" s="2">
        <f>(Rescaled!K5-Rescaled!J5)/(Original!$B$26-Original!$B$25)</f>
        <v>0.86816951225508288</v>
      </c>
      <c r="G6" s="2">
        <f>(Rescaled!M5-Rescaled!L5)/(Original!$B$26-Original!$B$25)</f>
        <v>1.0660193413968584</v>
      </c>
      <c r="K6" s="1" t="s">
        <v>4</v>
      </c>
      <c r="L6" s="2">
        <v>4.1090880595914161</v>
      </c>
      <c r="M6" s="2">
        <v>3.7317402954986845</v>
      </c>
      <c r="N6" s="2">
        <v>4.3296073333825014</v>
      </c>
      <c r="O6" s="2">
        <v>2.2003666076652655</v>
      </c>
      <c r="P6" s="2">
        <v>0.86816951225508288</v>
      </c>
      <c r="Q6" s="2">
        <v>1.0660193413968584</v>
      </c>
    </row>
    <row r="7" spans="1:17">
      <c r="A7" s="1" t="s">
        <v>5</v>
      </c>
      <c r="B7" s="2">
        <f>(Rescaled!C6-Rescaled!B6)/(Original!$B$26-Original!$B$25)</f>
        <v>3.5013989086200525</v>
      </c>
      <c r="C7" s="2">
        <f>(Rescaled!E6-Rescaled!D6)/(Original!$B$26-Original!$B$25)</f>
        <v>3.6359319671264734</v>
      </c>
      <c r="D7" s="2">
        <f>(Rescaled!G6-Rescaled!F6)/(Original!$B$26-Original!$B$25)</f>
        <v>4.6853842952275251</v>
      </c>
      <c r="E7" s="2">
        <f>(Rescaled!I6-Rescaled!H6)/(Original!$B$26-Original!$B$25)</f>
        <v>3.4176295518207285</v>
      </c>
      <c r="F7" s="2">
        <f>(Rescaled!K6-Rescaled!J6)/(Original!$B$26-Original!$B$25)</f>
        <v>1.1579973970720365</v>
      </c>
      <c r="G7" s="2">
        <f>(Rescaled!M6-Rescaled!L6)/(Original!$B$26-Original!$B$25)</f>
        <v>1.0103076608001693</v>
      </c>
      <c r="K7" s="1" t="s">
        <v>5</v>
      </c>
      <c r="L7" s="2">
        <v>3.5013989086200525</v>
      </c>
      <c r="M7" s="2">
        <v>3.6359319671264734</v>
      </c>
      <c r="N7" s="2">
        <v>4.6853842952275251</v>
      </c>
      <c r="O7" s="2">
        <v>3.4176295518207285</v>
      </c>
      <c r="P7" s="2">
        <v>1.1579973970720365</v>
      </c>
      <c r="Q7" s="2">
        <v>1.0103076608001693</v>
      </c>
    </row>
    <row r="8" spans="1:17">
      <c r="A8" s="1" t="s">
        <v>6</v>
      </c>
      <c r="B8" s="2">
        <f>(Rescaled!C7-Rescaled!B7)/(Original!$B$26-Original!$B$25)</f>
        <v>5.8945377164332688</v>
      </c>
      <c r="C8" s="2">
        <f>(Rescaled!E7-Rescaled!D7)/(Original!$B$26-Original!$B$25)</f>
        <v>6.9735694152386927</v>
      </c>
      <c r="D8" s="2">
        <f>(Rescaled!G7-Rescaled!F7)/(Original!$B$26-Original!$B$25)</f>
        <v>7.0485269115475813</v>
      </c>
      <c r="E8" s="2">
        <f>(Rescaled!I7-Rescaled!H7)/(Original!$B$26-Original!$B$25)</f>
        <v>3.5124015703995344</v>
      </c>
      <c r="F8" s="2">
        <f>(Rescaled!K7-Rescaled!J7)/(Original!$B$26-Original!$B$25)</f>
        <v>1.5224206970605341</v>
      </c>
      <c r="G8" s="2">
        <f>(Rescaled!M7-Rescaled!L7)/(Original!$B$26-Original!$B$25)</f>
        <v>1.7330013198514604</v>
      </c>
      <c r="K8" s="1" t="s">
        <v>6</v>
      </c>
      <c r="L8" s="2">
        <v>5.8945377164332688</v>
      </c>
      <c r="M8" s="2">
        <v>6.9735694152386927</v>
      </c>
      <c r="N8" s="2">
        <v>7.0485269115475813</v>
      </c>
      <c r="O8" s="2">
        <v>3.5124015703995344</v>
      </c>
      <c r="P8" s="2">
        <v>1.5224206970605341</v>
      </c>
      <c r="Q8" s="2">
        <v>1.7330013198514604</v>
      </c>
    </row>
    <row r="9" spans="1:17">
      <c r="A9" s="1" t="s">
        <v>7</v>
      </c>
      <c r="B9" s="2">
        <f>(Rescaled!C8-Rescaled!B8)/(Original!$B$26-Original!$B$25)</f>
        <v>2.7667948506807205</v>
      </c>
      <c r="C9" s="2">
        <f>(Rescaled!E8-Rescaled!D8)/(Original!$B$26-Original!$B$25)</f>
        <v>2.4139926438296007</v>
      </c>
      <c r="D9" s="2">
        <f>(Rescaled!G8-Rescaled!F8)/(Original!$B$26-Original!$B$25)</f>
        <v>2.1966721563460689</v>
      </c>
      <c r="E9" s="2">
        <f>(Rescaled!I8-Rescaled!H8)/(Original!$B$26-Original!$B$25)</f>
        <v>1.8576306543697845</v>
      </c>
      <c r="F9" s="2">
        <f>(Rescaled!K8-Rescaled!J8)/(Original!$B$26-Original!$B$25)</f>
        <v>0.83144378568291599</v>
      </c>
      <c r="G9" s="2">
        <f>(Rescaled!M8-Rescaled!L8)/(Original!$B$26-Original!$B$25)</f>
        <v>0.8723042929292929</v>
      </c>
      <c r="K9" s="1" t="s">
        <v>7</v>
      </c>
      <c r="L9" s="2">
        <v>2.7667948506807205</v>
      </c>
      <c r="M9" s="2">
        <v>2.4139926438296007</v>
      </c>
      <c r="N9" s="2">
        <v>2.1966721563460689</v>
      </c>
      <c r="O9" s="2">
        <v>1.8576306543697845</v>
      </c>
      <c r="P9" s="2">
        <v>0.83144378568291599</v>
      </c>
      <c r="Q9" s="2">
        <v>0.8723042929292929</v>
      </c>
    </row>
    <row r="10" spans="1:17">
      <c r="A10" s="1" t="s">
        <v>8</v>
      </c>
      <c r="B10" s="2">
        <f>(Rescaled!C9-Rescaled!B9)/(Original!$B$26-Original!$B$25)</f>
        <v>4.5129030593819319</v>
      </c>
      <c r="C10" s="2">
        <f>(Rescaled!E9-Rescaled!D9)/(Original!$B$26-Original!$B$25)</f>
        <v>4.7347108290770272</v>
      </c>
      <c r="D10" s="2">
        <f>(Rescaled!G9-Rescaled!F9)/(Original!$B$26-Original!$B$25)</f>
        <v>5.4178643656812682</v>
      </c>
      <c r="E10" s="2">
        <f>(Rescaled!I9-Rescaled!H9)/(Original!$B$26-Original!$B$25)</f>
        <v>3.0731968735489872</v>
      </c>
      <c r="F10" s="2">
        <f>(Rescaled!K9-Rescaled!J9)/(Original!$B$26-Original!$B$25)</f>
        <v>1.0208698343909612</v>
      </c>
      <c r="G10" s="2">
        <f>(Rescaled!M9-Rescaled!L9)/(Original!$B$26-Original!$B$25)</f>
        <v>1.3078117422483622</v>
      </c>
      <c r="K10" s="1" t="s">
        <v>8</v>
      </c>
      <c r="L10" s="2">
        <v>4.5129030593819319</v>
      </c>
      <c r="M10" s="2">
        <v>4.7347108290770272</v>
      </c>
      <c r="N10" s="2">
        <v>5.4178643656812682</v>
      </c>
      <c r="O10" s="2">
        <v>3.0731968735489872</v>
      </c>
      <c r="P10" s="2">
        <v>1.0208698343909612</v>
      </c>
      <c r="Q10" s="2">
        <v>1.3078117422483622</v>
      </c>
    </row>
    <row r="11" spans="1:17">
      <c r="A11" s="1" t="s">
        <v>9</v>
      </c>
      <c r="B11" s="2">
        <f>(Rescaled!C10-Rescaled!B10)/(Original!$B$26-Original!$B$25)</f>
        <v>7.7612001811760294</v>
      </c>
      <c r="C11" s="2">
        <f>(Rescaled!E10-Rescaled!D10)/(Original!$B$26-Original!$B$25)</f>
        <v>8.1987801791955643</v>
      </c>
      <c r="D11" s="2">
        <f>(Rescaled!G10-Rescaled!F10)/(Original!$B$26-Original!$B$25)</f>
        <v>8.3698773761016341</v>
      </c>
      <c r="E11" s="2">
        <f>(Rescaled!I10-Rescaled!H10)/(Original!$B$26-Original!$B$25)</f>
        <v>4.5069027517484956</v>
      </c>
      <c r="F11" s="2">
        <f>(Rescaled!K10-Rescaled!J10)/(Original!$B$26-Original!$B$25)</f>
        <v>2.0998434881153658</v>
      </c>
      <c r="G11" s="2">
        <f>(Rescaled!M10-Rescaled!L10)/(Original!$B$26-Original!$B$25)</f>
        <v>2.2366566054066741</v>
      </c>
      <c r="K11" s="1" t="s">
        <v>9</v>
      </c>
      <c r="L11" s="2">
        <v>7.7612001811760294</v>
      </c>
      <c r="M11" s="2">
        <v>8.1987801791955643</v>
      </c>
      <c r="N11" s="2">
        <v>8.3698773761016341</v>
      </c>
      <c r="O11" s="2">
        <v>4.5069027517484956</v>
      </c>
      <c r="P11" s="2">
        <v>2.0998434881153658</v>
      </c>
      <c r="Q11" s="2">
        <v>2.2366566054066741</v>
      </c>
    </row>
    <row r="12" spans="1:17">
      <c r="A12" s="1" t="s">
        <v>10</v>
      </c>
      <c r="B12" s="2">
        <f>(Rescaled!C11-Rescaled!B11)/(Original!$B$26-Original!$B$25)</f>
        <v>4.1417463709130375</v>
      </c>
      <c r="C12" s="2">
        <f>(Rescaled!E11-Rescaled!D11)/(Original!$B$26-Original!$B$25)</f>
        <v>4.5594359344359345</v>
      </c>
      <c r="D12" s="2">
        <f>(Rescaled!G11-Rescaled!F11)/(Original!$B$26-Original!$B$25)</f>
        <v>4.8158623783623788</v>
      </c>
      <c r="E12" s="2">
        <f>(Rescaled!I11-Rescaled!H11)/(Original!$B$26-Original!$B$25)</f>
        <v>2.7695753320753322</v>
      </c>
      <c r="F12" s="2">
        <f>(Rescaled!K11-Rescaled!J11)/(Original!$B$26-Original!$B$25)</f>
        <v>0.95853837520504204</v>
      </c>
      <c r="G12" s="2">
        <f>(Rescaled!M11-Rescaled!L11)/(Original!$B$26-Original!$B$25)</f>
        <v>0.9652639027639025</v>
      </c>
      <c r="K12" s="1" t="s">
        <v>10</v>
      </c>
      <c r="L12" s="2">
        <v>4.1417463709130375</v>
      </c>
      <c r="M12" s="2">
        <v>4.5594359344359345</v>
      </c>
      <c r="N12" s="2">
        <v>4.8158623783623788</v>
      </c>
      <c r="O12" s="2">
        <v>2.7695753320753322</v>
      </c>
      <c r="P12" s="2">
        <v>0.95853837520504204</v>
      </c>
      <c r="Q12" s="2">
        <v>0.9652639027639025</v>
      </c>
    </row>
    <row r="13" spans="1:17">
      <c r="A13" s="1" t="s">
        <v>11</v>
      </c>
      <c r="B13" s="2">
        <f>(Rescaled!C12-Rescaled!B12)/(Original!$B$26-Original!$B$25)</f>
        <v>11.282579210973697</v>
      </c>
      <c r="C13" s="2">
        <f>(Rescaled!E12-Rescaled!D12)/(Original!$B$26-Original!$B$25)</f>
        <v>11.136779559318644</v>
      </c>
      <c r="D13" s="2">
        <f>(Rescaled!G12-Rescaled!F12)/(Original!$B$26-Original!$B$25)</f>
        <v>10.877538626287542</v>
      </c>
      <c r="E13" s="2">
        <f>(Rescaled!I12-Rescaled!H12)/(Original!$B$26-Original!$B$25)</f>
        <v>9.8857961932064402</v>
      </c>
      <c r="F13" s="2">
        <f>(Rescaled!K12-Rescaled!J12)/(Original!$B$26-Original!$B$25)</f>
        <v>3.649556026867562</v>
      </c>
      <c r="G13" s="2">
        <f>(Rescaled!M12-Rescaled!L12)/(Original!$B$26-Original!$B$25)</f>
        <v>2.9603340944698155</v>
      </c>
      <c r="I13" t="s">
        <v>50</v>
      </c>
      <c r="K13" s="1" t="s">
        <v>12</v>
      </c>
      <c r="L13" s="2">
        <v>4.1322632534638615</v>
      </c>
      <c r="M13" s="2">
        <v>3.5808022145028224</v>
      </c>
      <c r="N13" s="2">
        <v>4.1242642995302567</v>
      </c>
      <c r="O13" s="2">
        <v>2.1784673153594123</v>
      </c>
      <c r="P13" s="2">
        <v>1.4635954091501202</v>
      </c>
      <c r="Q13" s="2">
        <v>1.4218583468203527</v>
      </c>
    </row>
    <row r="14" spans="1:17">
      <c r="A14" s="1" t="s">
        <v>12</v>
      </c>
      <c r="B14" s="2">
        <f>(Rescaled!C13-Rescaled!B13)/(Original!$B$26-Original!$B$25)</f>
        <v>4.1322632534638615</v>
      </c>
      <c r="C14" s="2">
        <f>(Rescaled!E13-Rescaled!D13)/(Original!$B$26-Original!$B$25)</f>
        <v>3.5808022145028224</v>
      </c>
      <c r="D14" s="2">
        <f>(Rescaled!G13-Rescaled!F13)/(Original!$B$26-Original!$B$25)</f>
        <v>4.1242642995302567</v>
      </c>
      <c r="E14" s="2">
        <f>(Rescaled!I13-Rescaled!H13)/(Original!$B$26-Original!$B$25)</f>
        <v>2.1784673153594123</v>
      </c>
      <c r="F14" s="2">
        <f>(Rescaled!K13-Rescaled!J13)/(Original!$B$26-Original!$B$25)</f>
        <v>1.4635954091501202</v>
      </c>
      <c r="G14" s="2">
        <f>(Rescaled!M13-Rescaled!L13)/(Original!$B$26-Original!$B$25)</f>
        <v>1.4218583468203527</v>
      </c>
      <c r="I14" t="s">
        <v>11</v>
      </c>
      <c r="K14" s="1" t="s">
        <v>13</v>
      </c>
      <c r="L14" s="2">
        <v>5.8773373651520098</v>
      </c>
      <c r="M14" s="2">
        <v>5.7608069085757867</v>
      </c>
      <c r="N14" s="2">
        <v>6.5150062656641596</v>
      </c>
      <c r="O14" s="2">
        <v>4.0481046365914786</v>
      </c>
      <c r="P14" s="2">
        <v>1.1970340252805927</v>
      </c>
      <c r="Q14" s="2">
        <v>1.2809060695216301</v>
      </c>
    </row>
    <row r="15" spans="1:17">
      <c r="A15" s="1" t="s">
        <v>13</v>
      </c>
      <c r="B15" s="2">
        <f>(Rescaled!C14-Rescaled!B14)/(Original!$B$26-Original!$B$25)</f>
        <v>5.8773373651520098</v>
      </c>
      <c r="C15" s="2">
        <f>(Rescaled!E14-Rescaled!D14)/(Original!$B$26-Original!$B$25)</f>
        <v>5.7608069085757867</v>
      </c>
      <c r="D15" s="2">
        <f>(Rescaled!G14-Rescaled!F14)/(Original!$B$26-Original!$B$25)</f>
        <v>6.5150062656641596</v>
      </c>
      <c r="E15" s="2">
        <f>(Rescaled!I14-Rescaled!H14)/(Original!$B$26-Original!$B$25)</f>
        <v>4.0481046365914786</v>
      </c>
      <c r="F15" s="2">
        <f>(Rescaled!K14-Rescaled!J14)/(Original!$B$26-Original!$B$25)</f>
        <v>1.1970340252805927</v>
      </c>
      <c r="G15" s="2">
        <f>(Rescaled!M14-Rescaled!L14)/(Original!$B$26-Original!$B$25)</f>
        <v>1.2809060695216301</v>
      </c>
      <c r="I15" t="s">
        <v>18</v>
      </c>
      <c r="K15" s="1" t="s">
        <v>14</v>
      </c>
      <c r="L15" s="2">
        <v>5.3569478268738235</v>
      </c>
      <c r="M15" s="2">
        <v>5.3127835175254656</v>
      </c>
      <c r="N15" s="2">
        <v>5.0927894091819361</v>
      </c>
      <c r="O15" s="2">
        <v>3.006724996360747</v>
      </c>
      <c r="P15" s="2">
        <v>1.1169019230996211</v>
      </c>
      <c r="Q15" s="2">
        <v>1.368084926408391</v>
      </c>
    </row>
    <row r="16" spans="1:17">
      <c r="A16" s="1" t="s">
        <v>14</v>
      </c>
      <c r="B16" s="2">
        <f>(Rescaled!C15-Rescaled!B15)/(Original!$B$26-Original!$B$25)</f>
        <v>5.3569478268738235</v>
      </c>
      <c r="C16" s="2">
        <f>(Rescaled!E15-Rescaled!D15)/(Original!$B$26-Original!$B$25)</f>
        <v>5.3127835175254656</v>
      </c>
      <c r="D16" s="2">
        <f>(Rescaled!G15-Rescaled!F15)/(Original!$B$26-Original!$B$25)</f>
        <v>5.0927894091819361</v>
      </c>
      <c r="E16" s="2">
        <f>(Rescaled!I15-Rescaled!H15)/(Original!$B$26-Original!$B$25)</f>
        <v>3.006724996360747</v>
      </c>
      <c r="F16" s="2">
        <f>(Rescaled!K15-Rescaled!J15)/(Original!$B$26-Original!$B$25)</f>
        <v>1.1169019230996211</v>
      </c>
      <c r="G16" s="2">
        <f>(Rescaled!M15-Rescaled!L15)/(Original!$B$26-Original!$B$25)</f>
        <v>1.368084926408391</v>
      </c>
      <c r="K16" s="1" t="s">
        <v>15</v>
      </c>
      <c r="L16" s="2">
        <v>2.92567120269198</v>
      </c>
      <c r="M16" s="2">
        <v>2.4828722026250634</v>
      </c>
      <c r="N16" s="2">
        <v>2.4295756976110581</v>
      </c>
      <c r="O16" s="2">
        <v>3.4267950519563697</v>
      </c>
      <c r="P16" s="2">
        <v>0.94882213905379165</v>
      </c>
      <c r="Q16" s="2">
        <v>1.1650146500712188</v>
      </c>
    </row>
    <row r="17" spans="1:17">
      <c r="A17" s="1" t="s">
        <v>15</v>
      </c>
      <c r="B17" s="2">
        <f>(Rescaled!C16-Rescaled!B16)/(Original!$B$26-Original!$B$25)</f>
        <v>2.92567120269198</v>
      </c>
      <c r="C17" s="2">
        <f>(Rescaled!E16-Rescaled!D16)/(Original!$B$26-Original!$B$25)</f>
        <v>2.4828722026250634</v>
      </c>
      <c r="D17" s="2">
        <f>(Rescaled!G16-Rescaled!F16)/(Original!$B$26-Original!$B$25)</f>
        <v>2.4295756976110581</v>
      </c>
      <c r="E17" s="2">
        <f>(Rescaled!I16-Rescaled!H16)/(Original!$B$26-Original!$B$25)</f>
        <v>3.4267950519563697</v>
      </c>
      <c r="F17" s="2">
        <f>(Rescaled!K16-Rescaled!J16)/(Original!$B$26-Original!$B$25)</f>
        <v>0.94882213905379165</v>
      </c>
      <c r="G17" s="2">
        <f>(Rescaled!M16-Rescaled!L16)/(Original!$B$26-Original!$B$25)</f>
        <v>1.1650146500712188</v>
      </c>
      <c r="K17" s="1" t="s">
        <v>16</v>
      </c>
      <c r="L17" s="2">
        <v>2.9466468590831916</v>
      </c>
      <c r="M17" s="2">
        <v>2.7352563932512739</v>
      </c>
      <c r="N17" s="2">
        <v>2.4947058927560835</v>
      </c>
      <c r="O17" s="2">
        <v>2.3313594280560279</v>
      </c>
      <c r="P17" s="2">
        <v>0.94979020762591959</v>
      </c>
      <c r="Q17" s="2">
        <v>0.89790959252971148</v>
      </c>
    </row>
    <row r="18" spans="1:17">
      <c r="A18" s="1" t="s">
        <v>16</v>
      </c>
      <c r="B18" s="2">
        <f>(Rescaled!C17-Rescaled!B17)/(Original!$B$26-Original!$B$25)</f>
        <v>2.9466468590831916</v>
      </c>
      <c r="C18" s="2">
        <f>(Rescaled!E17-Rescaled!D17)/(Original!$B$26-Original!$B$25)</f>
        <v>2.7352563932512739</v>
      </c>
      <c r="D18" s="2">
        <f>(Rescaled!G17-Rescaled!F17)/(Original!$B$26-Original!$B$25)</f>
        <v>2.4947058927560835</v>
      </c>
      <c r="E18" s="2">
        <f>(Rescaled!I17-Rescaled!H17)/(Original!$B$26-Original!$B$25)</f>
        <v>2.3313594280560279</v>
      </c>
      <c r="F18" s="2">
        <f>(Rescaled!K17-Rescaled!J17)/(Original!$B$26-Original!$B$25)</f>
        <v>0.94979020762591959</v>
      </c>
      <c r="G18" s="2">
        <f>(Rescaled!M17-Rescaled!L17)/(Original!$B$26-Original!$B$25)</f>
        <v>0.89790959252971148</v>
      </c>
      <c r="K18" s="1" t="s">
        <v>17</v>
      </c>
      <c r="L18" s="2">
        <v>1.8952415974627088</v>
      </c>
      <c r="M18" s="2">
        <v>1.765020621098522</v>
      </c>
      <c r="N18" s="2">
        <v>1.5440071333310921</v>
      </c>
      <c r="O18" s="2">
        <v>1.4311618139842432</v>
      </c>
      <c r="P18" s="2">
        <v>0.69185340528303585</v>
      </c>
      <c r="Q18" s="2">
        <v>0.62230174606910316</v>
      </c>
    </row>
    <row r="19" spans="1:17">
      <c r="A19" s="1" t="s">
        <v>17</v>
      </c>
      <c r="B19" s="2">
        <f>(Rescaled!C18-Rescaled!B18)/(Original!$B$26-Original!$B$25)</f>
        <v>1.8952415974627088</v>
      </c>
      <c r="C19" s="2">
        <f>(Rescaled!E18-Rescaled!D18)/(Original!$B$26-Original!$B$25)</f>
        <v>1.765020621098522</v>
      </c>
      <c r="D19" s="2">
        <f>(Rescaled!G18-Rescaled!F18)/(Original!$B$26-Original!$B$25)</f>
        <v>1.5440071333310921</v>
      </c>
      <c r="E19" s="2">
        <f>(Rescaled!I18-Rescaled!H18)/(Original!$B$26-Original!$B$25)</f>
        <v>1.4311618139842432</v>
      </c>
      <c r="F19" s="2">
        <f>(Rescaled!K18-Rescaled!J18)/(Original!$B$26-Original!$B$25)</f>
        <v>0.69185340528303585</v>
      </c>
      <c r="G19" s="2">
        <f>(Rescaled!M18-Rescaled!L18)/(Original!$B$26-Original!$B$25)</f>
        <v>0.62230174606910316</v>
      </c>
      <c r="K19" s="1" t="s">
        <v>19</v>
      </c>
      <c r="L19" s="2">
        <v>4.3824725379865335</v>
      </c>
      <c r="M19" s="2">
        <v>4.9734352858428412</v>
      </c>
      <c r="N19" s="2">
        <v>6.0124235226884855</v>
      </c>
      <c r="O19" s="2">
        <v>3.7287754450294277</v>
      </c>
      <c r="P19" s="2">
        <v>1.5529745989304815</v>
      </c>
      <c r="Q19" s="2">
        <v>1.5373203461972094</v>
      </c>
    </row>
    <row r="20" spans="1:17">
      <c r="A20" s="1" t="s">
        <v>18</v>
      </c>
      <c r="B20" s="2">
        <f>(Rescaled!C19-Rescaled!B19)/(Original!$B$26-Original!$B$25)</f>
        <v>29.175126262626264</v>
      </c>
      <c r="C20" s="2">
        <f>(Rescaled!E19-Rescaled!D19)/(Original!$B$26-Original!$B$25)</f>
        <v>30.104536370903283</v>
      </c>
      <c r="D20" s="2">
        <f>(Rescaled!G19-Rescaled!F19)/(Original!$B$26-Original!$B$25)</f>
        <v>31.921640869122886</v>
      </c>
      <c r="E20" s="2">
        <f>(Rescaled!I19-Rescaled!H19)/(Original!$B$26-Original!$B$25)</f>
        <v>36.9875154421917</v>
      </c>
      <c r="F20" s="2">
        <f>(Rescaled!K19-Rescaled!J19)/(Original!$B$26-Original!$B$25)</f>
        <v>3.8656147809025514</v>
      </c>
      <c r="G20" s="2">
        <f>(Rescaled!M19-Rescaled!L19)/(Original!$B$26-Original!$B$25)</f>
        <v>3.8209278032119758</v>
      </c>
      <c r="K20" s="1" t="s">
        <v>20</v>
      </c>
      <c r="L20" s="2">
        <v>2.608094914182848</v>
      </c>
      <c r="M20" s="2">
        <v>3.067363372772121</v>
      </c>
      <c r="N20" s="2">
        <v>2.8440039644913497</v>
      </c>
      <c r="O20" s="2">
        <v>1.8890236151763751</v>
      </c>
      <c r="P20" s="2">
        <v>0.84274316005001992</v>
      </c>
      <c r="Q20" s="2">
        <v>0.82721980596666267</v>
      </c>
    </row>
    <row r="21" spans="1:17">
      <c r="A21" s="1" t="s">
        <v>19</v>
      </c>
      <c r="B21" s="2">
        <f>(Rescaled!C20-Rescaled!B20)/(Original!$B$26-Original!$B$25)</f>
        <v>4.3824725379865335</v>
      </c>
      <c r="C21" s="2">
        <f>(Rescaled!E20-Rescaled!D20)/(Original!$B$26-Original!$B$25)</f>
        <v>4.9734352858428412</v>
      </c>
      <c r="D21" s="2">
        <f>(Rescaled!G20-Rescaled!F20)/(Original!$B$26-Original!$B$25)</f>
        <v>6.0124235226884855</v>
      </c>
      <c r="E21" s="2">
        <f>(Rescaled!I20-Rescaled!H20)/(Original!$B$26-Original!$B$25)</f>
        <v>3.7287754450294277</v>
      </c>
      <c r="F21" s="2">
        <f>(Rescaled!K20-Rescaled!J20)/(Original!$B$26-Original!$B$25)</f>
        <v>1.5529745989304815</v>
      </c>
      <c r="G21" s="2">
        <f>(Rescaled!M20-Rescaled!L20)/(Original!$B$26-Original!$B$25)</f>
        <v>1.5373203461972094</v>
      </c>
      <c r="K21" s="1" t="s">
        <v>21</v>
      </c>
      <c r="L21" s="2">
        <v>7.3617570226809796</v>
      </c>
      <c r="M21" s="2">
        <v>8.6289815161075989</v>
      </c>
      <c r="N21" s="2">
        <v>9.5204190553645383</v>
      </c>
      <c r="O21" s="2">
        <v>5.113584172327533</v>
      </c>
      <c r="P21" s="2">
        <v>3.8191298846526687</v>
      </c>
      <c r="Q21" s="2">
        <v>3.2224411735873852</v>
      </c>
    </row>
    <row r="22" spans="1:17">
      <c r="A22" s="1" t="s">
        <v>20</v>
      </c>
      <c r="B22" s="2">
        <f>(Rescaled!C21-Rescaled!B21)/(Original!$B$26-Original!$B$25)</f>
        <v>2.608094914182848</v>
      </c>
      <c r="C22" s="2">
        <f>(Rescaled!E21-Rescaled!D21)/(Original!$B$26-Original!$B$25)</f>
        <v>3.067363372772121</v>
      </c>
      <c r="D22" s="2">
        <f>(Rescaled!G21-Rescaled!F21)/(Original!$B$26-Original!$B$25)</f>
        <v>2.8440039644913497</v>
      </c>
      <c r="E22" s="2">
        <f>(Rescaled!I21-Rescaled!H21)/(Original!$B$26-Original!$B$25)</f>
        <v>1.8890236151763751</v>
      </c>
      <c r="F22" s="2">
        <f>(Rescaled!K21-Rescaled!J21)/(Original!$B$26-Original!$B$25)</f>
        <v>0.84274316005001992</v>
      </c>
      <c r="G22" s="2">
        <f>(Rescaled!M21-Rescaled!L21)/(Original!$B$26-Original!$B$25)</f>
        <v>0.82721980596666267</v>
      </c>
      <c r="K22" s="1" t="s">
        <v>22</v>
      </c>
      <c r="L22" s="2">
        <v>2.7542916027230158</v>
      </c>
      <c r="M22" s="2">
        <v>2.6333022222878055</v>
      </c>
      <c r="N22" s="2">
        <v>2.9691189056781959</v>
      </c>
      <c r="O22" s="2">
        <v>2.3746710591036084</v>
      </c>
      <c r="P22" s="2">
        <v>1.1833080018100972</v>
      </c>
      <c r="Q22" s="2">
        <v>0.99568072935111962</v>
      </c>
    </row>
    <row r="23" spans="1:17">
      <c r="A23" s="1" t="s">
        <v>21</v>
      </c>
      <c r="B23" s="2">
        <f>(Rescaled!C22-Rescaled!B22)/(Original!$B$26-Original!$B$25)</f>
        <v>7.3617570226809796</v>
      </c>
      <c r="C23" s="2">
        <f>(Rescaled!E22-Rescaled!D22)/(Original!$B$26-Original!$B$25)</f>
        <v>8.6289815161075989</v>
      </c>
      <c r="D23" s="2">
        <f>(Rescaled!G22-Rescaled!F22)/(Original!$B$26-Original!$B$25)</f>
        <v>9.5204190553645383</v>
      </c>
      <c r="E23" s="2">
        <f>(Rescaled!I22-Rescaled!H22)/(Original!$B$26-Original!$B$25)</f>
        <v>5.113584172327533</v>
      </c>
      <c r="F23" s="2">
        <f>(Rescaled!K22-Rescaled!J22)/(Original!$B$26-Original!$B$25)</f>
        <v>3.8191298846526687</v>
      </c>
      <c r="G23" s="2">
        <f>(Rescaled!M22-Rescaled!L22)/(Original!$B$26-Original!$B$25)</f>
        <v>3.2224411735873852</v>
      </c>
    </row>
    <row r="24" spans="1:17">
      <c r="A24" s="1" t="s">
        <v>22</v>
      </c>
      <c r="B24" s="2">
        <f>(Rescaled!C23-Rescaled!B23)/(Original!$B$26-Original!$B$25)</f>
        <v>2.7542916027230158</v>
      </c>
      <c r="C24" s="2">
        <f>(Rescaled!E23-Rescaled!D23)/(Original!$B$26-Original!$B$25)</f>
        <v>2.6333022222878055</v>
      </c>
      <c r="D24" s="2">
        <f>(Rescaled!G23-Rescaled!F23)/(Original!$B$26-Original!$B$25)</f>
        <v>2.9691189056781959</v>
      </c>
      <c r="E24" s="2">
        <f>(Rescaled!I23-Rescaled!H23)/(Original!$B$26-Original!$B$25)</f>
        <v>2.3746710591036084</v>
      </c>
      <c r="F24" s="2">
        <f>(Rescaled!K23-Rescaled!J23)/(Original!$B$26-Original!$B$25)</f>
        <v>1.1833080018100972</v>
      </c>
      <c r="G24" s="2">
        <f>(Rescaled!M23-Rescaled!L23)/(Original!$B$26-Original!$B$25)</f>
        <v>0.99568072935111962</v>
      </c>
      <c r="K24" t="s">
        <v>48</v>
      </c>
      <c r="L24" s="2">
        <v>4.3064623773631565</v>
      </c>
      <c r="M24" s="2">
        <v>4.4163048885383906</v>
      </c>
      <c r="N24" s="2">
        <v>4.7479497754564246</v>
      </c>
      <c r="O24" s="2">
        <v>3.0785552629858453</v>
      </c>
      <c r="P24" s="2">
        <v>1.291470677362339</v>
      </c>
      <c r="Q24" s="2">
        <v>1.3008962570588007</v>
      </c>
    </row>
    <row r="25" spans="1:17">
      <c r="K25" t="s">
        <v>49</v>
      </c>
      <c r="L25" s="2">
        <v>1.5499645824867763</v>
      </c>
      <c r="M25" s="2">
        <v>1.8694995680244431</v>
      </c>
      <c r="N25" s="2">
        <v>2.0782033943212199</v>
      </c>
      <c r="O25" s="2">
        <v>0.98994132566447068</v>
      </c>
      <c r="P25" s="2">
        <v>0.67936927404741343</v>
      </c>
      <c r="Q25" s="2">
        <v>0.57742282059098704</v>
      </c>
    </row>
    <row r="26" spans="1:17">
      <c r="A26" t="s">
        <v>48</v>
      </c>
      <c r="B26">
        <f>AVERAGE(Table6[Fígado A])</f>
        <v>5.7539524100392319</v>
      </c>
      <c r="C26">
        <f>AVERAGE(Table6[Fígado B])</f>
        <v>5.8894278954995336</v>
      </c>
      <c r="D26">
        <f>AVERAGE(Table6[Fígado C])</f>
        <v>6.2617352274790399</v>
      </c>
      <c r="E26">
        <f>AVERAGE(Table6[Rim])</f>
        <v>4.9292916770506832</v>
      </c>
      <c r="F26">
        <f>AVERAGE(Table6[Gordura A])</f>
        <v>1.5156629252280409</v>
      </c>
      <c r="G26">
        <f>AVERAGE(Table6[Gordura B])</f>
        <v>1.4908721381299004</v>
      </c>
    </row>
    <row r="27" spans="1:17">
      <c r="A27" t="s">
        <v>49</v>
      </c>
      <c r="B27">
        <f>STDEV(Table6[Fígado A])</f>
        <v>5.6343633635523247</v>
      </c>
      <c r="C27">
        <f>STDEV(Table6[Fígado B])</f>
        <v>5.8704812404912303</v>
      </c>
      <c r="D27">
        <f>STDEV(Table6[Fígado C])</f>
        <v>6.2014859358552554</v>
      </c>
      <c r="E27">
        <f>STDEV(Table6[Rim])</f>
        <v>7.3660121866724388</v>
      </c>
      <c r="F27">
        <f>STDEV(Table6[Gordura A])</f>
        <v>0.97224155271033852</v>
      </c>
      <c r="G27">
        <f>STDEV(Table6[Gordura B])</f>
        <v>0.83509964367909484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T51"/>
  <sheetViews>
    <sheetView zoomScale="90" zoomScaleNormal="90" workbookViewId="0">
      <selection activeCell="T14" sqref="T14"/>
    </sheetView>
  </sheetViews>
  <sheetFormatPr defaultRowHeight="15"/>
  <cols>
    <col min="1" max="1" width="11.28515625" style="3" bestFit="1" customWidth="1"/>
    <col min="2" max="2" width="13.28515625" style="3" customWidth="1"/>
    <col min="3" max="3" width="14.28515625" style="3" customWidth="1"/>
    <col min="4" max="4" width="13.140625" style="3" customWidth="1"/>
    <col min="5" max="5" width="14.140625" style="3" customWidth="1"/>
    <col min="6" max="6" width="13.140625" style="3" customWidth="1"/>
    <col min="7" max="7" width="14.140625" style="3" customWidth="1"/>
    <col min="8" max="8" width="9.5703125" style="3" customWidth="1"/>
    <col min="9" max="9" width="10.140625" style="3" customWidth="1"/>
    <col min="10" max="10" width="14.7109375" style="3" customWidth="1"/>
    <col min="11" max="11" width="15.7109375" style="3" customWidth="1"/>
    <col min="12" max="12" width="14.5703125" style="3" customWidth="1"/>
    <col min="13" max="13" width="15.5703125" style="3" customWidth="1"/>
    <col min="14" max="15" width="9.140625" style="3"/>
    <col min="16" max="16" width="17.28515625" style="3" bestFit="1" customWidth="1"/>
    <col min="17" max="17" width="24.85546875" style="3" bestFit="1" customWidth="1"/>
    <col min="18" max="18" width="18.28515625" style="3" bestFit="1" customWidth="1"/>
    <col min="19" max="19" width="24.7109375" style="3" bestFit="1" customWidth="1"/>
    <col min="20" max="16384" width="9.140625" style="3"/>
  </cols>
  <sheetData>
    <row r="1" spans="1:20">
      <c r="A1" s="3" t="s">
        <v>0</v>
      </c>
      <c r="B1" s="3" t="s">
        <v>24</v>
      </c>
      <c r="C1" s="3" t="s">
        <v>25</v>
      </c>
      <c r="D1" s="3" t="s">
        <v>47</v>
      </c>
      <c r="E1" s="3" t="s">
        <v>26</v>
      </c>
      <c r="F1" s="3" t="s">
        <v>27</v>
      </c>
      <c r="G1" s="3" t="s">
        <v>28</v>
      </c>
      <c r="H1" s="3" t="s">
        <v>29</v>
      </c>
      <c r="I1" s="3" t="s">
        <v>23</v>
      </c>
      <c r="J1" s="3" t="s">
        <v>30</v>
      </c>
      <c r="K1" s="3" t="s">
        <v>31</v>
      </c>
      <c r="L1" s="3" t="s">
        <v>32</v>
      </c>
      <c r="M1" s="3" t="s">
        <v>33</v>
      </c>
      <c r="P1" s="3" t="s">
        <v>52</v>
      </c>
      <c r="Q1" s="3" t="s">
        <v>53</v>
      </c>
      <c r="R1" s="3" t="s">
        <v>54</v>
      </c>
      <c r="S1" s="3" t="s">
        <v>55</v>
      </c>
      <c r="T1" s="3" t="s">
        <v>56</v>
      </c>
    </row>
    <row r="2" spans="1:20">
      <c r="A2" s="3" t="s">
        <v>1</v>
      </c>
      <c r="B2" s="6">
        <f>Table1[[#This Row],[2 - Fígado A]]/Table1[[#This Row],[Rescale A_2]]</f>
        <v>3.275167785234899</v>
      </c>
      <c r="C2" s="6">
        <f>Table1[[#This Row],[10 - Fígado A]]/Table1[[#This Row],[Rescale A_10]]</f>
        <v>37.717647058823538</v>
      </c>
      <c r="D2" s="6">
        <f>Table1[[#This Row],[2 - Fígado B]]/Table1[[#This Row],[Rescale A_2]]</f>
        <v>3.5617449664429528</v>
      </c>
      <c r="E2" s="6">
        <f>Table1[[#This Row],[10 - Fígado B]]/Table1[[#This Row],[Rescale A_10]]</f>
        <v>37.739215686274513</v>
      </c>
      <c r="F2" s="6">
        <f>Table1[[#This Row],[2 - Fígado C]]/Table1[[#This Row],[Rescale A_2]]</f>
        <v>3.7100671140939596</v>
      </c>
      <c r="G2" s="6">
        <f>Table1[[#This Row],[10 - Fígado C]]/Table1[[#This Row],[Rescale A_10]]</f>
        <v>47.074509803921572</v>
      </c>
      <c r="H2" s="6">
        <f>Table1[[#This Row],[2 - Rim ]]/Table1[[#This Row],[Rescale A_2]]</f>
        <v>4.935570469798658</v>
      </c>
      <c r="I2" s="6">
        <f>Table1[[#This Row],[10 - Rim]]/Table1[[#This Row],[Rescale A_10]]</f>
        <v>38.031372549019615</v>
      </c>
      <c r="J2" s="6">
        <f>Table1[[#This Row],[2 - Gordura A]]/Table1[[#This Row],[Rescale A_2]]</f>
        <v>1.1892617449664429</v>
      </c>
      <c r="K2" s="6">
        <f>Table1[[#This Row],[10 - Gordura A]]/Table1[[#This Row],[Rescale A_10]]</f>
        <v>11.15686274509804</v>
      </c>
      <c r="L2" s="6">
        <f>Table1[[#This Row],[2 - Gordura B]]/Table1[[#This Row],[Rescale A_2]]</f>
        <v>0.91812080536912744</v>
      </c>
      <c r="M2" s="6">
        <f>Table1[[#This Row],[10 - Gordura B]]/Table1[[#This Row],[Rescale A_10]]</f>
        <v>11.650980392156864</v>
      </c>
      <c r="P2" s="7">
        <f>$B$25*Table43[[#This Row],[2 - Gordura A]]</f>
        <v>5.7679194630872477</v>
      </c>
      <c r="Q2" s="7">
        <f>P2/Table43[[#This Row],[10 - Gordura A]]</f>
        <v>0.51698399405527173</v>
      </c>
      <c r="R2" s="7">
        <f>$B$25*Table43[[#This Row],[2 - Gordura B]]</f>
        <v>4.4528859060402679</v>
      </c>
      <c r="S2" s="7">
        <f>Table3[[#This Row],[B10 - Ideal (alpha)]]/Table43[[#This Row],[10 - Gordura B]]</f>
        <v>0.38218980344674125</v>
      </c>
      <c r="T2" s="7">
        <f>AVERAGE(Table3[[#This Row],[B10 - 10ideal/10real (beta)]],Table3[[#This Row],[A10 - 10ideal/10real (beta)]])</f>
        <v>0.44958689875100649</v>
      </c>
    </row>
    <row r="3" spans="1:20">
      <c r="A3" s="3" t="s">
        <v>2</v>
      </c>
      <c r="B3" s="6">
        <f>Table1[[#This Row],[2 - Fígado A]]/Table1[[#This Row],[Rescale A_2]]</f>
        <v>11.490523968784837</v>
      </c>
      <c r="C3" s="6">
        <f>Table1[[#This Row],[10 - Fígado A]]/Table1[[#This Row],[Rescale A_10]]</f>
        <v>49.698113207547166</v>
      </c>
      <c r="D3" s="6">
        <f>Table1[[#This Row],[2 - Fígado B]]/Table1[[#This Row],[Rescale A_2]]</f>
        <v>12.013377926421404</v>
      </c>
      <c r="E3" s="6">
        <f>Table1[[#This Row],[10 - Fígado B]]/Table1[[#This Row],[Rescale A_10]]</f>
        <v>44.032075471698114</v>
      </c>
      <c r="F3" s="6">
        <f>Table1[[#This Row],[2 - Fígado C]]/Table1[[#This Row],[Rescale A_2]]</f>
        <v>11.418060200668895</v>
      </c>
      <c r="G3" s="6">
        <f>Table1[[#This Row],[10 - Fígado C]]/Table1[[#This Row],[Rescale A_10]]</f>
        <v>44.032075471698114</v>
      </c>
      <c r="H3" s="6">
        <f>Table1[[#This Row],[2 - Rim ]]/Table1[[#This Row],[Rescale A_2]]</f>
        <v>16.741360089186173</v>
      </c>
      <c r="I3" s="6">
        <f>Table1[[#This Row],[10 - Rim]]/Table1[[#This Row],[Rescale A_10]]</f>
        <v>37.10377358490566</v>
      </c>
      <c r="J3" s="6">
        <f>Table1[[#This Row],[2 - Gordura A]]/Table1[[#This Row],[Rescale A_2]]</f>
        <v>4.0624303232998882</v>
      </c>
      <c r="K3" s="6">
        <f>Table1[[#This Row],[10 - Gordura A]]/Table1[[#This Row],[Rescale A_10]]</f>
        <v>15.364150943396227</v>
      </c>
      <c r="L3" s="6">
        <f>Table1[[#This Row],[2 - Gordura B]]/Table1[[#This Row],[Rescale A_2]]</f>
        <v>3.3177257525083612</v>
      </c>
      <c r="M3" s="6">
        <f>Table1[[#This Row],[10 - Gordura B]]/Table1[[#This Row],[Rescale A_10]]</f>
        <v>12.281132075471699</v>
      </c>
      <c r="P3" s="7">
        <f>$B$25*Table43[[#This Row],[2 - Gordura A]]</f>
        <v>19.702787068004458</v>
      </c>
      <c r="Q3" s="7">
        <f>P3/Table43[[#This Row],[10 - Gordura A]]</f>
        <v>1.282386976058254</v>
      </c>
      <c r="R3" s="7">
        <f>$B$25*Table43[[#This Row],[2 - Gordura B]]</f>
        <v>16.090969899665552</v>
      </c>
      <c r="S3" s="7">
        <f>Table3[[#This Row],[B10 - Ideal (alpha)]]/Table43[[#This Row],[10 - Gordura B]]</f>
        <v>1.310218781198762</v>
      </c>
      <c r="T3" s="7">
        <f>AVERAGE(Table3[[#This Row],[B10 - 10ideal/10real (beta)]],Table3[[#This Row],[A10 - 10ideal/10real (beta)]])</f>
        <v>1.296302878628508</v>
      </c>
    </row>
    <row r="4" spans="1:20">
      <c r="A4" s="3" t="s">
        <v>3</v>
      </c>
      <c r="B4" s="6">
        <f>Table1[[#This Row],[2 - Fígado A]]/Table1[[#This Row],[Rescale A_2]]</f>
        <v>8.8557347670250888</v>
      </c>
      <c r="C4" s="6">
        <f>Table1[[#This Row],[10 - Fígado A]]/Table1[[#This Row],[Rescale A_10]]</f>
        <v>41.8125</v>
      </c>
      <c r="D4" s="6">
        <f>Table1[[#This Row],[2 - Fígado B]]/Table1[[#This Row],[Rescale A_2]]</f>
        <v>9.4605734767025087</v>
      </c>
      <c r="E4" s="6">
        <f>Table1[[#This Row],[10 - Fígado B]]/Table1[[#This Row],[Rescale A_10]]</f>
        <v>48.362903225806448</v>
      </c>
      <c r="F4" s="6">
        <f>Table1[[#This Row],[2 - Fígado C]]/Table1[[#This Row],[Rescale A_2]]</f>
        <v>8.3333333333333339</v>
      </c>
      <c r="G4" s="6">
        <f>Table1[[#This Row],[10 - Fígado C]]/Table1[[#This Row],[Rescale A_10]]</f>
        <v>48.745967741935488</v>
      </c>
      <c r="H4" s="6">
        <f>Table1[[#This Row],[2 - Rim ]]/Table1[[#This Row],[Rescale A_2]]</f>
        <v>10.824372759856631</v>
      </c>
      <c r="I4" s="6">
        <f>Table1[[#This Row],[10 - Rim]]/Table1[[#This Row],[Rescale A_10]]</f>
        <v>43.00403225806452</v>
      </c>
      <c r="J4" s="6">
        <f>Table1[[#This Row],[2 - Gordura A]]/Table1[[#This Row],[Rescale A_2]]</f>
        <v>1.6370967741935483</v>
      </c>
      <c r="K4" s="6">
        <f>Table1[[#This Row],[10 - Gordura A]]/Table1[[#This Row],[Rescale A_10]]</f>
        <v>9.1995967741935498</v>
      </c>
      <c r="L4" s="6">
        <f>Table1[[#This Row],[2 - Gordura B]]/Table1[[#This Row],[Rescale A_2]]</f>
        <v>1.4731182795698925</v>
      </c>
      <c r="M4" s="6">
        <f>Table1[[#This Row],[10 - Gordura B]]/Table1[[#This Row],[Rescale A_10]]</f>
        <v>9.679435483870968</v>
      </c>
      <c r="P4" s="7">
        <f>$B$25*Table43[[#This Row],[2 - Gordura A]]</f>
        <v>7.9399193548387084</v>
      </c>
      <c r="Q4" s="7">
        <f>P4/Table43[[#This Row],[10 - Gordura A]]</f>
        <v>0.86307253999561662</v>
      </c>
      <c r="R4" s="7">
        <f>$B$25*Table43[[#This Row],[2 - Gordura B]]</f>
        <v>7.1446236559139784</v>
      </c>
      <c r="S4" s="7">
        <f>Table3[[#This Row],[B10 - Ideal (alpha)]]/Table43[[#This Row],[10 - Gordura B]]</f>
        <v>0.73812400194403938</v>
      </c>
      <c r="T4" s="7">
        <f>AVERAGE(Table3[[#This Row],[B10 - 10ideal/10real (beta)]],Table3[[#This Row],[A10 - 10ideal/10real (beta)]])</f>
        <v>0.80059827096982805</v>
      </c>
    </row>
    <row r="5" spans="1:20">
      <c r="A5" s="3" t="s">
        <v>4</v>
      </c>
      <c r="B5" s="6">
        <f>Table1[[#This Row],[2 - Fígado A]]/Table1[[#This Row],[Rescale A_2]]</f>
        <v>9.6373626373626369</v>
      </c>
      <c r="C5" s="6">
        <f>Table1[[#This Row],[10 - Fígado A]]/Table1[[#This Row],[Rescale A_10]]</f>
        <v>42.510067114093964</v>
      </c>
      <c r="D5" s="6">
        <f>Table1[[#This Row],[2 - Fígado B]]/Table1[[#This Row],[Rescale A_2]]</f>
        <v>9.1712454212454215</v>
      </c>
      <c r="E5" s="6">
        <f>Table1[[#This Row],[10 - Fígado B]]/Table1[[#This Row],[Rescale A_10]]</f>
        <v>39.025167785234899</v>
      </c>
      <c r="F5" s="6">
        <f>Table1[[#This Row],[2 - Fígado C]]/Table1[[#This Row],[Rescale A_2]]</f>
        <v>9.1886446886446898</v>
      </c>
      <c r="G5" s="6">
        <f>Table1[[#This Row],[10 - Fígado C]]/Table1[[#This Row],[Rescale A_10]]</f>
        <v>43.825503355704697</v>
      </c>
      <c r="H5" s="6">
        <f>Table1[[#This Row],[2 - Rim ]]/Table1[[#This Row],[Rescale A_2]]</f>
        <v>11.293040293040292</v>
      </c>
      <c r="I5" s="6">
        <f>Table1[[#This Row],[10 - Rim]]/Table1[[#This Row],[Rescale A_10]]</f>
        <v>28.895973154362416</v>
      </c>
      <c r="J5" s="6">
        <f>Table1[[#This Row],[2 - Gordura A]]/Table1[[#This Row],[Rescale A_2]]</f>
        <v>2.3113553113553111</v>
      </c>
      <c r="K5" s="6">
        <f>Table1[[#This Row],[10 - Gordura A]]/Table1[[#This Row],[Rescale A_10]]</f>
        <v>9.2567114093959741</v>
      </c>
      <c r="L5" s="6">
        <f>Table1[[#This Row],[2 - Gordura B]]/Table1[[#This Row],[Rescale A_2]]</f>
        <v>1.8543956043956045</v>
      </c>
      <c r="M5" s="6">
        <f>Table1[[#This Row],[10 - Gordura B]]/Table1[[#This Row],[Rescale A_10]]</f>
        <v>10.382550335570471</v>
      </c>
      <c r="P5" s="7">
        <f>$B$25*Table43[[#This Row],[2 - Gordura A]]</f>
        <v>11.210073260073258</v>
      </c>
      <c r="Q5" s="7">
        <f>P5/Table43[[#This Row],[10 - Gordura A]]</f>
        <v>1.2110211460945552</v>
      </c>
      <c r="R5" s="7">
        <f>$B$25*Table43[[#This Row],[2 - Gordura B]]</f>
        <v>8.9938186813186807</v>
      </c>
      <c r="S5" s="7">
        <f>Table3[[#This Row],[B10 - Ideal (alpha)]]/Table43[[#This Row],[10 - Gordura B]]</f>
        <v>0.86624368682384179</v>
      </c>
      <c r="T5" s="7">
        <f>AVERAGE(Table3[[#This Row],[B10 - 10ideal/10real (beta)]],Table3[[#This Row],[A10 - 10ideal/10real (beta)]])</f>
        <v>1.0386324164591985</v>
      </c>
    </row>
    <row r="6" spans="1:20">
      <c r="A6" s="3" t="s">
        <v>5</v>
      </c>
      <c r="B6" s="6">
        <f>Table1[[#This Row],[2 - Fígado A]]/Table1[[#This Row],[Rescale A_2]]</f>
        <v>7.3270440251572317</v>
      </c>
      <c r="C6" s="6">
        <f>Table1[[#This Row],[10 - Fígado A]]/Table1[[#This Row],[Rescale A_10]]</f>
        <v>35.338235294117652</v>
      </c>
      <c r="D6" s="6">
        <f>Table1[[#This Row],[2 - Fígado B]]/Table1[[#This Row],[Rescale A_2]]</f>
        <v>6.771787960467206</v>
      </c>
      <c r="E6" s="6">
        <f>Table1[[#This Row],[10 - Fígado B]]/Table1[[#This Row],[Rescale A_10]]</f>
        <v>35.859243697478995</v>
      </c>
      <c r="F6" s="6">
        <f>Table1[[#This Row],[2 - Fígado C]]/Table1[[#This Row],[Rescale A_2]]</f>
        <v>7.9433962264150937</v>
      </c>
      <c r="G6" s="6">
        <f>Table1[[#This Row],[10 - Fígado C]]/Table1[[#This Row],[Rescale A_10]]</f>
        <v>45.426470588235297</v>
      </c>
      <c r="H6" s="6">
        <f>Table1[[#This Row],[2 - Rim ]]/Table1[[#This Row],[Rescale A_2]]</f>
        <v>10.333333333333334</v>
      </c>
      <c r="I6" s="6">
        <f>Table1[[#This Row],[10 - Rim]]/Table1[[#This Row],[Rescale A_10]]</f>
        <v>37.674369747899163</v>
      </c>
      <c r="J6" s="6">
        <f>Table1[[#This Row],[2 - Gordura A]]/Table1[[#This Row],[Rescale A_2]]</f>
        <v>1.3683737646001797</v>
      </c>
      <c r="K6" s="6">
        <f>Table1[[#This Row],[10 - Gordura A]]/Table1[[#This Row],[Rescale A_10]]</f>
        <v>10.632352941176471</v>
      </c>
      <c r="L6" s="6">
        <f>Table1[[#This Row],[2 - Gordura B]]/Table1[[#This Row],[Rescale A_2]]</f>
        <v>1.5372866127583107</v>
      </c>
      <c r="M6" s="6">
        <f>Table1[[#This Row],[10 - Gordura B]]/Table1[[#This Row],[Rescale A_10]]</f>
        <v>9.6197478991596643</v>
      </c>
      <c r="P6" s="7">
        <f>$B$25*Table43[[#This Row],[2 - Gordura A]]</f>
        <v>6.6366127583108714</v>
      </c>
      <c r="Q6" s="7">
        <f>P6/Table43[[#This Row],[10 - Gordura A]]</f>
        <v>0.6241904115700404</v>
      </c>
      <c r="R6" s="7">
        <f>$B$25*Table43[[#This Row],[2 - Gordura B]]</f>
        <v>7.4558400718778062</v>
      </c>
      <c r="S6" s="7">
        <f>Table3[[#This Row],[B10 - Ideal (alpha)]]/Table43[[#This Row],[10 - Gordura B]]</f>
        <v>0.77505566154484284</v>
      </c>
      <c r="T6" s="7">
        <f>AVERAGE(Table3[[#This Row],[B10 - 10ideal/10real (beta)]],Table3[[#This Row],[A10 - 10ideal/10real (beta)]])</f>
        <v>0.69962303655744162</v>
      </c>
    </row>
    <row r="7" spans="1:20">
      <c r="A7" s="3" t="s">
        <v>6</v>
      </c>
      <c r="B7" s="6">
        <f>Table1[[#This Row],[2 - Fígado A]]/Table1[[#This Row],[Rescale A_2]]</f>
        <v>20.40360610263523</v>
      </c>
      <c r="C7" s="6">
        <f>Table1[[#This Row],[10 - Fígado A]]/Table1[[#This Row],[Rescale A_10]]</f>
        <v>67.559907834101381</v>
      </c>
      <c r="D7" s="6">
        <f>Table1[[#This Row],[2 - Fígado B]]/Table1[[#This Row],[Rescale A_2]]</f>
        <v>20.119278779472953</v>
      </c>
      <c r="E7" s="6">
        <f>Table1[[#This Row],[10 - Fígado B]]/Table1[[#This Row],[Rescale A_10]]</f>
        <v>75.907834101382491</v>
      </c>
      <c r="F7" s="6">
        <f>Table1[[#This Row],[2 - Fígado C]]/Table1[[#This Row],[Rescale A_2]]</f>
        <v>19.796116504854368</v>
      </c>
      <c r="G7" s="6">
        <f>Table1[[#This Row],[10 - Fígado C]]/Table1[[#This Row],[Rescale A_10]]</f>
        <v>76.184331797235018</v>
      </c>
      <c r="H7" s="6">
        <f>Table1[[#This Row],[2 - Rim ]]/Table1[[#This Row],[Rescale A_2]]</f>
        <v>24.386962552011099</v>
      </c>
      <c r="I7" s="6">
        <f>Table1[[#This Row],[10 - Rim]]/Table1[[#This Row],[Rescale A_10]]</f>
        <v>52.486175115207374</v>
      </c>
      <c r="J7" s="6">
        <f>Table1[[#This Row],[2 - Gordura A]]/Table1[[#This Row],[Rescale A_2]]</f>
        <v>4.825242718446602</v>
      </c>
      <c r="K7" s="6">
        <f>Table1[[#This Row],[10 - Gordura A]]/Table1[[#This Row],[Rescale A_10]]</f>
        <v>17.004608294930875</v>
      </c>
      <c r="L7" s="6">
        <f>Table1[[#This Row],[2 - Gordura B]]/Table1[[#This Row],[Rescale A_2]]</f>
        <v>4.585298196948683</v>
      </c>
      <c r="M7" s="6">
        <f>Table1[[#This Row],[10 - Gordura B]]/Table1[[#This Row],[Rescale A_10]]</f>
        <v>18.449308755760367</v>
      </c>
      <c r="P7" s="7">
        <f>$B$25*Table43[[#This Row],[2 - Gordura A]]</f>
        <v>23.402427184466017</v>
      </c>
      <c r="Q7" s="7">
        <f>P7/Table43[[#This Row],[10 - Gordura A]]</f>
        <v>1.3762402978398716</v>
      </c>
      <c r="R7" s="7">
        <f>$B$25*Table43[[#This Row],[2 - Gordura B]]</f>
        <v>22.238696255201113</v>
      </c>
      <c r="S7" s="7">
        <f>Table3[[#This Row],[B10 - Ideal (alpha)]]/Table43[[#This Row],[10 - Gordura B]]</f>
        <v>1.2053945516119999</v>
      </c>
      <c r="T7" s="7">
        <f>AVERAGE(Table3[[#This Row],[B10 - 10ideal/10real (beta)]],Table3[[#This Row],[A10 - 10ideal/10real (beta)]])</f>
        <v>1.2908174247259359</v>
      </c>
    </row>
    <row r="8" spans="1:20">
      <c r="A8" s="3" t="s">
        <v>7</v>
      </c>
      <c r="B8" s="6">
        <f>Table1[[#This Row],[2 - Fígado A]]/Table1[[#This Row],[Rescale A_2]]</f>
        <v>12.710858585858587</v>
      </c>
      <c r="C8" s="6">
        <f>Table1[[#This Row],[10 - Fígado A]]/Table1[[#This Row],[Rescale A_10]]</f>
        <v>34.845217391304352</v>
      </c>
      <c r="D8" s="6">
        <f>Table1[[#This Row],[2 - Fígado B]]/Table1[[#This Row],[Rescale A_2]]</f>
        <v>12.729797979797979</v>
      </c>
      <c r="E8" s="6">
        <f>Table1[[#This Row],[10 - Fígado B]]/Table1[[#This Row],[Rescale A_10]]</f>
        <v>32.041739130434784</v>
      </c>
      <c r="F8" s="6">
        <f>Table1[[#This Row],[2 - Fígado C]]/Table1[[#This Row],[Rescale A_2]]</f>
        <v>12.51010101010101</v>
      </c>
      <c r="G8" s="6">
        <f>Table1[[#This Row],[10 - Fígado C]]/Table1[[#This Row],[Rescale A_10]]</f>
        <v>30.083478260869562</v>
      </c>
      <c r="H8" s="6">
        <f>Table1[[#This Row],[2 - Rim ]]/Table1[[#This Row],[Rescale A_2]]</f>
        <v>16.373737373737374</v>
      </c>
      <c r="I8" s="6">
        <f>Table1[[#This Row],[10 - Rim]]/Table1[[#This Row],[Rescale A_10]]</f>
        <v>31.234782608695649</v>
      </c>
      <c r="J8" s="6">
        <f>Table1[[#This Row],[2 - Gordura A]]/Table1[[#This Row],[Rescale A_2]]</f>
        <v>2.8232323232323231</v>
      </c>
      <c r="K8" s="6">
        <f>Table1[[#This Row],[10 - Gordura A]]/Table1[[#This Row],[Rescale A_10]]</f>
        <v>9.4747826086956515</v>
      </c>
      <c r="L8" s="6">
        <f>Table1[[#This Row],[2 - Gordura B]]/Table1[[#This Row],[Rescale A_2]]</f>
        <v>2.7815656565656566</v>
      </c>
      <c r="M8" s="6">
        <f>Table1[[#This Row],[10 - Gordura B]]/Table1[[#This Row],[Rescale A_10]]</f>
        <v>9.76</v>
      </c>
      <c r="P8" s="7">
        <f>$B$25*Table43[[#This Row],[2 - Gordura A]]</f>
        <v>13.692676767676765</v>
      </c>
      <c r="Q8" s="7">
        <f>P8/Table43[[#This Row],[10 - Gordura A]]</f>
        <v>1.4451705472492915</v>
      </c>
      <c r="R8" s="7">
        <f>$B$25*Table43[[#This Row],[2 - Gordura B]]</f>
        <v>13.490593434343433</v>
      </c>
      <c r="S8" s="7">
        <f>Table3[[#This Row],[B10 - Ideal (alpha)]]/Table43[[#This Row],[10 - Gordura B]]</f>
        <v>1.3822329338466632</v>
      </c>
      <c r="T8" s="7">
        <f>AVERAGE(Table3[[#This Row],[B10 - 10ideal/10real (beta)]],Table3[[#This Row],[A10 - 10ideal/10real (beta)]])</f>
        <v>1.4137017405479773</v>
      </c>
    </row>
    <row r="9" spans="1:20">
      <c r="A9" s="3" t="s">
        <v>8</v>
      </c>
      <c r="B9" s="6">
        <f>Table1[[#This Row],[2 - Fígado A]]/Table1[[#This Row],[Rescale A_2]]</f>
        <v>10.810256410256411</v>
      </c>
      <c r="C9" s="6">
        <f>Table1[[#This Row],[10 - Fígado A]]/Table1[[#This Row],[Rescale A_10]]</f>
        <v>46.91348088531187</v>
      </c>
      <c r="D9" s="6">
        <f>Table1[[#This Row],[2 - Fígado B]]/Table1[[#This Row],[Rescale A_2]]</f>
        <v>10.24102564102564</v>
      </c>
      <c r="E9" s="6">
        <f>Table1[[#This Row],[10 - Fígado B]]/Table1[[#This Row],[Rescale A_10]]</f>
        <v>48.118712273641854</v>
      </c>
      <c r="F9" s="6">
        <f>Table1[[#This Row],[2 - Fígado C]]/Table1[[#This Row],[Rescale A_2]]</f>
        <v>10.954871794871796</v>
      </c>
      <c r="G9" s="6">
        <f>Table1[[#This Row],[10 - Fígado C]]/Table1[[#This Row],[Rescale A_10]]</f>
        <v>54.297786720321938</v>
      </c>
      <c r="H9" s="6">
        <f>Table1[[#This Row],[2 - Rim ]]/Table1[[#This Row],[Rescale A_2]]</f>
        <v>15.523076923076923</v>
      </c>
      <c r="I9" s="6">
        <f>Table1[[#This Row],[10 - Rim]]/Table1[[#This Row],[Rescale A_10]]</f>
        <v>40.108651911468819</v>
      </c>
      <c r="J9" s="6">
        <f>Table1[[#This Row],[2 - Gordura A]]/Table1[[#This Row],[Rescale A_2]]</f>
        <v>2.6338461538461537</v>
      </c>
      <c r="K9" s="6">
        <f>Table1[[#This Row],[10 - Gordura A]]/Table1[[#This Row],[Rescale A_10]]</f>
        <v>10.800804828973844</v>
      </c>
      <c r="L9" s="6">
        <f>Table1[[#This Row],[2 - Gordura B]]/Table1[[#This Row],[Rescale A_2]]</f>
        <v>2.2779487179487181</v>
      </c>
      <c r="M9" s="6">
        <f>Table1[[#This Row],[10 - Gordura B]]/Table1[[#This Row],[Rescale A_10]]</f>
        <v>12.740442655935615</v>
      </c>
      <c r="P9" s="7">
        <f>$B$25*Table43[[#This Row],[2 - Gordura A]]</f>
        <v>12.774153846153844</v>
      </c>
      <c r="Q9" s="7">
        <f>P9/Table43[[#This Row],[10 - Gordura A]]</f>
        <v>1.1827038862776564</v>
      </c>
      <c r="R9" s="7">
        <f>$B$25*Table43[[#This Row],[2 - Gordura B]]</f>
        <v>11.048051282051283</v>
      </c>
      <c r="S9" s="7">
        <f>Table3[[#This Row],[B10 - Ideal (alpha)]]/Table43[[#This Row],[10 - Gordura B]]</f>
        <v>0.86716384825955262</v>
      </c>
      <c r="T9" s="7">
        <f>AVERAGE(Table3[[#This Row],[B10 - 10ideal/10real (beta)]],Table3[[#This Row],[A10 - 10ideal/10real (beta)]])</f>
        <v>1.0249338672686046</v>
      </c>
    </row>
    <row r="10" spans="1:20">
      <c r="A10" s="3" t="s">
        <v>9</v>
      </c>
      <c r="B10" s="6">
        <f>Table1[[#This Row],[2 - Fígado A]]/Table1[[#This Row],[Rescale A_2]]</f>
        <v>17.67715458276334</v>
      </c>
      <c r="C10" s="6">
        <f>Table1[[#This Row],[10 - Fígado A]]/Table1[[#This Row],[Rescale A_10]]</f>
        <v>79.766756032171571</v>
      </c>
      <c r="D10" s="6">
        <f>Table1[[#This Row],[2 - Fígado B]]/Table1[[#This Row],[Rescale A_2]]</f>
        <v>20.578659370725035</v>
      </c>
      <c r="E10" s="6">
        <f>Table1[[#This Row],[10 - Fígado B]]/Table1[[#This Row],[Rescale A_10]]</f>
        <v>86.168900804289549</v>
      </c>
      <c r="F10" s="6">
        <f>Table1[[#This Row],[2 - Fígado C]]/Table1[[#This Row],[Rescale A_2]]</f>
        <v>22.504787961696305</v>
      </c>
      <c r="G10" s="6">
        <f>Table1[[#This Row],[10 - Fígado C]]/Table1[[#This Row],[Rescale A_10]]</f>
        <v>89.463806970509381</v>
      </c>
      <c r="H10" s="6">
        <f>Table1[[#This Row],[2 - Rim ]]/Table1[[#This Row],[Rescale A_2]]</f>
        <v>24.853625170998633</v>
      </c>
      <c r="I10" s="6">
        <f>Table1[[#This Row],[10 - Rim]]/Table1[[#This Row],[Rescale A_10]]</f>
        <v>60.908847184986598</v>
      </c>
      <c r="J10" s="6">
        <f>Table1[[#This Row],[2 - Gordura A]]/Table1[[#This Row],[Rescale A_2]]</f>
        <v>4.1422708618331061</v>
      </c>
      <c r="K10" s="6">
        <f>Table1[[#This Row],[10 - Gordura A]]/Table1[[#This Row],[Rescale A_10]]</f>
        <v>20.941018766756031</v>
      </c>
      <c r="L10" s="6">
        <f>Table1[[#This Row],[2 - Gordura B]]/Table1[[#This Row],[Rescale A_2]]</f>
        <v>4.5088919288645695</v>
      </c>
      <c r="M10" s="6">
        <f>Table1[[#This Row],[10 - Gordura B]]/Table1[[#This Row],[Rescale A_10]]</f>
        <v>22.402144772117964</v>
      </c>
      <c r="P10" s="7">
        <f>$B$25*Table43[[#This Row],[2 - Gordura A]]</f>
        <v>20.090013679890564</v>
      </c>
      <c r="Q10" s="7">
        <f>P10/Table43[[#This Row],[10 - Gordura A]]</f>
        <v>0.95936181060033043</v>
      </c>
      <c r="R10" s="7">
        <f>$B$25*Table43[[#This Row],[2 - Gordura B]]</f>
        <v>21.86812585499316</v>
      </c>
      <c r="S10" s="7">
        <f>Table3[[#This Row],[B10 - Ideal (alpha)]]/Table43[[#This Row],[10 - Gordura B]]</f>
        <v>0.97616215221546765</v>
      </c>
      <c r="T10" s="7">
        <f>AVERAGE(Table3[[#This Row],[B10 - 10ideal/10real (beta)]],Table3[[#This Row],[A10 - 10ideal/10real (beta)]])</f>
        <v>0.96776198140789904</v>
      </c>
    </row>
    <row r="11" spans="1:20">
      <c r="A11" s="3" t="s">
        <v>10</v>
      </c>
      <c r="B11" s="6">
        <f>Table1[[#This Row],[2 - Fígado A]]/Table1[[#This Row],[Rescale A_2]]</f>
        <v>12.864197530864198</v>
      </c>
      <c r="C11" s="6">
        <f>Table1[[#This Row],[10 - Fígado A]]/Table1[[#This Row],[Rescale A_10]]</f>
        <v>45.998168498168496</v>
      </c>
      <c r="D11" s="6">
        <f>Table1[[#This Row],[2 - Fígado B]]/Table1[[#This Row],[Rescale A_2]]</f>
        <v>12.700336700336699</v>
      </c>
      <c r="E11" s="6">
        <f>Table1[[#This Row],[10 - Fígado B]]/Table1[[#This Row],[Rescale A_10]]</f>
        <v>49.175824175824175</v>
      </c>
      <c r="F11" s="6">
        <f>Table1[[#This Row],[2 - Fígado C]]/Table1[[#This Row],[Rescale A_2]]</f>
        <v>12.764309764309765</v>
      </c>
      <c r="G11" s="6">
        <f>Table1[[#This Row],[10 - Fígado C]]/Table1[[#This Row],[Rescale A_10]]</f>
        <v>51.291208791208796</v>
      </c>
      <c r="H11" s="6">
        <f>Table1[[#This Row],[2 - Rim ]]/Table1[[#This Row],[Rescale A_2]]</f>
        <v>15.218855218855218</v>
      </c>
      <c r="I11" s="6">
        <f>Table1[[#This Row],[10 - Rim]]/Table1[[#This Row],[Rescale A_10]]</f>
        <v>37.375457875457876</v>
      </c>
      <c r="J11" s="6">
        <f>Table1[[#This Row],[2 - Gordura A]]/Table1[[#This Row],[Rescale A_2]]</f>
        <v>2.5881032547699214</v>
      </c>
      <c r="K11" s="6">
        <f>Table1[[#This Row],[10 - Gordura A]]/Table1[[#This Row],[Rescale A_10]]</f>
        <v>10.256410256410257</v>
      </c>
      <c r="L11" s="6">
        <f>Table1[[#This Row],[2 - Gordura B]]/Table1[[#This Row],[Rescale A_2]]</f>
        <v>2.1515151515151518</v>
      </c>
      <c r="M11" s="6">
        <f>Table1[[#This Row],[10 - Gordura B]]/Table1[[#This Row],[Rescale A_10]]</f>
        <v>9.8736263736263723</v>
      </c>
      <c r="P11" s="7">
        <f>$B$25*Table43[[#This Row],[2 - Gordura A]]</f>
        <v>12.552300785634118</v>
      </c>
      <c r="Q11" s="7">
        <f>P11/Table43[[#This Row],[10 - Gordura A]]</f>
        <v>1.2238493265993264</v>
      </c>
      <c r="R11" s="7">
        <f>$B$25*Table43[[#This Row],[2 - Gordura B]]</f>
        <v>10.434848484848485</v>
      </c>
      <c r="S11" s="7">
        <f>Table3[[#This Row],[B10 - Ideal (alpha)]]/Table43[[#This Row],[10 - Gordura B]]</f>
        <v>1.0568405254548829</v>
      </c>
      <c r="T11" s="7">
        <f>AVERAGE(Table3[[#This Row],[B10 - 10ideal/10real (beta)]],Table3[[#This Row],[A10 - 10ideal/10real (beta)]])</f>
        <v>1.1403449260271046</v>
      </c>
    </row>
    <row r="12" spans="1:20">
      <c r="A12" s="3" t="s">
        <v>11</v>
      </c>
      <c r="B12" s="6">
        <f>Table1[[#This Row],[2 - Fígado A]]/Table1[[#This Row],[Rescale A_2]]</f>
        <v>14.998908296943229</v>
      </c>
      <c r="C12" s="6">
        <f>Table1[[#This Row],[10 - Fígado A]]/Table1[[#This Row],[Rescale A_10]]</f>
        <v>105.25954198473281</v>
      </c>
      <c r="D12" s="6">
        <f>Table1[[#This Row],[2 - Fígado B]]/Table1[[#This Row],[Rescale A_2]]</f>
        <v>13.085152838427947</v>
      </c>
      <c r="E12" s="6">
        <f>Table1[[#This Row],[10 - Fígado B]]/Table1[[#This Row],[Rescale A_10]]</f>
        <v>102.17938931297709</v>
      </c>
      <c r="F12" s="6">
        <f>Table1[[#This Row],[2 - Fígado C]]/Table1[[#This Row],[Rescale A_2]]</f>
        <v>13.876637554585152</v>
      </c>
      <c r="G12" s="6">
        <f>Table1[[#This Row],[10 - Fígado C]]/Table1[[#This Row],[Rescale A_10]]</f>
        <v>100.8969465648855</v>
      </c>
      <c r="H12" s="6">
        <f>Table1[[#This Row],[2 - Rim ]]/Table1[[#This Row],[Rescale A_2]]</f>
        <v>16.799126637554583</v>
      </c>
      <c r="I12" s="6">
        <f>Table1[[#This Row],[10 - Rim]]/Table1[[#This Row],[Rescale A_10]]</f>
        <v>95.885496183206101</v>
      </c>
      <c r="J12" s="6">
        <f>Table1[[#This Row],[2 - Gordura A]]/Table1[[#This Row],[Rescale A_2]]</f>
        <v>3.8569868995633185</v>
      </c>
      <c r="K12" s="6">
        <f>Table1[[#This Row],[10 - Gordura A]]/Table1[[#This Row],[Rescale A_10]]</f>
        <v>33.053435114503813</v>
      </c>
      <c r="L12" s="6">
        <f>Table1[[#This Row],[2 - Gordura B]]/Table1[[#This Row],[Rescale A_2]]</f>
        <v>3.4890829694323147</v>
      </c>
      <c r="M12" s="6">
        <f>Table1[[#This Row],[10 - Gordura B]]/Table1[[#This Row],[Rescale A_10]]</f>
        <v>27.171755725190838</v>
      </c>
      <c r="P12" s="7">
        <f>$B$25*Table43[[#This Row],[2 - Gordura A]]</f>
        <v>18.706386462882094</v>
      </c>
      <c r="Q12" s="7">
        <f>P12/Table43[[#This Row],[10 - Gordura A]]</f>
        <v>0.56594379368072856</v>
      </c>
      <c r="R12" s="7">
        <f>$B$25*Table43[[#This Row],[2 - Gordura B]]</f>
        <v>16.922052401746726</v>
      </c>
      <c r="S12" s="7">
        <f>Table3[[#This Row],[B10 - Ideal (alpha)]]/Table43[[#This Row],[10 - Gordura B]]</f>
        <v>0.62278097053766568</v>
      </c>
      <c r="T12" s="7">
        <f>AVERAGE(Table3[[#This Row],[B10 - 10ideal/10real (beta)]],Table3[[#This Row],[A10 - 10ideal/10real (beta)]])</f>
        <v>0.59436238210919712</v>
      </c>
    </row>
    <row r="13" spans="1:20">
      <c r="A13" s="3" t="s">
        <v>12</v>
      </c>
      <c r="B13" s="6">
        <f>Table1[[#This Row],[2 - Fígado A]]/Table1[[#This Row],[Rescale A_2]]</f>
        <v>10.258220502901354</v>
      </c>
      <c r="C13" s="6">
        <f>Table1[[#This Row],[10 - Fígado A]]/Table1[[#This Row],[Rescale A_10]]</f>
        <v>43.316326530612244</v>
      </c>
      <c r="D13" s="6">
        <f>Table1[[#This Row],[2 - Fígado B]]/Table1[[#This Row],[Rescale A_2]]</f>
        <v>10.712765957446809</v>
      </c>
      <c r="E13" s="6">
        <f>Table1[[#This Row],[10 - Fígado B]]/Table1[[#This Row],[Rescale A_10]]</f>
        <v>39.359183673469389</v>
      </c>
      <c r="F13" s="6">
        <f>Table1[[#This Row],[2 - Fígado C]]/Table1[[#This Row],[Rescale A_2]]</f>
        <v>11.448742746615087</v>
      </c>
      <c r="G13" s="6">
        <f>Table1[[#This Row],[10 - Fígado C]]/Table1[[#This Row],[Rescale A_10]]</f>
        <v>44.442857142857143</v>
      </c>
      <c r="H13" s="6">
        <f>Table1[[#This Row],[2 - Rim ]]/Table1[[#This Row],[Rescale A_2]]</f>
        <v>12.688588007736943</v>
      </c>
      <c r="I13" s="6">
        <f>Table1[[#This Row],[10 - Rim]]/Table1[[#This Row],[Rescale A_10]]</f>
        <v>30.116326530612241</v>
      </c>
      <c r="J13" s="6">
        <f>Table1[[#This Row],[2 - Gordura A]]/Table1[[#This Row],[Rescale A_2]]</f>
        <v>3.1034816247582211</v>
      </c>
      <c r="K13" s="6">
        <f>Table1[[#This Row],[10 - Gordura A]]/Table1[[#This Row],[Rescale A_10]]</f>
        <v>14.812244897959182</v>
      </c>
      <c r="L13" s="6">
        <f>Table1[[#This Row],[2 - Gordura B]]/Table1[[#This Row],[Rescale A_2]]</f>
        <v>2.7475822050290137</v>
      </c>
      <c r="M13" s="6">
        <f>Table1[[#This Row],[10 - Gordura B]]/Table1[[#This Row],[Rescale A_10]]</f>
        <v>14.122448979591836</v>
      </c>
      <c r="P13" s="7">
        <f>$B$25*Table43[[#This Row],[2 - Gordura A]]</f>
        <v>15.051885880077371</v>
      </c>
      <c r="Q13" s="7">
        <f>P13/Table43[[#This Row],[10 - Gordura A]]</f>
        <v>1.0161785727800927</v>
      </c>
      <c r="R13" s="7">
        <f>$B$25*Table43[[#This Row],[2 - Gordura B]]</f>
        <v>13.325773694390715</v>
      </c>
      <c r="S13" s="7">
        <f>Table3[[#This Row],[B10 - Ideal (alpha)]]/Table43[[#This Row],[10 - Gordura B]]</f>
        <v>0.94358802171263745</v>
      </c>
      <c r="T13" s="7">
        <f>AVERAGE(Table3[[#This Row],[B10 - 10ideal/10real (beta)]],Table3[[#This Row],[A10 - 10ideal/10real (beta)]])</f>
        <v>0.97988329724636514</v>
      </c>
    </row>
    <row r="14" spans="1:20">
      <c r="A14" s="3" t="s">
        <v>13</v>
      </c>
      <c r="B14" s="6">
        <f>Table1[[#This Row],[2 - Fígado A]]/Table1[[#This Row],[Rescale A_2]]</f>
        <v>13.138443935926773</v>
      </c>
      <c r="C14" s="6">
        <f>Table1[[#This Row],[10 - Fígado A]]/Table1[[#This Row],[Rescale A_10]]</f>
        <v>60.157142857142851</v>
      </c>
      <c r="D14" s="6">
        <f>Table1[[#This Row],[2 - Fígado B]]/Table1[[#This Row],[Rescale A_2]]</f>
        <v>12.518306636155605</v>
      </c>
      <c r="E14" s="6">
        <f>Table1[[#This Row],[10 - Fígado B]]/Table1[[#This Row],[Rescale A_10]]</f>
        <v>58.604761904761901</v>
      </c>
      <c r="F14" s="6">
        <f>Table1[[#This Row],[2 - Fígado C]]/Table1[[#This Row],[Rescale A_2]]</f>
        <v>12.289473684210526</v>
      </c>
      <c r="G14" s="6">
        <f>Table1[[#This Row],[10 - Fígado C]]/Table1[[#This Row],[Rescale A_10]]</f>
        <v>64.409523809523805</v>
      </c>
      <c r="H14" s="6">
        <f>Table1[[#This Row],[2 - Rim ]]/Table1[[#This Row],[Rescale A_2]]</f>
        <v>15.684210526315791</v>
      </c>
      <c r="I14" s="6">
        <f>Table1[[#This Row],[10 - Rim]]/Table1[[#This Row],[Rescale A_10]]</f>
        <v>48.069047619047616</v>
      </c>
      <c r="J14" s="6">
        <f>Table1[[#This Row],[2 - Gordura A]]/Table1[[#This Row],[Rescale A_2]]</f>
        <v>2.6784897025171626</v>
      </c>
      <c r="K14" s="6">
        <f>Table1[[#This Row],[10 - Gordura A]]/Table1[[#This Row],[Rescale A_10]]</f>
        <v>12.254761904761905</v>
      </c>
      <c r="L14" s="6">
        <f>Table1[[#This Row],[2 - Gordura B]]/Table1[[#This Row],[Rescale A_2]]</f>
        <v>2.9908466819221968</v>
      </c>
      <c r="M14" s="6">
        <f>Table1[[#This Row],[10 - Gordura B]]/Table1[[#This Row],[Rescale A_10]]</f>
        <v>13.238095238095237</v>
      </c>
      <c r="P14" s="7">
        <f>$B$25*Table43[[#This Row],[2 - Gordura A]]</f>
        <v>12.990675057208238</v>
      </c>
      <c r="Q14" s="7">
        <f>P14/Table43[[#This Row],[10 - Gordura A]]</f>
        <v>1.060051199539044</v>
      </c>
      <c r="R14" s="7">
        <f>$B$25*Table43[[#This Row],[2 - Gordura B]]</f>
        <v>14.505606407322654</v>
      </c>
      <c r="S14" s="7">
        <f>Table3[[#This Row],[B10 - Ideal (alpha)]]/Table43[[#This Row],[10 - Gordura B]]</f>
        <v>1.0957472465963156</v>
      </c>
      <c r="T14" s="7">
        <f>AVERAGE(Table3[[#This Row],[B10 - 10ideal/10real (beta)]],Table3[[#This Row],[A10 - 10ideal/10real (beta)]])</f>
        <v>1.0778992230676798</v>
      </c>
    </row>
    <row r="15" spans="1:20">
      <c r="A15" s="3" t="s">
        <v>14</v>
      </c>
      <c r="B15" s="6">
        <f>Table1[[#This Row],[2 - Fígado A]]/Table1[[#This Row],[Rescale A_2]]</f>
        <v>12.319514661274013</v>
      </c>
      <c r="C15" s="6">
        <f>Table1[[#This Row],[10 - Fígado A]]/Table1[[#This Row],[Rescale A_10]]</f>
        <v>55.175097276264601</v>
      </c>
      <c r="D15" s="6">
        <f>Table1[[#This Row],[2 - Fígado B]]/Table1[[#This Row],[Rescale A_2]]</f>
        <v>10.735085945399392</v>
      </c>
      <c r="E15" s="6">
        <f>Table1[[#This Row],[10 - Fígado B]]/Table1[[#This Row],[Rescale A_10]]</f>
        <v>53.237354085603116</v>
      </c>
      <c r="F15" s="6">
        <f>Table1[[#This Row],[2 - Fígado C]]/Table1[[#This Row],[Rescale A_2]]</f>
        <v>10.535894843276036</v>
      </c>
      <c r="G15" s="6">
        <f>Table1[[#This Row],[10 - Fígado C]]/Table1[[#This Row],[Rescale A_10]]</f>
        <v>51.278210116731522</v>
      </c>
      <c r="H15" s="6">
        <f>Table1[[#This Row],[2 - Rim ]]/Table1[[#This Row],[Rescale A_2]]</f>
        <v>13.761375126390291</v>
      </c>
      <c r="I15" s="6">
        <f>Table1[[#This Row],[10 - Rim]]/Table1[[#This Row],[Rescale A_10]]</f>
        <v>37.815175097276267</v>
      </c>
      <c r="J15" s="6">
        <f>Table1[[#This Row],[2 - Gordura A]]/Table1[[#This Row],[Rescale A_2]]</f>
        <v>2.5025278058645095</v>
      </c>
      <c r="K15" s="6">
        <f>Table1[[#This Row],[10 - Gordura A]]/Table1[[#This Row],[Rescale A_10]]</f>
        <v>11.437743190661479</v>
      </c>
      <c r="L15" s="6">
        <f>Table1[[#This Row],[2 - Gordura B]]/Table1[[#This Row],[Rescale A_2]]</f>
        <v>2.3043478260869561</v>
      </c>
      <c r="M15" s="6">
        <f>Table1[[#This Row],[10 - Gordura B]]/Table1[[#This Row],[Rescale A_10]]</f>
        <v>13.249027237354085</v>
      </c>
      <c r="P15" s="7">
        <f>$B$25*Table43[[#This Row],[2 - Gordura A]]</f>
        <v>12.137259858442871</v>
      </c>
      <c r="Q15" s="7">
        <f>P15/Table43[[#This Row],[10 - Gordura A]]</f>
        <v>1.0611586268480415</v>
      </c>
      <c r="R15" s="7">
        <f>$B$25*Table43[[#This Row],[2 - Gordura B]]</f>
        <v>11.176086956521736</v>
      </c>
      <c r="S15" s="7">
        <f>Table3[[#This Row],[B10 - Ideal (alpha)]]/Table43[[#This Row],[10 - Gordura B]]</f>
        <v>0.8435401902572941</v>
      </c>
      <c r="T15" s="7">
        <f>AVERAGE(Table3[[#This Row],[B10 - 10ideal/10real (beta)]],Table3[[#This Row],[A10 - 10ideal/10real (beta)]])</f>
        <v>0.95234940855266781</v>
      </c>
    </row>
    <row r="16" spans="1:20">
      <c r="A16" s="3" t="s">
        <v>15</v>
      </c>
      <c r="B16" s="6">
        <f>Table1[[#This Row],[2 - Fígado A]]/Table1[[#This Row],[Rescale A_2]]</f>
        <v>7.9821092278719403</v>
      </c>
      <c r="C16" s="6">
        <f>Table1[[#This Row],[10 - Fígado A]]/Table1[[#This Row],[Rescale A_10]]</f>
        <v>31.387478849407781</v>
      </c>
      <c r="D16" s="6">
        <f>Table1[[#This Row],[2 - Fígado B]]/Table1[[#This Row],[Rescale A_2]]</f>
        <v>6.4246704331450104</v>
      </c>
      <c r="E16" s="6">
        <f>Table1[[#This Row],[10 - Fígado B]]/Table1[[#This Row],[Rescale A_10]]</f>
        <v>26.287648054145517</v>
      </c>
      <c r="F16" s="6">
        <f>Table1[[#This Row],[2 - Fígado C]]/Table1[[#This Row],[Rescale A_2]]</f>
        <v>6.9661016949152552</v>
      </c>
      <c r="G16" s="6">
        <f>Table1[[#This Row],[10 - Fígado C]]/Table1[[#This Row],[Rescale A_10]]</f>
        <v>26.402707275803721</v>
      </c>
      <c r="H16" s="6">
        <f>Table1[[#This Row],[2 - Rim ]]/Table1[[#This Row],[Rescale A_2]]</f>
        <v>11.335216572504709</v>
      </c>
      <c r="I16" s="6">
        <f>Table1[[#This Row],[10 - Rim]]/Table1[[#This Row],[Rescale A_10]]</f>
        <v>38.749576988155667</v>
      </c>
      <c r="J16" s="6">
        <f>Table1[[#This Row],[2 - Gordura A]]/Table1[[#This Row],[Rescale A_2]]</f>
        <v>2.8578154425612055</v>
      </c>
      <c r="K16" s="6">
        <f>Table1[[#This Row],[10 - Gordura A]]/Table1[[#This Row],[Rescale A_10]]</f>
        <v>10.448392554991539</v>
      </c>
      <c r="L16" s="6">
        <f>Table1[[#This Row],[2 - Gordura B]]/Table1[[#This Row],[Rescale A_2]]</f>
        <v>2.2551789077212807</v>
      </c>
      <c r="M16" s="6">
        <f>Table1[[#This Row],[10 - Gordura B]]/Table1[[#This Row],[Rescale A_10]]</f>
        <v>11.575296108291031</v>
      </c>
      <c r="P16" s="7">
        <f>$B$25*Table43[[#This Row],[2 - Gordura A]]</f>
        <v>13.860404896421846</v>
      </c>
      <c r="Q16" s="7">
        <f>P16/Table43[[#This Row],[10 - Gordura A]]</f>
        <v>1.3265585900866901</v>
      </c>
      <c r="R16" s="7">
        <f>$B$25*Table43[[#This Row],[2 - Gordura B]]</f>
        <v>10.937617702448211</v>
      </c>
      <c r="S16" s="7">
        <f>Table3[[#This Row],[B10 - Ideal (alpha)]]/Table43[[#This Row],[10 - Gordura B]]</f>
        <v>0.94491040230184087</v>
      </c>
      <c r="T16" s="7">
        <f>AVERAGE(Table3[[#This Row],[B10 - 10ideal/10real (beta)]],Table3[[#This Row],[A10 - 10ideal/10real (beta)]])</f>
        <v>1.1357344961942655</v>
      </c>
    </row>
    <row r="17" spans="1:20">
      <c r="A17" s="3" t="s">
        <v>16</v>
      </c>
      <c r="B17" s="6">
        <f>Table1[[#This Row],[2 - Fígado A]]/Table1[[#This Row],[Rescale A_2]]</f>
        <v>8.6000000000000014</v>
      </c>
      <c r="C17" s="6">
        <f>Table1[[#This Row],[10 - Fígado A]]/Table1[[#This Row],[Rescale A_10]]</f>
        <v>32.173174872665534</v>
      </c>
      <c r="D17" s="6">
        <f>Table1[[#This Row],[2 - Fígado B]]/Table1[[#This Row],[Rescale A_2]]</f>
        <v>8.5593750000000011</v>
      </c>
      <c r="E17" s="6">
        <f>Table1[[#This Row],[10 - Fígado B]]/Table1[[#This Row],[Rescale A_10]]</f>
        <v>30.44142614601019</v>
      </c>
      <c r="F17" s="6">
        <f>Table1[[#This Row],[2 - Fígado C]]/Table1[[#This Row],[Rescale A_2]]</f>
        <v>9.595833333333335</v>
      </c>
      <c r="G17" s="6">
        <f>Table1[[#This Row],[10 - Fígado C]]/Table1[[#This Row],[Rescale A_10]]</f>
        <v>29.553480475382003</v>
      </c>
      <c r="H17" s="6">
        <f>Table1[[#This Row],[2 - Rim ]]/Table1[[#This Row],[Rescale A_2]]</f>
        <v>14.771875000000001</v>
      </c>
      <c r="I17" s="6">
        <f>Table1[[#This Row],[10 - Rim]]/Table1[[#This Row],[Rescale A_10]]</f>
        <v>33.422750424448225</v>
      </c>
      <c r="J17" s="6">
        <f>Table1[[#This Row],[2 - Gordura A]]/Table1[[#This Row],[Rescale A_2]]</f>
        <v>2.276041666666667</v>
      </c>
      <c r="K17" s="6">
        <f>Table1[[#This Row],[10 - Gordura A]]/Table1[[#This Row],[Rescale A_10]]</f>
        <v>9.8743633276740237</v>
      </c>
      <c r="L17" s="6">
        <f>Table1[[#This Row],[2 - Gordura B]]/Table1[[#This Row],[Rescale A_2]]</f>
        <v>2.4500000000000002</v>
      </c>
      <c r="M17" s="6">
        <f>Table1[[#This Row],[10 - Gordura B]]/Table1[[#This Row],[Rescale A_10]]</f>
        <v>9.633276740237692</v>
      </c>
      <c r="P17" s="7">
        <f>$B$25*Table43[[#This Row],[2 - Gordura A]]</f>
        <v>11.038802083333334</v>
      </c>
      <c r="Q17" s="7">
        <f>P17/Table43[[#This Row],[10 - Gordura A]]</f>
        <v>1.1179254516993351</v>
      </c>
      <c r="R17" s="7">
        <f>$B$25*Table43[[#This Row],[2 - Gordura B]]</f>
        <v>11.8825</v>
      </c>
      <c r="S17" s="7">
        <f>Table3[[#This Row],[B10 - Ideal (alpha)]]/Table43[[#This Row],[10 - Gordura B]]</f>
        <v>1.2334847550229113</v>
      </c>
      <c r="T17" s="7">
        <f>AVERAGE(Table3[[#This Row],[B10 - 10ideal/10real (beta)]],Table3[[#This Row],[A10 - 10ideal/10real (beta)]])</f>
        <v>1.1757051033611232</v>
      </c>
    </row>
    <row r="18" spans="1:20">
      <c r="A18" s="3" t="s">
        <v>17</v>
      </c>
      <c r="B18" s="6">
        <f>Table1[[#This Row],[2 - Fígado A]]/Table1[[#This Row],[Rescale A_2]]</f>
        <v>6.0271828665568368</v>
      </c>
      <c r="C18" s="6">
        <f>Table1[[#This Row],[10 - Fígado A]]/Table1[[#This Row],[Rescale A_10]]</f>
        <v>21.189115646258507</v>
      </c>
      <c r="D18" s="6">
        <f>Table1[[#This Row],[2 - Fígado B]]/Table1[[#This Row],[Rescale A_2]]</f>
        <v>6.2240527182866554</v>
      </c>
      <c r="E18" s="6">
        <f>Table1[[#This Row],[10 - Fígado B]]/Table1[[#This Row],[Rescale A_10]]</f>
        <v>20.344217687074831</v>
      </c>
      <c r="F18" s="6">
        <f>Table1[[#This Row],[2 - Fígado C]]/Table1[[#This Row],[Rescale A_2]]</f>
        <v>7.005766062602965</v>
      </c>
      <c r="G18" s="6">
        <f>Table1[[#This Row],[10 - Fígado C]]/Table1[[#This Row],[Rescale A_10]]</f>
        <v>19.357823129251702</v>
      </c>
      <c r="H18" s="6">
        <f>Table1[[#This Row],[2 - Rim ]]/Table1[[#This Row],[Rescale A_2]]</f>
        <v>9.025535420098846</v>
      </c>
      <c r="I18" s="6">
        <f>Table1[[#This Row],[10 - Rim]]/Table1[[#This Row],[Rescale A_10]]</f>
        <v>20.474829931972792</v>
      </c>
      <c r="J18" s="6">
        <f>Table1[[#This Row],[2 - Gordura A]]/Table1[[#This Row],[Rescale A_2]]</f>
        <v>1.4093904448105437</v>
      </c>
      <c r="K18" s="6">
        <f>Table1[[#This Row],[10 - Gordura A]]/Table1[[#This Row],[Rescale A_10]]</f>
        <v>6.94421768707483</v>
      </c>
      <c r="L18" s="6">
        <f>Table1[[#This Row],[2 - Gordura B]]/Table1[[#This Row],[Rescale A_2]]</f>
        <v>1.7372322899505765</v>
      </c>
      <c r="M18" s="6">
        <f>Table1[[#This Row],[10 - Gordura B]]/Table1[[#This Row],[Rescale A_10]]</f>
        <v>6.7156462585034014</v>
      </c>
      <c r="P18" s="7">
        <f>$B$25*Table43[[#This Row],[2 - Gordura A]]</f>
        <v>6.8355436573311366</v>
      </c>
      <c r="Q18" s="7">
        <f>P18/Table43[[#This Row],[10 - Gordura A]]</f>
        <v>0.98435042871049871</v>
      </c>
      <c r="R18" s="7">
        <f>$B$25*Table43[[#This Row],[2 - Gordura B]]</f>
        <v>8.4255766062602948</v>
      </c>
      <c r="S18" s="7">
        <f>Table3[[#This Row],[B10 - Ideal (alpha)]]/Table43[[#This Row],[10 - Gordura B]]</f>
        <v>1.2546188828203639</v>
      </c>
      <c r="T18" s="7">
        <f>AVERAGE(Table3[[#This Row],[B10 - 10ideal/10real (beta)]],Table3[[#This Row],[A10 - 10ideal/10real (beta)]])</f>
        <v>1.1194846557654312</v>
      </c>
    </row>
    <row r="19" spans="1:20">
      <c r="A19" s="3" t="s">
        <v>18</v>
      </c>
      <c r="B19" s="6">
        <f>Table1[[#This Row],[2 - Fígado A]]/Table1[[#This Row],[Rescale A_2]]</f>
        <v>21.2</v>
      </c>
      <c r="C19" s="6">
        <f>Table1[[#This Row],[10 - Fígado A]]/Table1[[#This Row],[Rescale A_10]]</f>
        <v>254.6010101010101</v>
      </c>
      <c r="D19" s="6">
        <f>Table1[[#This Row],[2 - Fígado B]]/Table1[[#This Row],[Rescale A_2]]</f>
        <v>21.274820143884895</v>
      </c>
      <c r="E19" s="6">
        <f>Table1[[#This Row],[10 - Fígado B]]/Table1[[#This Row],[Rescale A_10]]</f>
        <v>262.11111111111114</v>
      </c>
      <c r="F19" s="6">
        <f>Table1[[#This Row],[2 - Fígado C]]/Table1[[#This Row],[Rescale A_2]]</f>
        <v>22.788489208633091</v>
      </c>
      <c r="G19" s="6">
        <f>Table1[[#This Row],[10 - Fígado C]]/Table1[[#This Row],[Rescale A_10]]</f>
        <v>278.16161616161617</v>
      </c>
      <c r="H19" s="6">
        <f>Table1[[#This Row],[2 - Rim ]]/Table1[[#This Row],[Rescale A_2]]</f>
        <v>30.392805755395681</v>
      </c>
      <c r="I19" s="6">
        <f>Table1[[#This Row],[10 - Rim]]/Table1[[#This Row],[Rescale A_10]]</f>
        <v>326.29292929292927</v>
      </c>
      <c r="J19" s="6">
        <f>Table1[[#This Row],[2 - Gordura A]]/Table1[[#This Row],[Rescale A_2]]</f>
        <v>3.9841726618705038</v>
      </c>
      <c r="K19" s="6">
        <f>Table1[[#This Row],[10 - Gordura A]]/Table1[[#This Row],[Rescale A_10]]</f>
        <v>34.909090909090914</v>
      </c>
      <c r="L19" s="6">
        <f>Table1[[#This Row],[2 - Gordura B]]/Table1[[#This Row],[Rescale A_2]]</f>
        <v>3.8618705035971224</v>
      </c>
      <c r="M19" s="6">
        <f>Table1[[#This Row],[10 - Gordura B]]/Table1[[#This Row],[Rescale A_10]]</f>
        <v>34.429292929292927</v>
      </c>
      <c r="P19" s="7">
        <f>$B$25*Table43[[#This Row],[2 - Gordura A]]</f>
        <v>19.323237410071943</v>
      </c>
      <c r="Q19" s="7">
        <f>P19/Table43[[#This Row],[10 - Gordura A]]</f>
        <v>0.55353023830935244</v>
      </c>
      <c r="R19" s="7">
        <f>$B$25*Table43[[#This Row],[2 - Gordura B]]</f>
        <v>18.730071942446042</v>
      </c>
      <c r="S19" s="7">
        <f>Table3[[#This Row],[B10 - Ideal (alpha)]]/Table43[[#This Row],[10 - Gordura B]]</f>
        <v>0.54401558524340865</v>
      </c>
      <c r="T19" s="7">
        <f>AVERAGE(Table3[[#This Row],[B10 - 10ideal/10real (beta)]],Table3[[#This Row],[A10 - 10ideal/10real (beta)]])</f>
        <v>0.54877291177638055</v>
      </c>
    </row>
    <row r="20" spans="1:20">
      <c r="A20" s="3" t="s">
        <v>19</v>
      </c>
      <c r="B20" s="6">
        <f>Table1[[#This Row],[2 - Fígado A]]/Table1[[#This Row],[Rescale A_2]]</f>
        <v>16.101376720901126</v>
      </c>
      <c r="C20" s="6">
        <f>Table1[[#This Row],[10 - Fígado A]]/Table1[[#This Row],[Rescale A_10]]</f>
        <v>51.16115702479339</v>
      </c>
      <c r="D20" s="6">
        <f>Table1[[#This Row],[2 - Fígado B]]/Table1[[#This Row],[Rescale A_2]]</f>
        <v>14.708385481852314</v>
      </c>
      <c r="E20" s="6">
        <f>Table1[[#This Row],[10 - Fígado B]]/Table1[[#This Row],[Rescale A_10]]</f>
        <v>54.495867768595041</v>
      </c>
      <c r="F20" s="6">
        <f>Table1[[#This Row],[2 - Fígado C]]/Table1[[#This Row],[Rescale A_2]]</f>
        <v>15.803504380475594</v>
      </c>
      <c r="G20" s="6">
        <f>Table1[[#This Row],[10 - Fígado C]]/Table1[[#This Row],[Rescale A_10]]</f>
        <v>63.902892561983478</v>
      </c>
      <c r="H20" s="6">
        <f>Table1[[#This Row],[2 - Rim ]]/Table1[[#This Row],[Rescale A_2]]</f>
        <v>21.126408010012515</v>
      </c>
      <c r="I20" s="6">
        <f>Table1[[#This Row],[10 - Rim]]/Table1[[#This Row],[Rescale A_10]]</f>
        <v>50.956611570247937</v>
      </c>
      <c r="J20" s="6">
        <f>Table1[[#This Row],[2 - Gordura A]]/Table1[[#This Row],[Rescale A_2]]</f>
        <v>3.2352941176470589</v>
      </c>
      <c r="K20" s="6">
        <f>Table1[[#This Row],[10 - Gordura A]]/Table1[[#This Row],[Rescale A_10]]</f>
        <v>15.65909090909091</v>
      </c>
      <c r="L20" s="6">
        <f>Table1[[#This Row],[2 - Gordura B]]/Table1[[#This Row],[Rescale A_2]]</f>
        <v>3.4555694618272841</v>
      </c>
      <c r="M20" s="6">
        <f>Table1[[#This Row],[10 - Gordura B]]/Table1[[#This Row],[Rescale A_10]]</f>
        <v>15.754132231404959</v>
      </c>
      <c r="P20" s="7">
        <f>$B$25*Table43[[#This Row],[2 - Gordura A]]</f>
        <v>15.691176470588234</v>
      </c>
      <c r="Q20" s="7">
        <f>P20/Table43[[#This Row],[10 - Gordura A]]</f>
        <v>1.0020490053786391</v>
      </c>
      <c r="R20" s="7">
        <f>$B$25*Table43[[#This Row],[2 - Gordura B]]</f>
        <v>16.759511889862328</v>
      </c>
      <c r="S20" s="7">
        <f>Table3[[#This Row],[B10 - Ideal (alpha)]]/Table43[[#This Row],[10 - Gordura B]]</f>
        <v>1.063816885861425</v>
      </c>
      <c r="T20" s="7">
        <f>AVERAGE(Table3[[#This Row],[B10 - 10ideal/10real (beta)]],Table3[[#This Row],[A10 - 10ideal/10real (beta)]])</f>
        <v>1.032932945620032</v>
      </c>
    </row>
    <row r="21" spans="1:20">
      <c r="A21" s="3" t="s">
        <v>20</v>
      </c>
      <c r="B21" s="6">
        <f>Table1[[#This Row],[2 - Fígado A]]/Table1[[#This Row],[Rescale A_2]]</f>
        <v>6.7399650959860375</v>
      </c>
      <c r="C21" s="6">
        <f>Table1[[#This Row],[10 - Fígado A]]/Table1[[#This Row],[Rescale A_10]]</f>
        <v>27.604724409448821</v>
      </c>
      <c r="D21" s="6">
        <f>Table1[[#This Row],[2 - Fígado B]]/Table1[[#This Row],[Rescale A_2]]</f>
        <v>6.1902268760907502</v>
      </c>
      <c r="E21" s="6">
        <f>Table1[[#This Row],[10 - Fígado B]]/Table1[[#This Row],[Rescale A_10]]</f>
        <v>30.729133858267719</v>
      </c>
      <c r="F21" s="6">
        <f>Table1[[#This Row],[2 - Fígado C]]/Table1[[#This Row],[Rescale A_2]]</f>
        <v>7.2574171029668406</v>
      </c>
      <c r="G21" s="6">
        <f>Table1[[#This Row],[10 - Fígado C]]/Table1[[#This Row],[Rescale A_10]]</f>
        <v>30.009448818897638</v>
      </c>
      <c r="H21" s="6">
        <f>Table1[[#This Row],[2 - Rim ]]/Table1[[#This Row],[Rescale A_2]]</f>
        <v>9.8106457242582898</v>
      </c>
      <c r="I21" s="6">
        <f>Table1[[#This Row],[10 - Rim]]/Table1[[#This Row],[Rescale A_10]]</f>
        <v>24.92283464566929</v>
      </c>
      <c r="J21" s="6">
        <f>Table1[[#This Row],[2 - Gordura A]]/Table1[[#This Row],[Rescale A_2]]</f>
        <v>1.7478184991273997</v>
      </c>
      <c r="K21" s="6">
        <f>Table1[[#This Row],[10 - Gordura A]]/Table1[[#This Row],[Rescale A_10]]</f>
        <v>8.4897637795275589</v>
      </c>
      <c r="L21" s="6">
        <f>Table1[[#This Row],[2 - Gordura B]]/Table1[[#This Row],[Rescale A_2]]</f>
        <v>1.6326352530541011</v>
      </c>
      <c r="M21" s="6">
        <f>Table1[[#This Row],[10 - Gordura B]]/Table1[[#This Row],[Rescale A_10]]</f>
        <v>8.2503937007874022</v>
      </c>
      <c r="P21" s="7">
        <f>$B$25*Table43[[#This Row],[2 - Gordura A]]</f>
        <v>8.4769197207678886</v>
      </c>
      <c r="Q21" s="7">
        <f>P21/Table43[[#This Row],[10 - Gordura A]]</f>
        <v>0.99848711235162479</v>
      </c>
      <c r="R21" s="7">
        <f>$B$25*Table43[[#This Row],[2 - Gordura B]]</f>
        <v>7.9182809773123894</v>
      </c>
      <c r="S21" s="7">
        <f>Table3[[#This Row],[B10 - Ideal (alpha)]]/Table43[[#This Row],[10 - Gordura B]]</f>
        <v>0.95974583328752949</v>
      </c>
      <c r="T21" s="7">
        <f>AVERAGE(Table3[[#This Row],[B10 - 10ideal/10real (beta)]],Table3[[#This Row],[A10 - 10ideal/10real (beta)]])</f>
        <v>0.97911647281957714</v>
      </c>
    </row>
    <row r="22" spans="1:20">
      <c r="A22" s="3" t="s">
        <v>21</v>
      </c>
      <c r="B22" s="6">
        <f>Table1[[#This Row],[2 - Fígado A]]/Table1[[#This Row],[Rescale A_2]]</f>
        <v>14.703611457036114</v>
      </c>
      <c r="C22" s="6">
        <f>Table1[[#This Row],[10 - Fígado A]]/Table1[[#This Row],[Rescale A_10]]</f>
        <v>73.597667638483955</v>
      </c>
      <c r="D22" s="6">
        <f>Table1[[#This Row],[2 - Fígado B]]/Table1[[#This Row],[Rescale A_2]]</f>
        <v>13.434620174346202</v>
      </c>
      <c r="E22" s="6">
        <f>Table1[[#This Row],[10 - Fígado B]]/Table1[[#This Row],[Rescale A_10]]</f>
        <v>82.466472303206999</v>
      </c>
      <c r="F22" s="6">
        <f>Table1[[#This Row],[2 - Fígado C]]/Table1[[#This Row],[Rescale A_2]]</f>
        <v>15.02615193026152</v>
      </c>
      <c r="G22" s="6">
        <f>Table1[[#This Row],[10 - Fígado C]]/Table1[[#This Row],[Rescale A_10]]</f>
        <v>91.189504373177826</v>
      </c>
      <c r="H22" s="6">
        <f>Table1[[#This Row],[2 - Rim ]]/Table1[[#This Row],[Rescale A_2]]</f>
        <v>20.840597758405977</v>
      </c>
      <c r="I22" s="6">
        <f>Table1[[#This Row],[10 - Rim]]/Table1[[#This Row],[Rescale A_10]]</f>
        <v>61.749271137026241</v>
      </c>
      <c r="J22" s="6">
        <f>Table1[[#This Row],[2 - Gordura A]]/Table1[[#This Row],[Rescale A_2]]</f>
        <v>3.1058530510585309</v>
      </c>
      <c r="K22" s="6">
        <f>Table1[[#This Row],[10 - Gordura A]]/Table1[[#This Row],[Rescale A_10]]</f>
        <v>33.658892128279881</v>
      </c>
      <c r="L22" s="6">
        <f>Table1[[#This Row],[2 - Gordura B]]/Table1[[#This Row],[Rescale A_2]]</f>
        <v>3.3312577833125783</v>
      </c>
      <c r="M22" s="6">
        <f>Table1[[#This Row],[10 - Gordura B]]/Table1[[#This Row],[Rescale A_10]]</f>
        <v>29.110787172011658</v>
      </c>
      <c r="P22" s="7">
        <f>$B$25*Table43[[#This Row],[2 - Gordura A]]</f>
        <v>15.063387297633874</v>
      </c>
      <c r="Q22" s="7">
        <f>P22/Table43[[#This Row],[10 - Gordura A]]</f>
        <v>0.44753069234200249</v>
      </c>
      <c r="R22" s="7">
        <f>$B$25*Table43[[#This Row],[2 - Gordura B]]</f>
        <v>16.156600249066003</v>
      </c>
      <c r="S22" s="7">
        <f>Table3[[#This Row],[B10 - Ideal (alpha)]]/Table43[[#This Row],[10 - Gordura B]]</f>
        <v>0.55500389438454079</v>
      </c>
      <c r="T22" s="7">
        <f>AVERAGE(Table3[[#This Row],[B10 - 10ideal/10real (beta)]],Table3[[#This Row],[A10 - 10ideal/10real (beta)]])</f>
        <v>0.50126729336327158</v>
      </c>
    </row>
    <row r="23" spans="1:20">
      <c r="A23" s="3" t="s">
        <v>22</v>
      </c>
      <c r="B23" s="6">
        <f>Table1[[#This Row],[2 - Fígado A]]/Table1[[#This Row],[Rescale A_2]]</f>
        <v>7.996124031007751</v>
      </c>
      <c r="C23" s="6">
        <f>Table1[[#This Row],[10 - Fígado A]]/Table1[[#This Row],[Rescale A_10]]</f>
        <v>30.030456852791875</v>
      </c>
      <c r="D23" s="6">
        <f>Table1[[#This Row],[2 - Fígado B]]/Table1[[#This Row],[Rescale A_2]]</f>
        <v>8.4699612403100772</v>
      </c>
      <c r="E23" s="6">
        <f>Table1[[#This Row],[10 - Fígado B]]/Table1[[#This Row],[Rescale A_10]]</f>
        <v>29.536379018612521</v>
      </c>
      <c r="F23" s="6">
        <f>Table1[[#This Row],[2 - Fígado C]]/Table1[[#This Row],[Rescale A_2]]</f>
        <v>8.8934108527131777</v>
      </c>
      <c r="G23" s="6">
        <f>Table1[[#This Row],[10 - Fígado C]]/Table1[[#This Row],[Rescale A_10]]</f>
        <v>32.646362098138745</v>
      </c>
      <c r="H23" s="6">
        <f>Table1[[#This Row],[2 - Rim ]]/Table1[[#This Row],[Rescale A_2]]</f>
        <v>12.654069767441861</v>
      </c>
      <c r="I23" s="6">
        <f>Table1[[#This Row],[10 - Rim]]/Table1[[#This Row],[Rescale A_10]]</f>
        <v>31.651438240270728</v>
      </c>
      <c r="J23" s="6">
        <f>Table1[[#This Row],[2 - Gordura A]]/Table1[[#This Row],[Rescale A_2]]</f>
        <v>2.4709302325581395</v>
      </c>
      <c r="K23" s="6">
        <f>Table1[[#This Row],[10 - Gordura A]]/Table1[[#This Row],[Rescale A_10]]</f>
        <v>11.937394247038917</v>
      </c>
      <c r="L23" s="6">
        <f>Table1[[#This Row],[2 - Gordura B]]/Table1[[#This Row],[Rescale A_2]]</f>
        <v>2.4389534883720931</v>
      </c>
      <c r="M23" s="6">
        <f>Table1[[#This Row],[10 - Gordura B]]/Table1[[#This Row],[Rescale A_10]]</f>
        <v>10.40439932318105</v>
      </c>
      <c r="P23" s="7">
        <f>$B$25*Table43[[#This Row],[2 - Gordura A]]</f>
        <v>11.984011627906975</v>
      </c>
      <c r="Q23" s="7">
        <f>P23/Table43[[#This Row],[10 - Gordura A]]</f>
        <v>1.0039051555057439</v>
      </c>
      <c r="R23" s="7">
        <f>$B$25*Table43[[#This Row],[2 - Gordura B]]</f>
        <v>11.82892441860465</v>
      </c>
      <c r="S23" s="7">
        <f>Table3[[#This Row],[B10 - Ideal (alpha)]]/Table43[[#This Row],[10 - Gordura B]]</f>
        <v>1.1369156499260609</v>
      </c>
      <c r="T23" s="7">
        <f>AVERAGE(Table3[[#This Row],[B10 - 10ideal/10real (beta)]],Table3[[#This Row],[A10 - 10ideal/10real (beta)]])</f>
        <v>1.0704104027159023</v>
      </c>
    </row>
    <row r="25" spans="1:20">
      <c r="A25" s="3" t="s">
        <v>51</v>
      </c>
      <c r="B25" s="3">
        <v>4.8499999999999996</v>
      </c>
    </row>
    <row r="26" spans="1:20">
      <c r="A26" s="3" t="s">
        <v>57</v>
      </c>
      <c r="B26" s="3">
        <f>Original!B25</f>
        <v>2</v>
      </c>
    </row>
    <row r="27" spans="1:20">
      <c r="A27" s="3" t="s">
        <v>58</v>
      </c>
      <c r="B27" s="3">
        <f>Original!B26</f>
        <v>10</v>
      </c>
    </row>
    <row r="29" spans="1:20">
      <c r="P29" s="3">
        <f>K2/J2</f>
        <v>9.3813349267472237</v>
      </c>
      <c r="Q29" s="3">
        <f>P29/$B$25</f>
        <v>1.9342958611849947</v>
      </c>
    </row>
    <row r="30" spans="1:20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</row>
    <row r="31" spans="1:20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 spans="1:20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</row>
    <row r="33" spans="2:13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</row>
    <row r="34" spans="2:13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</row>
    <row r="35" spans="2:1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</row>
    <row r="36" spans="2:13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</row>
    <row r="37" spans="2:13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</row>
    <row r="38" spans="2:13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2:13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</row>
    <row r="40" spans="2:1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spans="2:13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2:13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</row>
    <row r="43" spans="2:13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2:13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 spans="2:1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</row>
    <row r="46" spans="2:13"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 spans="2:13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 spans="2:13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 spans="2:13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</row>
    <row r="50" spans="2:13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 spans="2:13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2:Q27"/>
  <sheetViews>
    <sheetView workbookViewId="0">
      <selection activeCell="I18" sqref="I18"/>
    </sheetView>
  </sheetViews>
  <sheetFormatPr defaultRowHeight="15"/>
  <cols>
    <col min="1" max="1" width="10.85546875" customWidth="1"/>
    <col min="2" max="5" width="10.5703125" bestFit="1" customWidth="1"/>
    <col min="6" max="6" width="12" customWidth="1"/>
    <col min="7" max="7" width="11.85546875" customWidth="1"/>
    <col min="8" max="10" width="10.5703125" bestFit="1" customWidth="1"/>
    <col min="11" max="11" width="10.85546875" customWidth="1"/>
    <col min="12" max="15" width="11.5703125" bestFit="1" customWidth="1"/>
    <col min="16" max="16" width="12.140625" customWidth="1"/>
    <col min="17" max="17" width="12" customWidth="1"/>
    <col min="18" max="24" width="10.5703125" bestFit="1" customWidth="1"/>
  </cols>
  <sheetData>
    <row r="2" spans="1:17">
      <c r="A2" s="1" t="s">
        <v>44</v>
      </c>
      <c r="B2" s="1" t="s">
        <v>38</v>
      </c>
      <c r="C2" s="1" t="s">
        <v>39</v>
      </c>
      <c r="D2" s="1" t="s">
        <v>40</v>
      </c>
      <c r="E2" s="1" t="s">
        <v>41</v>
      </c>
      <c r="F2" s="1" t="s">
        <v>42</v>
      </c>
      <c r="G2" s="1" t="s">
        <v>43</v>
      </c>
      <c r="K2" s="1" t="s">
        <v>44</v>
      </c>
      <c r="L2" s="1" t="s">
        <v>38</v>
      </c>
      <c r="M2" s="1" t="s">
        <v>39</v>
      </c>
      <c r="N2" s="1" t="s">
        <v>40</v>
      </c>
      <c r="O2" s="1" t="s">
        <v>41</v>
      </c>
      <c r="P2" s="1" t="s">
        <v>42</v>
      </c>
      <c r="Q2" s="1" t="s">
        <v>43</v>
      </c>
    </row>
    <row r="3" spans="1:17">
      <c r="A3" s="1" t="s">
        <v>1</v>
      </c>
      <c r="B3" s="2">
        <f>(Rescaled!C2-Rescaled!B2)/(Original!$B$26-Original!$B$25)</f>
        <v>4.3053099091985798</v>
      </c>
      <c r="C3" s="2">
        <f>(Rescaled!E2-Rescaled!D2)/(Original!$B$26-Original!$B$25)</f>
        <v>4.2721838399789451</v>
      </c>
      <c r="D3" s="2">
        <f>(Rescaled!G2-Rescaled!F2)/(Original!$B$26-Original!$B$25)</f>
        <v>5.4205553362284515</v>
      </c>
      <c r="E3" s="2">
        <f>(Rescaled!I2-Rescaled!H2)/(Original!$B$26-Original!$B$25)</f>
        <v>4.1369752599026199</v>
      </c>
      <c r="F3" s="2">
        <f>(Rescaled!K2-Rescaled!J2)/(Original!$B$26-Original!$B$25)</f>
        <v>1.2459501250164497</v>
      </c>
      <c r="G3" s="2">
        <f>(Rescaled!M2-Rescaled!L2)/(Original!$B$26-Original!$B$25)</f>
        <v>1.341607448348467</v>
      </c>
      <c r="K3" s="1" t="s">
        <v>1</v>
      </c>
      <c r="L3" s="2">
        <v>4.3053099091985798</v>
      </c>
      <c r="M3" s="2">
        <v>4.2721838399789451</v>
      </c>
      <c r="N3" s="2">
        <v>5.4205553362284515</v>
      </c>
      <c r="O3" s="2">
        <v>4.1369752599026199</v>
      </c>
      <c r="P3" s="2">
        <v>1.2459501250164497</v>
      </c>
      <c r="Q3" s="2">
        <v>1.341607448348467</v>
      </c>
    </row>
    <row r="4" spans="1:17">
      <c r="A4" s="1" t="s">
        <v>2</v>
      </c>
      <c r="B4" s="2">
        <f>(Rescaled!C3-Rescaled!B3)/(Original!$B$26-Original!$B$25)</f>
        <v>4.7759486548452914</v>
      </c>
      <c r="C4" s="2">
        <f>(Rescaled!E3-Rescaled!D3)/(Original!$B$26-Original!$B$25)</f>
        <v>4.0023371931595886</v>
      </c>
      <c r="D4" s="2">
        <f>(Rescaled!G3-Rescaled!F3)/(Original!$B$26-Original!$B$25)</f>
        <v>4.0767519088786521</v>
      </c>
      <c r="E4" s="2">
        <f>(Rescaled!I3-Rescaled!H3)/(Original!$B$26-Original!$B$25)</f>
        <v>2.5453016869649359</v>
      </c>
      <c r="F4" s="2">
        <f>(Rescaled!K3-Rescaled!J3)/(Original!$B$26-Original!$B$25)</f>
        <v>1.4127150775120425</v>
      </c>
      <c r="G4" s="2">
        <f>(Rescaled!M3-Rescaled!L3)/(Original!$B$26-Original!$B$25)</f>
        <v>1.1204257903704173</v>
      </c>
      <c r="K4" s="1" t="s">
        <v>2</v>
      </c>
      <c r="L4" s="2">
        <v>4.7759486548452914</v>
      </c>
      <c r="M4" s="2">
        <v>4.0023371931595886</v>
      </c>
      <c r="N4" s="2">
        <v>4.0767519088786521</v>
      </c>
      <c r="O4" s="2">
        <v>2.5453016869649359</v>
      </c>
      <c r="P4" s="2">
        <v>1.4127150775120425</v>
      </c>
      <c r="Q4" s="2">
        <v>1.1204257903704173</v>
      </c>
    </row>
    <row r="5" spans="1:17">
      <c r="A5" s="1" t="s">
        <v>3</v>
      </c>
      <c r="B5" s="2">
        <f>(Rescaled!C4-Rescaled!B4)/(Original!$B$26-Original!$B$25)</f>
        <v>4.1195956541218637</v>
      </c>
      <c r="C5" s="2">
        <f>(Rescaled!E4-Rescaled!D4)/(Original!$B$26-Original!$B$25)</f>
        <v>4.8627912186379927</v>
      </c>
      <c r="D5" s="2">
        <f>(Rescaled!G4-Rescaled!F4)/(Original!$B$26-Original!$B$25)</f>
        <v>5.051579301075269</v>
      </c>
      <c r="E5" s="2">
        <f>(Rescaled!I4-Rescaled!H4)/(Original!$B$26-Original!$B$25)</f>
        <v>4.0224574372759863</v>
      </c>
      <c r="F5" s="2">
        <f>(Rescaled!K4-Rescaled!J4)/(Original!$B$26-Original!$B$25)</f>
        <v>0.94531250000000022</v>
      </c>
      <c r="G5" s="2">
        <f>(Rescaled!M4-Rescaled!L4)/(Original!$B$26-Original!$B$25)</f>
        <v>1.0257896505376345</v>
      </c>
      <c r="K5" s="1" t="s">
        <v>3</v>
      </c>
      <c r="L5" s="2">
        <v>4.1195956541218637</v>
      </c>
      <c r="M5" s="2">
        <v>4.8627912186379927</v>
      </c>
      <c r="N5" s="2">
        <v>5.051579301075269</v>
      </c>
      <c r="O5" s="2">
        <v>4.0224574372759863</v>
      </c>
      <c r="P5" s="2">
        <v>0.94531250000000022</v>
      </c>
      <c r="Q5" s="2">
        <v>1.0257896505376345</v>
      </c>
    </row>
    <row r="6" spans="1:17">
      <c r="A6" s="1" t="s">
        <v>4</v>
      </c>
      <c r="B6" s="2">
        <f>(Rescaled!C5-Rescaled!B5)/(Original!$B$26-Original!$B$25)</f>
        <v>4.1090880595914161</v>
      </c>
      <c r="C6" s="2">
        <f>(Rescaled!E5-Rescaled!D5)/(Original!$B$26-Original!$B$25)</f>
        <v>3.7317402954986845</v>
      </c>
      <c r="D6" s="2">
        <f>(Rescaled!G5-Rescaled!F5)/(Original!$B$26-Original!$B$25)</f>
        <v>4.3296073333825014</v>
      </c>
      <c r="E6" s="2">
        <f>(Rescaled!I5-Rescaled!H5)/(Original!$B$26-Original!$B$25)</f>
        <v>2.2003666076652655</v>
      </c>
      <c r="F6" s="2">
        <f>(Rescaled!K5-Rescaled!J5)/(Original!$B$26-Original!$B$25)</f>
        <v>0.86816951225508288</v>
      </c>
      <c r="G6" s="2">
        <f>(Rescaled!M5-Rescaled!L5)/(Original!$B$26-Original!$B$25)</f>
        <v>1.0660193413968584</v>
      </c>
      <c r="K6" s="1" t="s">
        <v>4</v>
      </c>
      <c r="L6" s="2">
        <v>4.1090880595914161</v>
      </c>
      <c r="M6" s="2">
        <v>3.7317402954986845</v>
      </c>
      <c r="N6" s="2">
        <v>4.3296073333825014</v>
      </c>
      <c r="O6" s="2">
        <v>2.2003666076652655</v>
      </c>
      <c r="P6" s="2">
        <v>0.86816951225508288</v>
      </c>
      <c r="Q6" s="2">
        <v>1.0660193413968584</v>
      </c>
    </row>
    <row r="7" spans="1:17">
      <c r="A7" s="1" t="s">
        <v>5</v>
      </c>
      <c r="B7" s="2">
        <f>(Rescaled!C6-Rescaled!B6)/(Original!$B$26-Original!$B$25)</f>
        <v>3.5013989086200525</v>
      </c>
      <c r="C7" s="2">
        <f>(Rescaled!E6-Rescaled!D6)/(Original!$B$26-Original!$B$25)</f>
        <v>3.6359319671264734</v>
      </c>
      <c r="D7" s="2">
        <f>(Rescaled!G6-Rescaled!F6)/(Original!$B$26-Original!$B$25)</f>
        <v>4.6853842952275251</v>
      </c>
      <c r="E7" s="2">
        <f>(Rescaled!I6-Rescaled!H6)/(Original!$B$26-Original!$B$25)</f>
        <v>3.4176295518207285</v>
      </c>
      <c r="F7" s="2">
        <f>(Rescaled!K6-Rescaled!J6)/(Original!$B$26-Original!$B$25)</f>
        <v>1.1579973970720365</v>
      </c>
      <c r="G7" s="2">
        <f>(Rescaled!M6-Rescaled!L6)/(Original!$B$26-Original!$B$25)</f>
        <v>1.0103076608001693</v>
      </c>
      <c r="K7" s="1" t="s">
        <v>5</v>
      </c>
      <c r="L7" s="2">
        <v>3.5013989086200525</v>
      </c>
      <c r="M7" s="2">
        <v>3.6359319671264734</v>
      </c>
      <c r="N7" s="2">
        <v>4.6853842952275251</v>
      </c>
      <c r="O7" s="2">
        <v>3.4176295518207285</v>
      </c>
      <c r="P7" s="2">
        <v>1.1579973970720365</v>
      </c>
      <c r="Q7" s="2">
        <v>1.0103076608001693</v>
      </c>
    </row>
    <row r="8" spans="1:17">
      <c r="A8" s="1" t="s">
        <v>6</v>
      </c>
      <c r="B8" s="2">
        <f>(Rescaled!C7-Rescaled!B7)/(Original!$B$26-Original!$B$25)</f>
        <v>5.8945377164332688</v>
      </c>
      <c r="C8" s="2">
        <f>(Rescaled!E7-Rescaled!D7)/(Original!$B$26-Original!$B$25)</f>
        <v>6.9735694152386927</v>
      </c>
      <c r="D8" s="2">
        <f>(Rescaled!G7-Rescaled!F7)/(Original!$B$26-Original!$B$25)</f>
        <v>7.0485269115475813</v>
      </c>
      <c r="E8" s="2">
        <f>(Rescaled!I7-Rescaled!H7)/(Original!$B$26-Original!$B$25)</f>
        <v>3.5124015703995344</v>
      </c>
      <c r="F8" s="2">
        <f>(Rescaled!K7-Rescaled!J7)/(Original!$B$26-Original!$B$25)</f>
        <v>1.5224206970605341</v>
      </c>
      <c r="G8" s="2">
        <f>(Rescaled!M7-Rescaled!L7)/(Original!$B$26-Original!$B$25)</f>
        <v>1.7330013198514604</v>
      </c>
      <c r="K8" s="1" t="s">
        <v>6</v>
      </c>
      <c r="L8" s="2">
        <v>5.8945377164332688</v>
      </c>
      <c r="M8" s="2">
        <v>6.9735694152386927</v>
      </c>
      <c r="N8" s="2">
        <v>7.0485269115475813</v>
      </c>
      <c r="O8" s="2">
        <v>3.5124015703995344</v>
      </c>
      <c r="P8" s="2">
        <v>1.5224206970605341</v>
      </c>
      <c r="Q8" s="2">
        <v>1.7330013198514604</v>
      </c>
    </row>
    <row r="9" spans="1:17">
      <c r="A9" s="1" t="s">
        <v>7</v>
      </c>
      <c r="B9" s="2">
        <f>(Rescaled!C8-Rescaled!B8)/(Original!$B$26-Original!$B$25)</f>
        <v>2.7667948506807205</v>
      </c>
      <c r="C9" s="2">
        <f>(Rescaled!E8-Rescaled!D8)/(Original!$B$26-Original!$B$25)</f>
        <v>2.4139926438296007</v>
      </c>
      <c r="D9" s="2">
        <f>(Rescaled!G8-Rescaled!F8)/(Original!$B$26-Original!$B$25)</f>
        <v>2.1966721563460689</v>
      </c>
      <c r="E9" s="2">
        <f>(Rescaled!I8-Rescaled!H8)/(Original!$B$26-Original!$B$25)</f>
        <v>1.8576306543697845</v>
      </c>
      <c r="F9" s="2">
        <f>(Rescaled!K8-Rescaled!J8)/(Original!$B$26-Original!$B$25)</f>
        <v>0.83144378568291599</v>
      </c>
      <c r="G9" s="2">
        <f>(Rescaled!M8-Rescaled!L8)/(Original!$B$26-Original!$B$25)</f>
        <v>0.8723042929292929</v>
      </c>
      <c r="K9" s="1" t="s">
        <v>7</v>
      </c>
      <c r="L9" s="2">
        <v>2.7667948506807205</v>
      </c>
      <c r="M9" s="2">
        <v>2.4139926438296007</v>
      </c>
      <c r="N9" s="2">
        <v>2.1966721563460689</v>
      </c>
      <c r="O9" s="2">
        <v>1.8576306543697845</v>
      </c>
      <c r="P9" s="2">
        <v>0.83144378568291599</v>
      </c>
      <c r="Q9" s="2">
        <v>0.8723042929292929</v>
      </c>
    </row>
    <row r="10" spans="1:17">
      <c r="A10" s="1" t="s">
        <v>8</v>
      </c>
      <c r="B10" s="2">
        <f>(Rescaled!C9-Rescaled!B9)/(Original!$B$26-Original!$B$25)</f>
        <v>4.5129030593819319</v>
      </c>
      <c r="C10" s="2">
        <f>(Rescaled!E9-Rescaled!D9)/(Original!$B$26-Original!$B$25)</f>
        <v>4.7347108290770272</v>
      </c>
      <c r="D10" s="2">
        <f>(Rescaled!G9-Rescaled!F9)/(Original!$B$26-Original!$B$25)</f>
        <v>5.4178643656812682</v>
      </c>
      <c r="E10" s="2">
        <f>(Rescaled!I9-Rescaled!H9)/(Original!$B$26-Original!$B$25)</f>
        <v>3.0731968735489872</v>
      </c>
      <c r="F10" s="2">
        <f>(Rescaled!K9-Rescaled!J9)/(Original!$B$26-Original!$B$25)</f>
        <v>1.0208698343909612</v>
      </c>
      <c r="G10" s="2">
        <f>(Rescaled!M9-Rescaled!L9)/(Original!$B$26-Original!$B$25)</f>
        <v>1.3078117422483622</v>
      </c>
      <c r="K10" s="1" t="s">
        <v>8</v>
      </c>
      <c r="L10" s="2">
        <v>4.5129030593819319</v>
      </c>
      <c r="M10" s="2">
        <v>4.7347108290770272</v>
      </c>
      <c r="N10" s="2">
        <v>5.4178643656812682</v>
      </c>
      <c r="O10" s="2">
        <v>3.0731968735489872</v>
      </c>
      <c r="P10" s="2">
        <v>1.0208698343909612</v>
      </c>
      <c r="Q10" s="2">
        <v>1.3078117422483622</v>
      </c>
    </row>
    <row r="11" spans="1:17">
      <c r="A11" s="1" t="s">
        <v>9</v>
      </c>
      <c r="B11" s="2">
        <f>(Rescaled!C10-Rescaled!B10)/(Original!$B$26-Original!$B$25)</f>
        <v>7.7612001811760294</v>
      </c>
      <c r="C11" s="2">
        <f>(Rescaled!E10-Rescaled!D10)/(Original!$B$26-Original!$B$25)</f>
        <v>8.1987801791955643</v>
      </c>
      <c r="D11" s="2">
        <f>(Rescaled!G10-Rescaled!F10)/(Original!$B$26-Original!$B$25)</f>
        <v>8.3698773761016341</v>
      </c>
      <c r="E11" s="2">
        <f>(Rescaled!I10-Rescaled!H10)/(Original!$B$26-Original!$B$25)</f>
        <v>4.5069027517484956</v>
      </c>
      <c r="F11" s="2">
        <f>(Rescaled!K10-Rescaled!J10)/(Original!$B$26-Original!$B$25)</f>
        <v>2.0998434881153658</v>
      </c>
      <c r="G11" s="2">
        <f>(Rescaled!M10-Rescaled!L10)/(Original!$B$26-Original!$B$25)</f>
        <v>2.2366566054066741</v>
      </c>
      <c r="K11" s="1" t="s">
        <v>10</v>
      </c>
      <c r="L11" s="2">
        <v>4.1417463709130375</v>
      </c>
      <c r="M11" s="2">
        <v>4.5594359344359345</v>
      </c>
      <c r="N11" s="2">
        <v>4.8158623783623788</v>
      </c>
      <c r="O11" s="2">
        <v>2.7695753320753322</v>
      </c>
      <c r="P11" s="2">
        <v>0.95853837520504204</v>
      </c>
      <c r="Q11" s="2">
        <v>0.9652639027639025</v>
      </c>
    </row>
    <row r="12" spans="1:17">
      <c r="A12" s="1" t="s">
        <v>10</v>
      </c>
      <c r="B12" s="2">
        <f>(Rescaled!C11-Rescaled!B11)/(Original!$B$26-Original!$B$25)</f>
        <v>4.1417463709130375</v>
      </c>
      <c r="C12" s="2">
        <f>(Rescaled!E11-Rescaled!D11)/(Original!$B$26-Original!$B$25)</f>
        <v>4.5594359344359345</v>
      </c>
      <c r="D12" s="2">
        <f>(Rescaled!G11-Rescaled!F11)/(Original!$B$26-Original!$B$25)</f>
        <v>4.8158623783623788</v>
      </c>
      <c r="E12" s="2">
        <f>(Rescaled!I11-Rescaled!H11)/(Original!$B$26-Original!$B$25)</f>
        <v>2.7695753320753322</v>
      </c>
      <c r="F12" s="2">
        <f>(Rescaled!K11-Rescaled!J11)/(Original!$B$26-Original!$B$25)</f>
        <v>0.95853837520504204</v>
      </c>
      <c r="G12" s="2">
        <f>(Rescaled!M11-Rescaled!L11)/(Original!$B$26-Original!$B$25)</f>
        <v>0.9652639027639025</v>
      </c>
      <c r="K12" s="1" t="s">
        <v>12</v>
      </c>
      <c r="L12" s="2">
        <v>4.1322632534638615</v>
      </c>
      <c r="M12" s="2">
        <v>3.5808022145028224</v>
      </c>
      <c r="N12" s="2">
        <v>4.1242642995302567</v>
      </c>
      <c r="O12" s="2">
        <v>2.1784673153594123</v>
      </c>
      <c r="P12" s="2">
        <v>1.4635954091501202</v>
      </c>
      <c r="Q12" s="2">
        <v>1.4218583468203527</v>
      </c>
    </row>
    <row r="13" spans="1:17">
      <c r="A13" s="1" t="s">
        <v>11</v>
      </c>
      <c r="B13" s="2">
        <f>(Rescaled!C12-Rescaled!B12)/(Original!$B$26-Original!$B$25)</f>
        <v>11.282579210973697</v>
      </c>
      <c r="C13" s="2">
        <f>(Rescaled!E12-Rescaled!D12)/(Original!$B$26-Original!$B$25)</f>
        <v>11.136779559318644</v>
      </c>
      <c r="D13" s="2">
        <f>(Rescaled!G12-Rescaled!F12)/(Original!$B$26-Original!$B$25)</f>
        <v>10.877538626287542</v>
      </c>
      <c r="E13" s="2">
        <f>(Rescaled!I12-Rescaled!H12)/(Original!$B$26-Original!$B$25)</f>
        <v>9.8857961932064402</v>
      </c>
      <c r="F13" s="2">
        <f>(Rescaled!K12-Rescaled!J12)/(Original!$B$26-Original!$B$25)</f>
        <v>3.649556026867562</v>
      </c>
      <c r="G13" s="2">
        <f>(Rescaled!M12-Rescaled!L12)/(Original!$B$26-Original!$B$25)</f>
        <v>2.9603340944698155</v>
      </c>
      <c r="I13" t="s">
        <v>50</v>
      </c>
      <c r="K13" s="1" t="s">
        <v>13</v>
      </c>
      <c r="L13" s="2">
        <v>5.8773373651520098</v>
      </c>
      <c r="M13" s="2">
        <v>5.7608069085757867</v>
      </c>
      <c r="N13" s="2">
        <v>6.5150062656641596</v>
      </c>
      <c r="O13" s="2">
        <v>4.0481046365914786</v>
      </c>
      <c r="P13" s="2">
        <v>1.1970340252805927</v>
      </c>
      <c r="Q13" s="2">
        <v>1.2809060695216301</v>
      </c>
    </row>
    <row r="14" spans="1:17">
      <c r="A14" s="1" t="s">
        <v>12</v>
      </c>
      <c r="B14" s="2">
        <f>(Rescaled!C13-Rescaled!B13)/(Original!$B$26-Original!$B$25)</f>
        <v>4.1322632534638615</v>
      </c>
      <c r="C14" s="2">
        <f>(Rescaled!E13-Rescaled!D13)/(Original!$B$26-Original!$B$25)</f>
        <v>3.5808022145028224</v>
      </c>
      <c r="D14" s="2">
        <f>(Rescaled!G13-Rescaled!F13)/(Original!$B$26-Original!$B$25)</f>
        <v>4.1242642995302567</v>
      </c>
      <c r="E14" s="2">
        <f>(Rescaled!I13-Rescaled!H13)/(Original!$B$26-Original!$B$25)</f>
        <v>2.1784673153594123</v>
      </c>
      <c r="F14" s="2">
        <f>(Rescaled!K13-Rescaled!J13)/(Original!$B$26-Original!$B$25)</f>
        <v>1.4635954091501202</v>
      </c>
      <c r="G14" s="2">
        <f>(Rescaled!M13-Rescaled!L13)/(Original!$B$26-Original!$B$25)</f>
        <v>1.4218583468203527</v>
      </c>
      <c r="I14" t="s">
        <v>11</v>
      </c>
      <c r="K14" s="1" t="s">
        <v>14</v>
      </c>
      <c r="L14" s="2">
        <v>5.3569478268738235</v>
      </c>
      <c r="M14" s="2">
        <v>5.3127835175254656</v>
      </c>
      <c r="N14" s="2">
        <v>5.0927894091819361</v>
      </c>
      <c r="O14" s="2">
        <v>3.006724996360747</v>
      </c>
      <c r="P14" s="2">
        <v>1.1169019230996211</v>
      </c>
      <c r="Q14" s="2">
        <v>1.368084926408391</v>
      </c>
    </row>
    <row r="15" spans="1:17">
      <c r="A15" s="1" t="s">
        <v>13</v>
      </c>
      <c r="B15" s="2">
        <f>(Rescaled!C14-Rescaled!B14)/(Original!$B$26-Original!$B$25)</f>
        <v>5.8773373651520098</v>
      </c>
      <c r="C15" s="2">
        <f>(Rescaled!E14-Rescaled!D14)/(Original!$B$26-Original!$B$25)</f>
        <v>5.7608069085757867</v>
      </c>
      <c r="D15" s="2">
        <f>(Rescaled!G14-Rescaled!F14)/(Original!$B$26-Original!$B$25)</f>
        <v>6.5150062656641596</v>
      </c>
      <c r="E15" s="2">
        <f>(Rescaled!I14-Rescaled!H14)/(Original!$B$26-Original!$B$25)</f>
        <v>4.0481046365914786</v>
      </c>
      <c r="F15" s="2">
        <f>(Rescaled!K14-Rescaled!J14)/(Original!$B$26-Original!$B$25)</f>
        <v>1.1970340252805927</v>
      </c>
      <c r="G15" s="2">
        <f>(Rescaled!M14-Rescaled!L14)/(Original!$B$26-Original!$B$25)</f>
        <v>1.2809060695216301</v>
      </c>
      <c r="I15" t="s">
        <v>18</v>
      </c>
      <c r="K15" s="1" t="s">
        <v>15</v>
      </c>
      <c r="L15" s="2">
        <v>2.92567120269198</v>
      </c>
      <c r="M15" s="2">
        <v>2.4828722026250634</v>
      </c>
      <c r="N15" s="2">
        <v>2.4295756976110581</v>
      </c>
      <c r="O15" s="2">
        <v>3.4267950519563697</v>
      </c>
      <c r="P15" s="2">
        <v>0.94882213905379165</v>
      </c>
      <c r="Q15" s="2">
        <v>1.1650146500712188</v>
      </c>
    </row>
    <row r="16" spans="1:17">
      <c r="A16" s="1" t="s">
        <v>14</v>
      </c>
      <c r="B16" s="2">
        <f>(Rescaled!C15-Rescaled!B15)/(Original!$B$26-Original!$B$25)</f>
        <v>5.3569478268738235</v>
      </c>
      <c r="C16" s="2">
        <f>(Rescaled!E15-Rescaled!D15)/(Original!$B$26-Original!$B$25)</f>
        <v>5.3127835175254656</v>
      </c>
      <c r="D16" s="2">
        <f>(Rescaled!G15-Rescaled!F15)/(Original!$B$26-Original!$B$25)</f>
        <v>5.0927894091819361</v>
      </c>
      <c r="E16" s="2">
        <f>(Rescaled!I15-Rescaled!H15)/(Original!$B$26-Original!$B$25)</f>
        <v>3.006724996360747</v>
      </c>
      <c r="F16" s="2">
        <f>(Rescaled!K15-Rescaled!J15)/(Original!$B$26-Original!$B$25)</f>
        <v>1.1169019230996211</v>
      </c>
      <c r="G16" s="2">
        <f>(Rescaled!M15-Rescaled!L15)/(Original!$B$26-Original!$B$25)</f>
        <v>1.368084926408391</v>
      </c>
      <c r="I16" t="s">
        <v>9</v>
      </c>
      <c r="K16" s="1" t="s">
        <v>16</v>
      </c>
      <c r="L16" s="2">
        <v>2.9466468590831916</v>
      </c>
      <c r="M16" s="2">
        <v>2.7352563932512739</v>
      </c>
      <c r="N16" s="2">
        <v>2.4947058927560835</v>
      </c>
      <c r="O16" s="2">
        <v>2.3313594280560279</v>
      </c>
      <c r="P16" s="2">
        <v>0.94979020762591959</v>
      </c>
      <c r="Q16" s="2">
        <v>0.89790959252971148</v>
      </c>
    </row>
    <row r="17" spans="1:17">
      <c r="A17" s="1" t="s">
        <v>15</v>
      </c>
      <c r="B17" s="2">
        <f>(Rescaled!C16-Rescaled!B16)/(Original!$B$26-Original!$B$25)</f>
        <v>2.92567120269198</v>
      </c>
      <c r="C17" s="2">
        <f>(Rescaled!E16-Rescaled!D16)/(Original!$B$26-Original!$B$25)</f>
        <v>2.4828722026250634</v>
      </c>
      <c r="D17" s="2">
        <f>(Rescaled!G16-Rescaled!F16)/(Original!$B$26-Original!$B$25)</f>
        <v>2.4295756976110581</v>
      </c>
      <c r="E17" s="2">
        <f>(Rescaled!I16-Rescaled!H16)/(Original!$B$26-Original!$B$25)</f>
        <v>3.4267950519563697</v>
      </c>
      <c r="F17" s="2">
        <f>(Rescaled!K16-Rescaled!J16)/(Original!$B$26-Original!$B$25)</f>
        <v>0.94882213905379165</v>
      </c>
      <c r="G17" s="2">
        <f>(Rescaled!M16-Rescaled!L16)/(Original!$B$26-Original!$B$25)</f>
        <v>1.1650146500712188</v>
      </c>
      <c r="I17" t="s">
        <v>21</v>
      </c>
      <c r="K17" s="1" t="s">
        <v>17</v>
      </c>
      <c r="L17" s="2">
        <v>1.8952415974627088</v>
      </c>
      <c r="M17" s="2">
        <v>1.765020621098522</v>
      </c>
      <c r="N17" s="2">
        <v>1.5440071333310921</v>
      </c>
      <c r="O17" s="2">
        <v>1.4311618139842432</v>
      </c>
      <c r="P17" s="2">
        <v>0.69185340528303585</v>
      </c>
      <c r="Q17" s="2">
        <v>0.62230174606910316</v>
      </c>
    </row>
    <row r="18" spans="1:17">
      <c r="A18" s="1" t="s">
        <v>16</v>
      </c>
      <c r="B18" s="2">
        <f>(Rescaled!C17-Rescaled!B17)/(Original!$B$26-Original!$B$25)</f>
        <v>2.9466468590831916</v>
      </c>
      <c r="C18" s="2">
        <f>(Rescaled!E17-Rescaled!D17)/(Original!$B$26-Original!$B$25)</f>
        <v>2.7352563932512739</v>
      </c>
      <c r="D18" s="2">
        <f>(Rescaled!G17-Rescaled!F17)/(Original!$B$26-Original!$B$25)</f>
        <v>2.4947058927560835</v>
      </c>
      <c r="E18" s="2">
        <f>(Rescaled!I17-Rescaled!H17)/(Original!$B$26-Original!$B$25)</f>
        <v>2.3313594280560279</v>
      </c>
      <c r="F18" s="2">
        <f>(Rescaled!K17-Rescaled!J17)/(Original!$B$26-Original!$B$25)</f>
        <v>0.94979020762591959</v>
      </c>
      <c r="G18" s="2">
        <f>(Rescaled!M17-Rescaled!L17)/(Original!$B$26-Original!$B$25)</f>
        <v>0.89790959252971148</v>
      </c>
      <c r="K18" s="1" t="s">
        <v>19</v>
      </c>
      <c r="L18" s="2">
        <v>4.3824725379865335</v>
      </c>
      <c r="M18" s="2">
        <v>4.9734352858428412</v>
      </c>
      <c r="N18" s="2">
        <v>6.0124235226884855</v>
      </c>
      <c r="O18" s="2">
        <v>3.7287754450294277</v>
      </c>
      <c r="P18" s="2">
        <v>1.5529745989304815</v>
      </c>
      <c r="Q18" s="2">
        <v>1.5373203461972094</v>
      </c>
    </row>
    <row r="19" spans="1:17">
      <c r="A19" s="1" t="s">
        <v>17</v>
      </c>
      <c r="B19" s="2">
        <f>(Rescaled!C18-Rescaled!B18)/(Original!$B$26-Original!$B$25)</f>
        <v>1.8952415974627088</v>
      </c>
      <c r="C19" s="2">
        <f>(Rescaled!E18-Rescaled!D18)/(Original!$B$26-Original!$B$25)</f>
        <v>1.765020621098522</v>
      </c>
      <c r="D19" s="2">
        <f>(Rescaled!G18-Rescaled!F18)/(Original!$B$26-Original!$B$25)</f>
        <v>1.5440071333310921</v>
      </c>
      <c r="E19" s="2">
        <f>(Rescaled!I18-Rescaled!H18)/(Original!$B$26-Original!$B$25)</f>
        <v>1.4311618139842432</v>
      </c>
      <c r="F19" s="2">
        <f>(Rescaled!K18-Rescaled!J18)/(Original!$B$26-Original!$B$25)</f>
        <v>0.69185340528303585</v>
      </c>
      <c r="G19" s="2">
        <f>(Rescaled!M18-Rescaled!L18)/(Original!$B$26-Original!$B$25)</f>
        <v>0.62230174606910316</v>
      </c>
      <c r="K19" s="1" t="s">
        <v>20</v>
      </c>
      <c r="L19" s="2">
        <v>2.608094914182848</v>
      </c>
      <c r="M19" s="2">
        <v>3.067363372772121</v>
      </c>
      <c r="N19" s="2">
        <v>2.8440039644913497</v>
      </c>
      <c r="O19" s="2">
        <v>1.8890236151763751</v>
      </c>
      <c r="P19" s="2">
        <v>0.84274316005001992</v>
      </c>
      <c r="Q19" s="2">
        <v>0.82721980596666267</v>
      </c>
    </row>
    <row r="20" spans="1:17">
      <c r="A20" s="1" t="s">
        <v>18</v>
      </c>
      <c r="B20" s="2">
        <f>(Rescaled!C19-Rescaled!B19)/(Original!$B$26-Original!$B$25)</f>
        <v>29.175126262626264</v>
      </c>
      <c r="C20" s="2">
        <f>(Rescaled!E19-Rescaled!D19)/(Original!$B$26-Original!$B$25)</f>
        <v>30.104536370903283</v>
      </c>
      <c r="D20" s="2">
        <f>(Rescaled!G19-Rescaled!F19)/(Original!$B$26-Original!$B$25)</f>
        <v>31.921640869122886</v>
      </c>
      <c r="E20" s="2">
        <f>(Rescaled!I19-Rescaled!H19)/(Original!$B$26-Original!$B$25)</f>
        <v>36.9875154421917</v>
      </c>
      <c r="F20" s="2">
        <f>(Rescaled!K19-Rescaled!J19)/(Original!$B$26-Original!$B$25)</f>
        <v>3.8656147809025514</v>
      </c>
      <c r="G20" s="2">
        <f>(Rescaled!M19-Rescaled!L19)/(Original!$B$26-Original!$B$25)</f>
        <v>3.8209278032119758</v>
      </c>
      <c r="K20" s="1" t="s">
        <v>22</v>
      </c>
      <c r="L20" s="2">
        <v>2.7542916027230158</v>
      </c>
      <c r="M20" s="2">
        <v>2.6333022222878055</v>
      </c>
      <c r="N20" s="2">
        <v>2.9691189056781959</v>
      </c>
      <c r="O20" s="2">
        <v>2.3746710591036084</v>
      </c>
      <c r="P20" s="2">
        <v>1.1833080018100972</v>
      </c>
      <c r="Q20" s="2">
        <v>0.99568072935111962</v>
      </c>
    </row>
    <row r="21" spans="1:17">
      <c r="A21" s="1" t="s">
        <v>19</v>
      </c>
      <c r="B21" s="2">
        <f>(Rescaled!C20-Rescaled!B20)/(Original!$B$26-Original!$B$25)</f>
        <v>4.3824725379865335</v>
      </c>
      <c r="C21" s="2">
        <f>(Rescaled!E20-Rescaled!D20)/(Original!$B$26-Original!$B$25)</f>
        <v>4.9734352858428412</v>
      </c>
      <c r="D21" s="2">
        <f>(Rescaled!G20-Rescaled!F20)/(Original!$B$26-Original!$B$25)</f>
        <v>6.0124235226884855</v>
      </c>
      <c r="E21" s="2">
        <f>(Rescaled!I20-Rescaled!H20)/(Original!$B$26-Original!$B$25)</f>
        <v>3.7287754450294277</v>
      </c>
      <c r="F21" s="2">
        <f>(Rescaled!K20-Rescaled!J20)/(Original!$B$26-Original!$B$25)</f>
        <v>1.5529745989304815</v>
      </c>
      <c r="G21" s="2">
        <f>(Rescaled!M20-Rescaled!L20)/(Original!$B$26-Original!$B$25)</f>
        <v>1.5373203461972094</v>
      </c>
    </row>
    <row r="22" spans="1:17">
      <c r="A22" s="1" t="s">
        <v>20</v>
      </c>
      <c r="B22" s="2">
        <f>(Rescaled!C21-Rescaled!B21)/(Original!$B$26-Original!$B$25)</f>
        <v>2.608094914182848</v>
      </c>
      <c r="C22" s="2">
        <f>(Rescaled!E21-Rescaled!D21)/(Original!$B$26-Original!$B$25)</f>
        <v>3.067363372772121</v>
      </c>
      <c r="D22" s="2">
        <f>(Rescaled!G21-Rescaled!F21)/(Original!$B$26-Original!$B$25)</f>
        <v>2.8440039644913497</v>
      </c>
      <c r="E22" s="2">
        <f>(Rescaled!I21-Rescaled!H21)/(Original!$B$26-Original!$B$25)</f>
        <v>1.8890236151763751</v>
      </c>
      <c r="F22" s="2">
        <f>(Rescaled!K21-Rescaled!J21)/(Original!$B$26-Original!$B$25)</f>
        <v>0.84274316005001992</v>
      </c>
      <c r="G22" s="2">
        <f>(Rescaled!M21-Rescaled!L21)/(Original!$B$26-Original!$B$25)</f>
        <v>0.82721980596666267</v>
      </c>
      <c r="K22" t="s">
        <v>48</v>
      </c>
      <c r="L22" s="2">
        <f>AVERAGE(Table511[Fígado A])</f>
        <v>3.9447939079670076</v>
      </c>
      <c r="M22" s="2">
        <f>AVERAGE(Table511[Fígado B])</f>
        <v>3.9721297819702581</v>
      </c>
      <c r="N22" s="2">
        <f>AVERAGE(Table511[Fígado C])</f>
        <v>4.281594393203461</v>
      </c>
      <c r="O22" s="2">
        <f>AVERAGE(Table511[Rim])</f>
        <v>2.8861454630911592</v>
      </c>
      <c r="P22" s="2">
        <f>AVERAGE(Table511[Gordura A])</f>
        <v>1.1061355652488194</v>
      </c>
      <c r="Q22" s="2">
        <f>AVERAGE(Table511[Gordura B])</f>
        <v>1.1421570756767756</v>
      </c>
    </row>
    <row r="23" spans="1:17">
      <c r="A23" s="1" t="s">
        <v>21</v>
      </c>
      <c r="B23" s="2">
        <f>(Rescaled!C22-Rescaled!B22)/(Original!$B$26-Original!$B$25)</f>
        <v>7.3617570226809796</v>
      </c>
      <c r="C23" s="2">
        <f>(Rescaled!E22-Rescaled!D22)/(Original!$B$26-Original!$B$25)</f>
        <v>8.6289815161075989</v>
      </c>
      <c r="D23" s="2">
        <f>(Rescaled!G22-Rescaled!F22)/(Original!$B$26-Original!$B$25)</f>
        <v>9.5204190553645383</v>
      </c>
      <c r="E23" s="2">
        <f>(Rescaled!I22-Rescaled!H22)/(Original!$B$26-Original!$B$25)</f>
        <v>5.113584172327533</v>
      </c>
      <c r="F23" s="2">
        <f>(Rescaled!K22-Rescaled!J22)/(Original!$B$26-Original!$B$25)</f>
        <v>3.8191298846526687</v>
      </c>
      <c r="G23" s="2">
        <f>(Rescaled!M22-Rescaled!L22)/(Original!$B$26-Original!$B$25)</f>
        <v>3.2224411735873852</v>
      </c>
      <c r="K23" t="s">
        <v>49</v>
      </c>
      <c r="L23" s="2">
        <f>STDEV(Table511[Fígado A])</f>
        <v>1.1381331928130185</v>
      </c>
      <c r="M23" s="2">
        <f>STDEV(Table511[Fígado B])</f>
        <v>1.3460297373216543</v>
      </c>
      <c r="N23" s="2">
        <f>STDEV(Table511[Fígado C])</f>
        <v>1.5764827358096689</v>
      </c>
      <c r="O23" s="2">
        <f>STDEV(Table511[Rim])</f>
        <v>0.83214061194000521</v>
      </c>
      <c r="P23" s="2">
        <f>STDEV(Table511[Gordura A])</f>
        <v>0.25535420180279184</v>
      </c>
      <c r="Q23" s="2">
        <f>STDEV(Table511[Gordura B])</f>
        <v>0.277952235270711</v>
      </c>
    </row>
    <row r="24" spans="1:17">
      <c r="A24" s="1" t="s">
        <v>22</v>
      </c>
      <c r="B24" s="2">
        <f>(Rescaled!C23-Rescaled!B23)/(Original!$B$26-Original!$B$25)</f>
        <v>2.7542916027230158</v>
      </c>
      <c r="C24" s="2">
        <f>(Rescaled!E23-Rescaled!D23)/(Original!$B$26-Original!$B$25)</f>
        <v>2.6333022222878055</v>
      </c>
      <c r="D24" s="2">
        <f>(Rescaled!G23-Rescaled!F23)/(Original!$B$26-Original!$B$25)</f>
        <v>2.9691189056781959</v>
      </c>
      <c r="E24" s="2">
        <f>(Rescaled!I23-Rescaled!H23)/(Original!$B$26-Original!$B$25)</f>
        <v>2.3746710591036084</v>
      </c>
      <c r="F24" s="2">
        <f>(Rescaled!K23-Rescaled!J23)/(Original!$B$26-Original!$B$25)</f>
        <v>1.1833080018100972</v>
      </c>
      <c r="G24" s="2">
        <f>(Rescaled!M23-Rescaled!L23)/(Original!$B$26-Original!$B$25)</f>
        <v>0.99568072935111962</v>
      </c>
    </row>
    <row r="26" spans="1:17">
      <c r="A26" t="s">
        <v>48</v>
      </c>
      <c r="B26">
        <f>AVERAGE(Table610[Fígado A])</f>
        <v>5.7539524100392319</v>
      </c>
      <c r="C26">
        <f>AVERAGE(Table610[Fígado B])</f>
        <v>5.8894278954995336</v>
      </c>
      <c r="D26">
        <f>AVERAGE(Table610[Fígado C])</f>
        <v>6.2617352274790399</v>
      </c>
      <c r="E26">
        <f>AVERAGE(Table610[Rim])</f>
        <v>4.9292916770506832</v>
      </c>
      <c r="F26">
        <f>AVERAGE(Table610[Gordura A])</f>
        <v>1.5156629252280409</v>
      </c>
      <c r="G26">
        <f>AVERAGE(Table610[Gordura B])</f>
        <v>1.4908721381299004</v>
      </c>
    </row>
    <row r="27" spans="1:17">
      <c r="A27" t="s">
        <v>49</v>
      </c>
      <c r="B27">
        <f>STDEV(Table610[Fígado A])</f>
        <v>5.6343633635523247</v>
      </c>
      <c r="C27">
        <f>STDEV(Table610[Fígado B])</f>
        <v>5.8704812404912303</v>
      </c>
      <c r="D27">
        <f>STDEV(Table610[Fígado C])</f>
        <v>6.2014859358552554</v>
      </c>
      <c r="E27">
        <f>STDEV(Table610[Rim])</f>
        <v>7.3660121866724388</v>
      </c>
      <c r="F27">
        <f>STDEV(Table610[Gordura A])</f>
        <v>0.97224155271033852</v>
      </c>
      <c r="G27">
        <f>STDEV(Table610[Gordura B])</f>
        <v>0.83509964367909484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Original</vt:lpstr>
      <vt:lpstr>Rescaled</vt:lpstr>
      <vt:lpstr>LinearSignal</vt:lpstr>
      <vt:lpstr>Coef. Angular. NonLinearSignal</vt:lpstr>
      <vt:lpstr>My Rescaling</vt:lpstr>
      <vt:lpstr>Coef. Ang. 4 removed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Tonin</dc:creator>
  <cp:lastModifiedBy>Yuri Tonin</cp:lastModifiedBy>
  <dcterms:created xsi:type="dcterms:W3CDTF">2017-10-27T15:30:21Z</dcterms:created>
  <dcterms:modified xsi:type="dcterms:W3CDTF">2017-12-04T12:44:58Z</dcterms:modified>
</cp:coreProperties>
</file>