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6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15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75" windowWidth="28755" windowHeight="12600" activeTab="2"/>
  </bookViews>
  <sheets>
    <sheet name="Original" sheetId="1" r:id="rId1"/>
    <sheet name="Rescaled" sheetId="2" r:id="rId2"/>
    <sheet name="Rescaled (2)" sheetId="12" r:id="rId3"/>
    <sheet name="T1" sheetId="10" r:id="rId4"/>
    <sheet name="T1 (2)" sheetId="11" r:id="rId5"/>
  </sheets>
  <definedNames>
    <definedName name="_xlnm._FilterDatabase" localSheetId="0" hidden="1">Original!$A$25:$B$26</definedName>
  </definedNames>
  <calcPr calcId="125725"/>
</workbook>
</file>

<file path=xl/calcChain.xml><?xml version="1.0" encoding="utf-8"?>
<calcChain xmlns="http://schemas.openxmlformats.org/spreadsheetml/2006/main">
  <c r="N32" i="12"/>
  <c r="N33"/>
  <c r="N36"/>
  <c r="D14"/>
  <c r="E14"/>
  <c r="O27"/>
  <c r="N27"/>
  <c r="O26"/>
  <c r="N26"/>
  <c r="O25"/>
  <c r="N25"/>
  <c r="O24"/>
  <c r="N24"/>
  <c r="O23"/>
  <c r="N23"/>
  <c r="K23"/>
  <c r="J23"/>
  <c r="I23"/>
  <c r="H23"/>
  <c r="G23"/>
  <c r="F23"/>
  <c r="E23"/>
  <c r="D23"/>
  <c r="C23"/>
  <c r="B23"/>
  <c r="O22"/>
  <c r="N22"/>
  <c r="O21"/>
  <c r="N21"/>
  <c r="K21"/>
  <c r="J21"/>
  <c r="I21"/>
  <c r="H21"/>
  <c r="G21"/>
  <c r="F21"/>
  <c r="E21"/>
  <c r="D21"/>
  <c r="C21"/>
  <c r="B21"/>
  <c r="O20"/>
  <c r="N20"/>
  <c r="K20"/>
  <c r="J20"/>
  <c r="I20"/>
  <c r="H20"/>
  <c r="G20"/>
  <c r="F20"/>
  <c r="E20"/>
  <c r="D20"/>
  <c r="C20"/>
  <c r="B20"/>
  <c r="O19"/>
  <c r="N19"/>
  <c r="O18"/>
  <c r="N18"/>
  <c r="K18"/>
  <c r="J18"/>
  <c r="I18"/>
  <c r="H18"/>
  <c r="G18"/>
  <c r="F18"/>
  <c r="E18"/>
  <c r="D18"/>
  <c r="C18"/>
  <c r="B18"/>
  <c r="O17"/>
  <c r="N17"/>
  <c r="K17"/>
  <c r="J17"/>
  <c r="I17"/>
  <c r="H17"/>
  <c r="G17"/>
  <c r="F17"/>
  <c r="E17"/>
  <c r="D17"/>
  <c r="C17"/>
  <c r="B17"/>
  <c r="O16"/>
  <c r="N16"/>
  <c r="K16"/>
  <c r="J16"/>
  <c r="I16"/>
  <c r="H16"/>
  <c r="G16"/>
  <c r="F16"/>
  <c r="E16"/>
  <c r="D16"/>
  <c r="C16"/>
  <c r="B16"/>
  <c r="O15"/>
  <c r="N15"/>
  <c r="K15"/>
  <c r="J15"/>
  <c r="I15"/>
  <c r="H15"/>
  <c r="G15"/>
  <c r="F15"/>
  <c r="E15"/>
  <c r="D15"/>
  <c r="C15"/>
  <c r="B15"/>
  <c r="O14"/>
  <c r="N14"/>
  <c r="K14"/>
  <c r="J14"/>
  <c r="I14"/>
  <c r="H14"/>
  <c r="G14"/>
  <c r="F14"/>
  <c r="C14"/>
  <c r="B14"/>
  <c r="O13"/>
  <c r="N13"/>
  <c r="K13"/>
  <c r="J13"/>
  <c r="I13"/>
  <c r="H13"/>
  <c r="G13"/>
  <c r="F13"/>
  <c r="E13"/>
  <c r="D13"/>
  <c r="C13"/>
  <c r="B13"/>
  <c r="O12"/>
  <c r="N12"/>
  <c r="O11"/>
  <c r="N11"/>
  <c r="K11"/>
  <c r="J11"/>
  <c r="I11"/>
  <c r="H11"/>
  <c r="G11"/>
  <c r="F11"/>
  <c r="E11"/>
  <c r="D11"/>
  <c r="C11"/>
  <c r="B11"/>
  <c r="O10"/>
  <c r="N10"/>
  <c r="K10"/>
  <c r="J10"/>
  <c r="I10"/>
  <c r="H10"/>
  <c r="G10"/>
  <c r="F10"/>
  <c r="C10"/>
  <c r="B10"/>
  <c r="O9"/>
  <c r="N9"/>
  <c r="K9"/>
  <c r="J9"/>
  <c r="I9"/>
  <c r="H9"/>
  <c r="G9"/>
  <c r="F9"/>
  <c r="E9"/>
  <c r="D9"/>
  <c r="C9"/>
  <c r="B9"/>
  <c r="O8"/>
  <c r="N8"/>
  <c r="K8"/>
  <c r="J8"/>
  <c r="I8"/>
  <c r="H8"/>
  <c r="G8"/>
  <c r="F8"/>
  <c r="E8"/>
  <c r="D8"/>
  <c r="C8"/>
  <c r="B8"/>
  <c r="O7"/>
  <c r="N7"/>
  <c r="K7"/>
  <c r="J7"/>
  <c r="I7"/>
  <c r="H7"/>
  <c r="G7"/>
  <c r="F7"/>
  <c r="E7"/>
  <c r="D7"/>
  <c r="C7"/>
  <c r="B7"/>
  <c r="O6"/>
  <c r="N6"/>
  <c r="K6"/>
  <c r="J6"/>
  <c r="I6"/>
  <c r="H6"/>
  <c r="G6"/>
  <c r="F6"/>
  <c r="E6"/>
  <c r="D6"/>
  <c r="C6"/>
  <c r="B6"/>
  <c r="O5"/>
  <c r="N5"/>
  <c r="K5"/>
  <c r="J5"/>
  <c r="I5"/>
  <c r="H5"/>
  <c r="G5"/>
  <c r="F5"/>
  <c r="E5"/>
  <c r="D5"/>
  <c r="C5"/>
  <c r="B5"/>
  <c r="O4"/>
  <c r="N4"/>
  <c r="K4"/>
  <c r="J4"/>
  <c r="I4"/>
  <c r="H4"/>
  <c r="G4"/>
  <c r="F4"/>
  <c r="E4"/>
  <c r="D4"/>
  <c r="C4"/>
  <c r="B4"/>
  <c r="O3"/>
  <c r="N3"/>
  <c r="K3"/>
  <c r="J3"/>
  <c r="I3"/>
  <c r="N35" s="1"/>
  <c r="H3"/>
  <c r="G3"/>
  <c r="F3"/>
  <c r="E3"/>
  <c r="D3"/>
  <c r="C3"/>
  <c r="B3"/>
  <c r="O2"/>
  <c r="N2"/>
  <c r="N34"/>
  <c r="N36" i="2"/>
  <c r="N35"/>
  <c r="N34"/>
  <c r="N32"/>
  <c r="N33"/>
  <c r="N10" i="11"/>
  <c r="B2" i="2"/>
  <c r="E52" i="11"/>
  <c r="I51"/>
  <c r="E50"/>
  <c r="I49"/>
  <c r="I47"/>
  <c r="E46"/>
  <c r="I45"/>
  <c r="E44"/>
  <c r="I43"/>
  <c r="E42"/>
  <c r="I41"/>
  <c r="E40"/>
  <c r="I39"/>
  <c r="E38"/>
  <c r="I37"/>
  <c r="E36"/>
  <c r="I35"/>
  <c r="E34"/>
  <c r="I33"/>
  <c r="E32"/>
  <c r="I31"/>
  <c r="P27"/>
  <c r="O27"/>
  <c r="N27"/>
  <c r="P26"/>
  <c r="O26"/>
  <c r="N26"/>
  <c r="P23"/>
  <c r="U23" s="1"/>
  <c r="K23"/>
  <c r="K52" s="1"/>
  <c r="J23"/>
  <c r="J52" s="1"/>
  <c r="I23"/>
  <c r="I52" s="1"/>
  <c r="H23"/>
  <c r="H52" s="1"/>
  <c r="P52" s="1"/>
  <c r="U52" s="1"/>
  <c r="G23"/>
  <c r="G52" s="1"/>
  <c r="F23"/>
  <c r="F52" s="1"/>
  <c r="O52" s="1"/>
  <c r="T52" s="1"/>
  <c r="E23"/>
  <c r="D23"/>
  <c r="N23" s="1"/>
  <c r="S23" s="1"/>
  <c r="C23"/>
  <c r="C52" s="1"/>
  <c r="B23"/>
  <c r="M23" s="1"/>
  <c r="R23" s="1"/>
  <c r="P22"/>
  <c r="U22" s="1"/>
  <c r="K51"/>
  <c r="J51"/>
  <c r="H51"/>
  <c r="P51" s="1"/>
  <c r="U51" s="1"/>
  <c r="G51"/>
  <c r="F51"/>
  <c r="O51" s="1"/>
  <c r="T51" s="1"/>
  <c r="E51"/>
  <c r="D51"/>
  <c r="C51"/>
  <c r="B51"/>
  <c r="P21"/>
  <c r="U21" s="1"/>
  <c r="K21"/>
  <c r="K50" s="1"/>
  <c r="J21"/>
  <c r="J50" s="1"/>
  <c r="Q50" s="1"/>
  <c r="V50" s="1"/>
  <c r="I21"/>
  <c r="I50" s="1"/>
  <c r="H21"/>
  <c r="H50" s="1"/>
  <c r="G21"/>
  <c r="G50" s="1"/>
  <c r="F21"/>
  <c r="F50" s="1"/>
  <c r="O50" s="1"/>
  <c r="T50" s="1"/>
  <c r="E21"/>
  <c r="D21"/>
  <c r="N21" s="1"/>
  <c r="S21" s="1"/>
  <c r="C21"/>
  <c r="C50" s="1"/>
  <c r="B21"/>
  <c r="M21" s="1"/>
  <c r="R21" s="1"/>
  <c r="P20"/>
  <c r="U20" s="1"/>
  <c r="K20"/>
  <c r="K49" s="1"/>
  <c r="J20"/>
  <c r="J49" s="1"/>
  <c r="I20"/>
  <c r="H20"/>
  <c r="H49" s="1"/>
  <c r="P49" s="1"/>
  <c r="U49" s="1"/>
  <c r="G20"/>
  <c r="G49" s="1"/>
  <c r="F20"/>
  <c r="F49" s="1"/>
  <c r="E20"/>
  <c r="E49" s="1"/>
  <c r="D20"/>
  <c r="D49" s="1"/>
  <c r="N49" s="1"/>
  <c r="S49" s="1"/>
  <c r="C20"/>
  <c r="C49" s="1"/>
  <c r="B20"/>
  <c r="B49" s="1"/>
  <c r="P19"/>
  <c r="U19" s="1"/>
  <c r="Q48"/>
  <c r="V48" s="1"/>
  <c r="P48"/>
  <c r="U48" s="1"/>
  <c r="N19"/>
  <c r="S19" s="1"/>
  <c r="M19"/>
  <c r="R19" s="1"/>
  <c r="P18"/>
  <c r="U18" s="1"/>
  <c r="K18"/>
  <c r="K47" s="1"/>
  <c r="J18"/>
  <c r="J47" s="1"/>
  <c r="Q47" s="1"/>
  <c r="V47" s="1"/>
  <c r="I18"/>
  <c r="H18"/>
  <c r="H47" s="1"/>
  <c r="P47" s="1"/>
  <c r="U47" s="1"/>
  <c r="G18"/>
  <c r="G47" s="1"/>
  <c r="F18"/>
  <c r="F47" s="1"/>
  <c r="E18"/>
  <c r="E47" s="1"/>
  <c r="D18"/>
  <c r="D47" s="1"/>
  <c r="C18"/>
  <c r="C47" s="1"/>
  <c r="B18"/>
  <c r="B47" s="1"/>
  <c r="M47" s="1"/>
  <c r="R47" s="1"/>
  <c r="P17"/>
  <c r="U17" s="1"/>
  <c r="K17"/>
  <c r="K46" s="1"/>
  <c r="J17"/>
  <c r="J46" s="1"/>
  <c r="Q46" s="1"/>
  <c r="V46" s="1"/>
  <c r="I17"/>
  <c r="I46" s="1"/>
  <c r="H17"/>
  <c r="H46" s="1"/>
  <c r="P46" s="1"/>
  <c r="U46" s="1"/>
  <c r="G17"/>
  <c r="G46" s="1"/>
  <c r="F17"/>
  <c r="F46" s="1"/>
  <c r="O46" s="1"/>
  <c r="T46" s="1"/>
  <c r="E17"/>
  <c r="D17"/>
  <c r="N17" s="1"/>
  <c r="S17" s="1"/>
  <c r="C17"/>
  <c r="C46" s="1"/>
  <c r="B17"/>
  <c r="M17" s="1"/>
  <c r="R17" s="1"/>
  <c r="P16"/>
  <c r="U16" s="1"/>
  <c r="K45"/>
  <c r="J45"/>
  <c r="H45"/>
  <c r="P45" s="1"/>
  <c r="U45" s="1"/>
  <c r="G45"/>
  <c r="F45"/>
  <c r="E45"/>
  <c r="D45"/>
  <c r="C45"/>
  <c r="B45"/>
  <c r="P15"/>
  <c r="U15" s="1"/>
  <c r="K15"/>
  <c r="K44" s="1"/>
  <c r="J15"/>
  <c r="J44" s="1"/>
  <c r="I15"/>
  <c r="I44" s="1"/>
  <c r="H15"/>
  <c r="H44" s="1"/>
  <c r="P44" s="1"/>
  <c r="U44" s="1"/>
  <c r="G15"/>
  <c r="G44" s="1"/>
  <c r="F15"/>
  <c r="F44" s="1"/>
  <c r="O44" s="1"/>
  <c r="T44" s="1"/>
  <c r="E15"/>
  <c r="D15"/>
  <c r="N15" s="1"/>
  <c r="S15" s="1"/>
  <c r="C15"/>
  <c r="C44" s="1"/>
  <c r="B15"/>
  <c r="M15" s="1"/>
  <c r="R15" s="1"/>
  <c r="P14"/>
  <c r="U14" s="1"/>
  <c r="K14"/>
  <c r="K43" s="1"/>
  <c r="J14"/>
  <c r="J43" s="1"/>
  <c r="I14"/>
  <c r="H14"/>
  <c r="H43" s="1"/>
  <c r="P43" s="1"/>
  <c r="U43" s="1"/>
  <c r="G14"/>
  <c r="G43" s="1"/>
  <c r="F14"/>
  <c r="F43" s="1"/>
  <c r="O43" s="1"/>
  <c r="T43" s="1"/>
  <c r="E14"/>
  <c r="E43" s="1"/>
  <c r="D14"/>
  <c r="D43" s="1"/>
  <c r="C14"/>
  <c r="C43" s="1"/>
  <c r="B14"/>
  <c r="B43" s="1"/>
  <c r="P13"/>
  <c r="U13" s="1"/>
  <c r="K13"/>
  <c r="K42" s="1"/>
  <c r="J13"/>
  <c r="J42" s="1"/>
  <c r="Q42" s="1"/>
  <c r="V42" s="1"/>
  <c r="I13"/>
  <c r="I42" s="1"/>
  <c r="H13"/>
  <c r="H42" s="1"/>
  <c r="G13"/>
  <c r="G42" s="1"/>
  <c r="F13"/>
  <c r="F42" s="1"/>
  <c r="O42" s="1"/>
  <c r="T42" s="1"/>
  <c r="E13"/>
  <c r="D13"/>
  <c r="N13" s="1"/>
  <c r="S13" s="1"/>
  <c r="C13"/>
  <c r="C42" s="1"/>
  <c r="B13"/>
  <c r="M13" s="1"/>
  <c r="R13" s="1"/>
  <c r="P12"/>
  <c r="U12" s="1"/>
  <c r="K41"/>
  <c r="J41"/>
  <c r="H41"/>
  <c r="P41" s="1"/>
  <c r="U41" s="1"/>
  <c r="G41"/>
  <c r="F41"/>
  <c r="E41"/>
  <c r="D41"/>
  <c r="N41" s="1"/>
  <c r="S41" s="1"/>
  <c r="C41"/>
  <c r="B41"/>
  <c r="P11"/>
  <c r="U11" s="1"/>
  <c r="K11"/>
  <c r="K40" s="1"/>
  <c r="J11"/>
  <c r="J40" s="1"/>
  <c r="Q40" s="1"/>
  <c r="V40" s="1"/>
  <c r="I11"/>
  <c r="I40" s="1"/>
  <c r="H11"/>
  <c r="H40" s="1"/>
  <c r="P40" s="1"/>
  <c r="U40" s="1"/>
  <c r="G11"/>
  <c r="G40" s="1"/>
  <c r="F11"/>
  <c r="F40" s="1"/>
  <c r="E11"/>
  <c r="D11"/>
  <c r="N11" s="1"/>
  <c r="S11" s="1"/>
  <c r="C11"/>
  <c r="C40" s="1"/>
  <c r="B11"/>
  <c r="M11" s="1"/>
  <c r="R11" s="1"/>
  <c r="P10"/>
  <c r="U10" s="1"/>
  <c r="K10"/>
  <c r="K39" s="1"/>
  <c r="J10"/>
  <c r="J39" s="1"/>
  <c r="Q39" s="1"/>
  <c r="V39" s="1"/>
  <c r="I10"/>
  <c r="H10"/>
  <c r="H39" s="1"/>
  <c r="P39" s="1"/>
  <c r="U39" s="1"/>
  <c r="G10"/>
  <c r="G39" s="1"/>
  <c r="F10"/>
  <c r="F39" s="1"/>
  <c r="E39"/>
  <c r="D39"/>
  <c r="C10"/>
  <c r="C39" s="1"/>
  <c r="B10"/>
  <c r="B39" s="1"/>
  <c r="M39" s="1"/>
  <c r="R39" s="1"/>
  <c r="P9"/>
  <c r="U9" s="1"/>
  <c r="K9"/>
  <c r="K38" s="1"/>
  <c r="J9"/>
  <c r="J38" s="1"/>
  <c r="Q38" s="1"/>
  <c r="V38" s="1"/>
  <c r="I9"/>
  <c r="I38" s="1"/>
  <c r="H9"/>
  <c r="H38" s="1"/>
  <c r="P38" s="1"/>
  <c r="U38" s="1"/>
  <c r="G9"/>
  <c r="G38" s="1"/>
  <c r="F9"/>
  <c r="F38" s="1"/>
  <c r="O38" s="1"/>
  <c r="T38" s="1"/>
  <c r="E9"/>
  <c r="D9"/>
  <c r="N9" s="1"/>
  <c r="S9" s="1"/>
  <c r="C9"/>
  <c r="C38" s="1"/>
  <c r="B9"/>
  <c r="M9" s="1"/>
  <c r="R9" s="1"/>
  <c r="P8"/>
  <c r="U8" s="1"/>
  <c r="K8"/>
  <c r="K37" s="1"/>
  <c r="J8"/>
  <c r="J37" s="1"/>
  <c r="I8"/>
  <c r="H8"/>
  <c r="H37" s="1"/>
  <c r="P37" s="1"/>
  <c r="U37" s="1"/>
  <c r="G8"/>
  <c r="G37" s="1"/>
  <c r="F8"/>
  <c r="F37" s="1"/>
  <c r="E8"/>
  <c r="E37" s="1"/>
  <c r="D8"/>
  <c r="D37" s="1"/>
  <c r="C8"/>
  <c r="C37" s="1"/>
  <c r="B8"/>
  <c r="B37" s="1"/>
  <c r="P7"/>
  <c r="U7" s="1"/>
  <c r="K7"/>
  <c r="K36" s="1"/>
  <c r="J7"/>
  <c r="J36" s="1"/>
  <c r="I7"/>
  <c r="I36" s="1"/>
  <c r="H7"/>
  <c r="H36" s="1"/>
  <c r="P36" s="1"/>
  <c r="U36" s="1"/>
  <c r="G7"/>
  <c r="G36" s="1"/>
  <c r="F7"/>
  <c r="F36" s="1"/>
  <c r="O36" s="1"/>
  <c r="T36" s="1"/>
  <c r="E7"/>
  <c r="D7"/>
  <c r="N7" s="1"/>
  <c r="S7" s="1"/>
  <c r="C7"/>
  <c r="C36" s="1"/>
  <c r="B7"/>
  <c r="M7" s="1"/>
  <c r="R7" s="1"/>
  <c r="P6"/>
  <c r="U6" s="1"/>
  <c r="K6"/>
  <c r="K35" s="1"/>
  <c r="J6"/>
  <c r="J35" s="1"/>
  <c r="I6"/>
  <c r="H6"/>
  <c r="H35" s="1"/>
  <c r="P35" s="1"/>
  <c r="U35" s="1"/>
  <c r="G6"/>
  <c r="G35" s="1"/>
  <c r="F6"/>
  <c r="F35" s="1"/>
  <c r="O35" s="1"/>
  <c r="T35" s="1"/>
  <c r="E6"/>
  <c r="E35" s="1"/>
  <c r="D6"/>
  <c r="D35" s="1"/>
  <c r="C6"/>
  <c r="C35" s="1"/>
  <c r="B6"/>
  <c r="B35" s="1"/>
  <c r="P5"/>
  <c r="U5" s="1"/>
  <c r="K5"/>
  <c r="K34" s="1"/>
  <c r="J5"/>
  <c r="J34" s="1"/>
  <c r="Q34" s="1"/>
  <c r="V34" s="1"/>
  <c r="I5"/>
  <c r="I34" s="1"/>
  <c r="H5"/>
  <c r="H34" s="1"/>
  <c r="G5"/>
  <c r="G34" s="1"/>
  <c r="F5"/>
  <c r="F34" s="1"/>
  <c r="O34" s="1"/>
  <c r="T34" s="1"/>
  <c r="E5"/>
  <c r="D5"/>
  <c r="N5" s="1"/>
  <c r="S5" s="1"/>
  <c r="C5"/>
  <c r="C34" s="1"/>
  <c r="B5"/>
  <c r="M5" s="1"/>
  <c r="R5" s="1"/>
  <c r="P4"/>
  <c r="U4" s="1"/>
  <c r="K4"/>
  <c r="K33" s="1"/>
  <c r="J4"/>
  <c r="J33" s="1"/>
  <c r="I4"/>
  <c r="H4"/>
  <c r="H33" s="1"/>
  <c r="P33" s="1"/>
  <c r="U33" s="1"/>
  <c r="G4"/>
  <c r="G33" s="1"/>
  <c r="F4"/>
  <c r="F33" s="1"/>
  <c r="E4"/>
  <c r="E33" s="1"/>
  <c r="D4"/>
  <c r="D33" s="1"/>
  <c r="N33" s="1"/>
  <c r="S33" s="1"/>
  <c r="C4"/>
  <c r="C33" s="1"/>
  <c r="B4"/>
  <c r="B33" s="1"/>
  <c r="P3"/>
  <c r="U3" s="1"/>
  <c r="K3"/>
  <c r="K32" s="1"/>
  <c r="J3"/>
  <c r="J32" s="1"/>
  <c r="Q32" s="1"/>
  <c r="V32" s="1"/>
  <c r="I3"/>
  <c r="I32" s="1"/>
  <c r="H3"/>
  <c r="H32" s="1"/>
  <c r="P32" s="1"/>
  <c r="U32" s="1"/>
  <c r="G3"/>
  <c r="G32" s="1"/>
  <c r="F3"/>
  <c r="F32" s="1"/>
  <c r="E3"/>
  <c r="D3"/>
  <c r="N3" s="1"/>
  <c r="S3" s="1"/>
  <c r="C3"/>
  <c r="C32" s="1"/>
  <c r="B3"/>
  <c r="M3" s="1"/>
  <c r="R3" s="1"/>
  <c r="P2"/>
  <c r="U2" s="1"/>
  <c r="K31"/>
  <c r="J31"/>
  <c r="Q31" s="1"/>
  <c r="V31" s="1"/>
  <c r="H31"/>
  <c r="P31" s="1"/>
  <c r="U31" s="1"/>
  <c r="G31"/>
  <c r="F31"/>
  <c r="E31"/>
  <c r="D31"/>
  <c r="C31"/>
  <c r="B31"/>
  <c r="B19" i="10"/>
  <c r="C19"/>
  <c r="B2"/>
  <c r="C2"/>
  <c r="D19"/>
  <c r="E19"/>
  <c r="F19"/>
  <c r="G19"/>
  <c r="H19"/>
  <c r="I19"/>
  <c r="J19"/>
  <c r="K19"/>
  <c r="D16"/>
  <c r="E16"/>
  <c r="F16"/>
  <c r="G16"/>
  <c r="H16"/>
  <c r="I16"/>
  <c r="J16"/>
  <c r="K16"/>
  <c r="D2"/>
  <c r="E2"/>
  <c r="F2"/>
  <c r="G2"/>
  <c r="H2"/>
  <c r="I2"/>
  <c r="J2"/>
  <c r="K2"/>
  <c r="Q32"/>
  <c r="Q33"/>
  <c r="Q34"/>
  <c r="Q35"/>
  <c r="Q36"/>
  <c r="Q37"/>
  <c r="Q38"/>
  <c r="Q39"/>
  <c r="Q40"/>
  <c r="Q41"/>
  <c r="Q42"/>
  <c r="Q43"/>
  <c r="Q44"/>
  <c r="Q46"/>
  <c r="Q47"/>
  <c r="Q49"/>
  <c r="Q50"/>
  <c r="Q51"/>
  <c r="Q52"/>
  <c r="P32"/>
  <c r="P33"/>
  <c r="P34"/>
  <c r="P35"/>
  <c r="P36"/>
  <c r="P37"/>
  <c r="P38"/>
  <c r="P39"/>
  <c r="P40"/>
  <c r="P41"/>
  <c r="P42"/>
  <c r="P43"/>
  <c r="P44"/>
  <c r="P46"/>
  <c r="P47"/>
  <c r="P49"/>
  <c r="P50"/>
  <c r="P51"/>
  <c r="P52"/>
  <c r="O32"/>
  <c r="O33"/>
  <c r="O34"/>
  <c r="O35"/>
  <c r="O36"/>
  <c r="O37"/>
  <c r="O38"/>
  <c r="O39"/>
  <c r="O40"/>
  <c r="O41"/>
  <c r="O42"/>
  <c r="O43"/>
  <c r="O44"/>
  <c r="O46"/>
  <c r="O47"/>
  <c r="O49"/>
  <c r="O50"/>
  <c r="O51"/>
  <c r="O52"/>
  <c r="N32"/>
  <c r="N33"/>
  <c r="N34"/>
  <c r="N35"/>
  <c r="N36"/>
  <c r="N37"/>
  <c r="N38"/>
  <c r="N39"/>
  <c r="S39" s="1"/>
  <c r="N40"/>
  <c r="N41"/>
  <c r="N42"/>
  <c r="N43"/>
  <c r="N44"/>
  <c r="N46"/>
  <c r="N47"/>
  <c r="S47" s="1"/>
  <c r="N49"/>
  <c r="N50"/>
  <c r="N51"/>
  <c r="N52"/>
  <c r="S33"/>
  <c r="T33"/>
  <c r="S35"/>
  <c r="T35"/>
  <c r="S37"/>
  <c r="T39"/>
  <c r="S41"/>
  <c r="T41"/>
  <c r="S43"/>
  <c r="T43"/>
  <c r="S49"/>
  <c r="T49"/>
  <c r="S51"/>
  <c r="T51"/>
  <c r="U51"/>
  <c r="M32"/>
  <c r="M33"/>
  <c r="M34"/>
  <c r="M35"/>
  <c r="M36"/>
  <c r="M37"/>
  <c r="M38"/>
  <c r="M39"/>
  <c r="M40"/>
  <c r="M41"/>
  <c r="M42"/>
  <c r="M43"/>
  <c r="M44"/>
  <c r="M46"/>
  <c r="M47"/>
  <c r="M49"/>
  <c r="M50"/>
  <c r="M51"/>
  <c r="M52"/>
  <c r="V52"/>
  <c r="U52"/>
  <c r="T52"/>
  <c r="S52"/>
  <c r="R52"/>
  <c r="V51"/>
  <c r="R51"/>
  <c r="R50"/>
  <c r="V50"/>
  <c r="U50"/>
  <c r="T50"/>
  <c r="S50"/>
  <c r="R49"/>
  <c r="V49"/>
  <c r="U49"/>
  <c r="V47"/>
  <c r="U47"/>
  <c r="T47"/>
  <c r="R47"/>
  <c r="R46"/>
  <c r="V46"/>
  <c r="U46"/>
  <c r="T46"/>
  <c r="S46"/>
  <c r="V44"/>
  <c r="U44"/>
  <c r="T44"/>
  <c r="S44"/>
  <c r="R44"/>
  <c r="V43"/>
  <c r="U43"/>
  <c r="R43"/>
  <c r="R42"/>
  <c r="V42"/>
  <c r="U42"/>
  <c r="T42"/>
  <c r="S42"/>
  <c r="R41"/>
  <c r="V41"/>
  <c r="U41"/>
  <c r="V40"/>
  <c r="U40"/>
  <c r="T40"/>
  <c r="S40"/>
  <c r="R40"/>
  <c r="V39"/>
  <c r="U39"/>
  <c r="R39"/>
  <c r="R38"/>
  <c r="V38"/>
  <c r="U38"/>
  <c r="T38"/>
  <c r="S38"/>
  <c r="T37"/>
  <c r="R37"/>
  <c r="V37"/>
  <c r="U37"/>
  <c r="V36"/>
  <c r="U36"/>
  <c r="T36"/>
  <c r="S36"/>
  <c r="R36"/>
  <c r="V35"/>
  <c r="U35"/>
  <c r="R35"/>
  <c r="R34"/>
  <c r="V34"/>
  <c r="U34"/>
  <c r="T34"/>
  <c r="S34"/>
  <c r="R33"/>
  <c r="V33"/>
  <c r="U33"/>
  <c r="V32"/>
  <c r="U32"/>
  <c r="T32"/>
  <c r="S32"/>
  <c r="R32"/>
  <c r="E32"/>
  <c r="F32"/>
  <c r="G32"/>
  <c r="H32"/>
  <c r="I32"/>
  <c r="J32"/>
  <c r="K32"/>
  <c r="E33"/>
  <c r="F33"/>
  <c r="G33"/>
  <c r="H33"/>
  <c r="I33"/>
  <c r="J33"/>
  <c r="K33"/>
  <c r="E34"/>
  <c r="F34"/>
  <c r="G34"/>
  <c r="H34"/>
  <c r="I34"/>
  <c r="J34"/>
  <c r="K34"/>
  <c r="E35"/>
  <c r="F35"/>
  <c r="G35"/>
  <c r="H35"/>
  <c r="I35"/>
  <c r="J35"/>
  <c r="K35"/>
  <c r="E36"/>
  <c r="F36"/>
  <c r="G36"/>
  <c r="H36"/>
  <c r="I36"/>
  <c r="J36"/>
  <c r="K36"/>
  <c r="E37"/>
  <c r="F37"/>
  <c r="G37"/>
  <c r="H37"/>
  <c r="I37"/>
  <c r="J37"/>
  <c r="K37"/>
  <c r="E38"/>
  <c r="F38"/>
  <c r="G38"/>
  <c r="H38"/>
  <c r="I38"/>
  <c r="J38"/>
  <c r="K38"/>
  <c r="E39"/>
  <c r="F39"/>
  <c r="G39"/>
  <c r="H39"/>
  <c r="I39"/>
  <c r="J39"/>
  <c r="K39"/>
  <c r="E40"/>
  <c r="F40"/>
  <c r="G40"/>
  <c r="H40"/>
  <c r="I40"/>
  <c r="J40"/>
  <c r="K40"/>
  <c r="E41"/>
  <c r="F41"/>
  <c r="G41"/>
  <c r="H41"/>
  <c r="I41"/>
  <c r="J41"/>
  <c r="K41"/>
  <c r="E42"/>
  <c r="F42"/>
  <c r="G42"/>
  <c r="H42"/>
  <c r="I42"/>
  <c r="J42"/>
  <c r="K42"/>
  <c r="E43"/>
  <c r="F43"/>
  <c r="G43"/>
  <c r="H43"/>
  <c r="I43"/>
  <c r="J43"/>
  <c r="K43"/>
  <c r="E44"/>
  <c r="F44"/>
  <c r="G44"/>
  <c r="H44"/>
  <c r="I44"/>
  <c r="J44"/>
  <c r="K44"/>
  <c r="E45"/>
  <c r="F45"/>
  <c r="O45" s="1"/>
  <c r="T45" s="1"/>
  <c r="G45"/>
  <c r="H45"/>
  <c r="P45" s="1"/>
  <c r="U45" s="1"/>
  <c r="I45"/>
  <c r="J45"/>
  <c r="Q45" s="1"/>
  <c r="V45" s="1"/>
  <c r="K45"/>
  <c r="E46"/>
  <c r="F46"/>
  <c r="G46"/>
  <c r="H46"/>
  <c r="I46"/>
  <c r="J46"/>
  <c r="K46"/>
  <c r="E47"/>
  <c r="F47"/>
  <c r="G47"/>
  <c r="H47"/>
  <c r="I47"/>
  <c r="J47"/>
  <c r="K47"/>
  <c r="E48"/>
  <c r="F48"/>
  <c r="O48" s="1"/>
  <c r="T48" s="1"/>
  <c r="G48"/>
  <c r="H48"/>
  <c r="P48" s="1"/>
  <c r="U48" s="1"/>
  <c r="I48"/>
  <c r="J48"/>
  <c r="Q48" s="1"/>
  <c r="V48" s="1"/>
  <c r="K48"/>
  <c r="E49"/>
  <c r="F49"/>
  <c r="G49"/>
  <c r="H49"/>
  <c r="I49"/>
  <c r="J49"/>
  <c r="K49"/>
  <c r="E50"/>
  <c r="F50"/>
  <c r="G50"/>
  <c r="H50"/>
  <c r="I50"/>
  <c r="J50"/>
  <c r="K50"/>
  <c r="E51"/>
  <c r="F51"/>
  <c r="G51"/>
  <c r="H51"/>
  <c r="I51"/>
  <c r="J51"/>
  <c r="K51"/>
  <c r="E52"/>
  <c r="F52"/>
  <c r="G52"/>
  <c r="H52"/>
  <c r="I52"/>
  <c r="J52"/>
  <c r="K52"/>
  <c r="D32"/>
  <c r="D33"/>
  <c r="D34"/>
  <c r="D35"/>
  <c r="D36"/>
  <c r="D37"/>
  <c r="D38"/>
  <c r="D39"/>
  <c r="D40"/>
  <c r="D41"/>
  <c r="D42"/>
  <c r="D43"/>
  <c r="D44"/>
  <c r="D45"/>
  <c r="N45" s="1"/>
  <c r="S45" s="1"/>
  <c r="D46"/>
  <c r="D47"/>
  <c r="D48"/>
  <c r="N48" s="1"/>
  <c r="S48" s="1"/>
  <c r="D49"/>
  <c r="D50"/>
  <c r="D51"/>
  <c r="D52"/>
  <c r="D31"/>
  <c r="N31" s="1"/>
  <c r="S31" s="1"/>
  <c r="E31"/>
  <c r="F31"/>
  <c r="O31" s="1"/>
  <c r="T31" s="1"/>
  <c r="G31"/>
  <c r="H31"/>
  <c r="P31" s="1"/>
  <c r="U31" s="1"/>
  <c r="I31"/>
  <c r="J31"/>
  <c r="Q31" s="1"/>
  <c r="V31" s="1"/>
  <c r="K31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M48" s="1"/>
  <c r="R48" s="1"/>
  <c r="C49"/>
  <c r="C50"/>
  <c r="C51"/>
  <c r="C52"/>
  <c r="B31"/>
  <c r="M31" s="1"/>
  <c r="R31" s="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M31" i="11" l="1"/>
  <c r="R31" s="1"/>
  <c r="O31"/>
  <c r="T31" s="1"/>
  <c r="M35"/>
  <c r="R35" s="1"/>
  <c r="Q35"/>
  <c r="V35" s="1"/>
  <c r="N37"/>
  <c r="S37" s="1"/>
  <c r="O39"/>
  <c r="T39" s="1"/>
  <c r="M43"/>
  <c r="R43" s="1"/>
  <c r="Q43"/>
  <c r="V43" s="1"/>
  <c r="N45"/>
  <c r="S45" s="1"/>
  <c r="O47"/>
  <c r="T47" s="1"/>
  <c r="M51"/>
  <c r="R51" s="1"/>
  <c r="Q51"/>
  <c r="V51" s="1"/>
  <c r="N31"/>
  <c r="S31" s="1"/>
  <c r="O33"/>
  <c r="T33" s="1"/>
  <c r="M37"/>
  <c r="R37" s="1"/>
  <c r="Q37"/>
  <c r="V37" s="1"/>
  <c r="N39"/>
  <c r="S39" s="1"/>
  <c r="O41"/>
  <c r="T41" s="1"/>
  <c r="M45"/>
  <c r="R45" s="1"/>
  <c r="Q45"/>
  <c r="V45" s="1"/>
  <c r="N47"/>
  <c r="S47" s="1"/>
  <c r="O49"/>
  <c r="T49" s="1"/>
  <c r="O32"/>
  <c r="T32" s="1"/>
  <c r="P34"/>
  <c r="U34" s="1"/>
  <c r="Q36"/>
  <c r="V36" s="1"/>
  <c r="O40"/>
  <c r="T40" s="1"/>
  <c r="P42"/>
  <c r="U42" s="1"/>
  <c r="Q44"/>
  <c r="V44" s="1"/>
  <c r="O48"/>
  <c r="T48" s="1"/>
  <c r="P50"/>
  <c r="U50" s="1"/>
  <c r="Q52"/>
  <c r="V52" s="1"/>
  <c r="M33"/>
  <c r="R33" s="1"/>
  <c r="Q33"/>
  <c r="V33" s="1"/>
  <c r="N35"/>
  <c r="S35" s="1"/>
  <c r="O37"/>
  <c r="T37" s="1"/>
  <c r="M41"/>
  <c r="R41" s="1"/>
  <c r="Q41"/>
  <c r="V41" s="1"/>
  <c r="N43"/>
  <c r="S43" s="1"/>
  <c r="O45"/>
  <c r="T45" s="1"/>
  <c r="M49"/>
  <c r="R49" s="1"/>
  <c r="Q49"/>
  <c r="V49" s="1"/>
  <c r="N51"/>
  <c r="S51" s="1"/>
  <c r="O2"/>
  <c r="T2" s="1"/>
  <c r="O4"/>
  <c r="T4" s="1"/>
  <c r="O6"/>
  <c r="T6" s="1"/>
  <c r="O8"/>
  <c r="T8" s="1"/>
  <c r="O10"/>
  <c r="T10" s="1"/>
  <c r="O12"/>
  <c r="T12" s="1"/>
  <c r="O14"/>
  <c r="T14" s="1"/>
  <c r="O16"/>
  <c r="T16" s="1"/>
  <c r="O18"/>
  <c r="T18" s="1"/>
  <c r="O20"/>
  <c r="T20" s="1"/>
  <c r="O22"/>
  <c r="T22" s="1"/>
  <c r="D32"/>
  <c r="N32" s="1"/>
  <c r="S32" s="1"/>
  <c r="D34"/>
  <c r="N34" s="1"/>
  <c r="S34" s="1"/>
  <c r="D36"/>
  <c r="N36" s="1"/>
  <c r="S36" s="1"/>
  <c r="D38"/>
  <c r="N38" s="1"/>
  <c r="S38" s="1"/>
  <c r="D40"/>
  <c r="N40" s="1"/>
  <c r="S40" s="1"/>
  <c r="D42"/>
  <c r="N42" s="1"/>
  <c r="S42" s="1"/>
  <c r="D44"/>
  <c r="N44" s="1"/>
  <c r="S44" s="1"/>
  <c r="D46"/>
  <c r="N46" s="1"/>
  <c r="S46" s="1"/>
  <c r="N48"/>
  <c r="S48" s="1"/>
  <c r="D50"/>
  <c r="N50" s="1"/>
  <c r="S50" s="1"/>
  <c r="D52"/>
  <c r="N52" s="1"/>
  <c r="S52" s="1"/>
  <c r="N2"/>
  <c r="S2" s="1"/>
  <c r="N4"/>
  <c r="S4" s="1"/>
  <c r="N6"/>
  <c r="S6" s="1"/>
  <c r="N8"/>
  <c r="S8" s="1"/>
  <c r="S10"/>
  <c r="N12"/>
  <c r="S12" s="1"/>
  <c r="N14"/>
  <c r="S14" s="1"/>
  <c r="N16"/>
  <c r="S16" s="1"/>
  <c r="N18"/>
  <c r="S18" s="1"/>
  <c r="N20"/>
  <c r="S20" s="1"/>
  <c r="N22"/>
  <c r="S22" s="1"/>
  <c r="M2"/>
  <c r="R2" s="1"/>
  <c r="Q3"/>
  <c r="V3" s="1"/>
  <c r="M4"/>
  <c r="R4" s="1"/>
  <c r="Q5"/>
  <c r="V5" s="1"/>
  <c r="M6"/>
  <c r="R6" s="1"/>
  <c r="Q7"/>
  <c r="V7" s="1"/>
  <c r="M8"/>
  <c r="R8" s="1"/>
  <c r="Q9"/>
  <c r="V9" s="1"/>
  <c r="M10"/>
  <c r="R10" s="1"/>
  <c r="Q11"/>
  <c r="V11" s="1"/>
  <c r="M12"/>
  <c r="R12" s="1"/>
  <c r="Q13"/>
  <c r="V13" s="1"/>
  <c r="M14"/>
  <c r="R14" s="1"/>
  <c r="Q15"/>
  <c r="V15" s="1"/>
  <c r="M16"/>
  <c r="R16" s="1"/>
  <c r="Q17"/>
  <c r="V17" s="1"/>
  <c r="M18"/>
  <c r="R18" s="1"/>
  <c r="Q19"/>
  <c r="V19" s="1"/>
  <c r="M20"/>
  <c r="R20" s="1"/>
  <c r="Q21"/>
  <c r="V21" s="1"/>
  <c r="M22"/>
  <c r="R22" s="1"/>
  <c r="Q23"/>
  <c r="V23" s="1"/>
  <c r="B32"/>
  <c r="M32" s="1"/>
  <c r="R32" s="1"/>
  <c r="B34"/>
  <c r="M34" s="1"/>
  <c r="R34" s="1"/>
  <c r="B36"/>
  <c r="M36" s="1"/>
  <c r="R36" s="1"/>
  <c r="B38"/>
  <c r="M38" s="1"/>
  <c r="R38" s="1"/>
  <c r="B40"/>
  <c r="M40" s="1"/>
  <c r="R40" s="1"/>
  <c r="B42"/>
  <c r="M42" s="1"/>
  <c r="R42" s="1"/>
  <c r="B44"/>
  <c r="M44" s="1"/>
  <c r="R44" s="1"/>
  <c r="B46"/>
  <c r="M46" s="1"/>
  <c r="R46" s="1"/>
  <c r="M48"/>
  <c r="R48" s="1"/>
  <c r="B50"/>
  <c r="M50" s="1"/>
  <c r="R50" s="1"/>
  <c r="B52"/>
  <c r="M52" s="1"/>
  <c r="R52" s="1"/>
  <c r="O3"/>
  <c r="T3" s="1"/>
  <c r="O5"/>
  <c r="T5" s="1"/>
  <c r="O7"/>
  <c r="T7" s="1"/>
  <c r="O9"/>
  <c r="T9" s="1"/>
  <c r="O11"/>
  <c r="T11" s="1"/>
  <c r="O13"/>
  <c r="T13" s="1"/>
  <c r="O15"/>
  <c r="T15" s="1"/>
  <c r="O17"/>
  <c r="T17" s="1"/>
  <c r="O19"/>
  <c r="T19" s="1"/>
  <c r="O21"/>
  <c r="T21" s="1"/>
  <c r="O23"/>
  <c r="T23" s="1"/>
  <c r="Q2"/>
  <c r="V2" s="1"/>
  <c r="Q4"/>
  <c r="V4" s="1"/>
  <c r="Q6"/>
  <c r="V6" s="1"/>
  <c r="Q8"/>
  <c r="V8" s="1"/>
  <c r="Q10"/>
  <c r="V10" s="1"/>
  <c r="Q12"/>
  <c r="V12" s="1"/>
  <c r="Q14"/>
  <c r="V14" s="1"/>
  <c r="Q16"/>
  <c r="V16" s="1"/>
  <c r="Q18"/>
  <c r="V18" s="1"/>
  <c r="Q20"/>
  <c r="V20" s="1"/>
  <c r="Q22"/>
  <c r="V22" s="1"/>
  <c r="M45" i="10"/>
  <c r="R45" s="1"/>
  <c r="P27" l="1"/>
  <c r="O27"/>
  <c r="N27"/>
  <c r="P26"/>
  <c r="O26"/>
  <c r="N26"/>
  <c r="K23"/>
  <c r="J23"/>
  <c r="I23"/>
  <c r="H23"/>
  <c r="G23"/>
  <c r="F23"/>
  <c r="E23"/>
  <c r="D23"/>
  <c r="C23"/>
  <c r="B23"/>
  <c r="K22"/>
  <c r="J22"/>
  <c r="I22"/>
  <c r="H22"/>
  <c r="G22"/>
  <c r="F22"/>
  <c r="E22"/>
  <c r="D22"/>
  <c r="C22"/>
  <c r="B22"/>
  <c r="K21"/>
  <c r="J21"/>
  <c r="I21"/>
  <c r="H21"/>
  <c r="G21"/>
  <c r="F21"/>
  <c r="E21"/>
  <c r="D21"/>
  <c r="C21"/>
  <c r="B21"/>
  <c r="K20"/>
  <c r="J20"/>
  <c r="I20"/>
  <c r="H20"/>
  <c r="G20"/>
  <c r="F20"/>
  <c r="E20"/>
  <c r="D20"/>
  <c r="C20"/>
  <c r="B20"/>
  <c r="K18"/>
  <c r="J18"/>
  <c r="I18"/>
  <c r="H18"/>
  <c r="G18"/>
  <c r="F18"/>
  <c r="E18"/>
  <c r="D18"/>
  <c r="C18"/>
  <c r="B18"/>
  <c r="K17"/>
  <c r="J17"/>
  <c r="I17"/>
  <c r="H17"/>
  <c r="G17"/>
  <c r="F17"/>
  <c r="E17"/>
  <c r="D17"/>
  <c r="C17"/>
  <c r="B17"/>
  <c r="K15"/>
  <c r="J15"/>
  <c r="I15"/>
  <c r="H15"/>
  <c r="G15"/>
  <c r="F15"/>
  <c r="E15"/>
  <c r="D15"/>
  <c r="C15"/>
  <c r="B15"/>
  <c r="K14"/>
  <c r="J14"/>
  <c r="I14"/>
  <c r="H14"/>
  <c r="G14"/>
  <c r="F14"/>
  <c r="E14"/>
  <c r="D14"/>
  <c r="C14"/>
  <c r="B14"/>
  <c r="K13"/>
  <c r="J13"/>
  <c r="I13"/>
  <c r="H13"/>
  <c r="G13"/>
  <c r="F13"/>
  <c r="E13"/>
  <c r="D13"/>
  <c r="C13"/>
  <c r="B13"/>
  <c r="K12"/>
  <c r="J12"/>
  <c r="I12"/>
  <c r="H12"/>
  <c r="G12"/>
  <c r="F12"/>
  <c r="E12"/>
  <c r="D12"/>
  <c r="C12"/>
  <c r="B12"/>
  <c r="K11"/>
  <c r="J11"/>
  <c r="I11"/>
  <c r="H11"/>
  <c r="G11"/>
  <c r="F11"/>
  <c r="E11"/>
  <c r="D11"/>
  <c r="C11"/>
  <c r="B11"/>
  <c r="K10"/>
  <c r="J10"/>
  <c r="I10"/>
  <c r="H10"/>
  <c r="G10"/>
  <c r="F10"/>
  <c r="E10"/>
  <c r="D10"/>
  <c r="C10"/>
  <c r="B10"/>
  <c r="K9"/>
  <c r="J9"/>
  <c r="I9"/>
  <c r="H9"/>
  <c r="G9"/>
  <c r="F9"/>
  <c r="E9"/>
  <c r="D9"/>
  <c r="C9"/>
  <c r="B9"/>
  <c r="K8"/>
  <c r="J8"/>
  <c r="I8"/>
  <c r="H8"/>
  <c r="G8"/>
  <c r="F8"/>
  <c r="E8"/>
  <c r="D8"/>
  <c r="C8"/>
  <c r="B8"/>
  <c r="K7"/>
  <c r="J7"/>
  <c r="I7"/>
  <c r="H7"/>
  <c r="G7"/>
  <c r="F7"/>
  <c r="E7"/>
  <c r="D7"/>
  <c r="C7"/>
  <c r="B7"/>
  <c r="K6"/>
  <c r="J6"/>
  <c r="I6"/>
  <c r="H6"/>
  <c r="G6"/>
  <c r="F6"/>
  <c r="E6"/>
  <c r="D6"/>
  <c r="C6"/>
  <c r="B6"/>
  <c r="K5"/>
  <c r="J5"/>
  <c r="I5"/>
  <c r="H5"/>
  <c r="G5"/>
  <c r="F5"/>
  <c r="E5"/>
  <c r="D5"/>
  <c r="C5"/>
  <c r="B5"/>
  <c r="K4"/>
  <c r="J4"/>
  <c r="I4"/>
  <c r="H4"/>
  <c r="G4"/>
  <c r="F4"/>
  <c r="E4"/>
  <c r="D4"/>
  <c r="C4"/>
  <c r="B4"/>
  <c r="K3"/>
  <c r="J3"/>
  <c r="I3"/>
  <c r="H3"/>
  <c r="G3"/>
  <c r="F3"/>
  <c r="E3"/>
  <c r="D3"/>
  <c r="C3"/>
  <c r="B3"/>
  <c r="N27" i="2"/>
  <c r="O27"/>
  <c r="N22"/>
  <c r="O22"/>
  <c r="N23"/>
  <c r="O23"/>
  <c r="N24"/>
  <c r="O24"/>
  <c r="N25"/>
  <c r="O25"/>
  <c r="N26"/>
  <c r="O26"/>
  <c r="N21"/>
  <c r="O21"/>
  <c r="O3"/>
  <c r="O4"/>
  <c r="O5"/>
  <c r="O6"/>
  <c r="O7"/>
  <c r="O8"/>
  <c r="O9"/>
  <c r="O10"/>
  <c r="O11"/>
  <c r="O12"/>
  <c r="O13"/>
  <c r="O14"/>
  <c r="O15"/>
  <c r="O16"/>
  <c r="O17"/>
  <c r="O18"/>
  <c r="O19"/>
  <c r="O20"/>
  <c r="O2"/>
  <c r="W15"/>
  <c r="W14"/>
  <c r="V15"/>
  <c r="V14"/>
  <c r="U15"/>
  <c r="U14"/>
  <c r="V3" i="1"/>
  <c r="V4"/>
  <c r="V5"/>
  <c r="V6"/>
  <c r="V7"/>
  <c r="V8"/>
  <c r="V9"/>
  <c r="V10"/>
  <c r="V11"/>
  <c r="V12"/>
  <c r="V13"/>
  <c r="V14"/>
  <c r="V15"/>
  <c r="V16"/>
  <c r="V17"/>
  <c r="V18"/>
  <c r="V2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"/>
  <c r="U3" i="1"/>
  <c r="U4"/>
  <c r="U5"/>
  <c r="U6"/>
  <c r="U7"/>
  <c r="U8"/>
  <c r="U9"/>
  <c r="U10"/>
  <c r="U11"/>
  <c r="U12"/>
  <c r="U13"/>
  <c r="U14"/>
  <c r="U15"/>
  <c r="U16"/>
  <c r="U17"/>
  <c r="U18"/>
  <c r="U2"/>
  <c r="K2" i="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Q2" i="10" l="1"/>
  <c r="V2" s="1"/>
  <c r="Q3"/>
  <c r="V3" s="1"/>
  <c r="M20"/>
  <c r="R20" s="1"/>
  <c r="M12"/>
  <c r="R12" s="1"/>
  <c r="M4"/>
  <c r="R4" s="1"/>
  <c r="N18"/>
  <c r="S18" s="1"/>
  <c r="N10"/>
  <c r="S10" s="1"/>
  <c r="N2"/>
  <c r="S2" s="1"/>
  <c r="O16"/>
  <c r="T16" s="1"/>
  <c r="O8"/>
  <c r="T8" s="1"/>
  <c r="P22"/>
  <c r="U22" s="1"/>
  <c r="P14"/>
  <c r="U14" s="1"/>
  <c r="P6"/>
  <c r="U6" s="1"/>
  <c r="Q20"/>
  <c r="V20" s="1"/>
  <c r="Q12"/>
  <c r="V12" s="1"/>
  <c r="Q4"/>
  <c r="V4" s="1"/>
  <c r="M21"/>
  <c r="R21" s="1"/>
  <c r="M13"/>
  <c r="R13" s="1"/>
  <c r="M5"/>
  <c r="R5" s="1"/>
  <c r="N19"/>
  <c r="S19" s="1"/>
  <c r="O17"/>
  <c r="T17" s="1"/>
  <c r="O9"/>
  <c r="T9" s="1"/>
  <c r="P23"/>
  <c r="U23" s="1"/>
  <c r="P15"/>
  <c r="U15" s="1"/>
  <c r="P7"/>
  <c r="U7" s="1"/>
  <c r="Q21"/>
  <c r="V21" s="1"/>
  <c r="Q13"/>
  <c r="V13" s="1"/>
  <c r="Q5"/>
  <c r="V5" s="1"/>
  <c r="M22"/>
  <c r="R22" s="1"/>
  <c r="M14"/>
  <c r="R14" s="1"/>
  <c r="M6"/>
  <c r="R6" s="1"/>
  <c r="N4"/>
  <c r="S4" s="1"/>
  <c r="O18"/>
  <c r="T18" s="1"/>
  <c r="O10"/>
  <c r="T10" s="1"/>
  <c r="O2"/>
  <c r="T2" s="1"/>
  <c r="P16"/>
  <c r="U16" s="1"/>
  <c r="P8"/>
  <c r="U8" s="1"/>
  <c r="Q22"/>
  <c r="V22" s="1"/>
  <c r="Q14"/>
  <c r="V14" s="1"/>
  <c r="Q6"/>
  <c r="V6" s="1"/>
  <c r="N11"/>
  <c r="S11" s="1"/>
  <c r="N12"/>
  <c r="S12" s="1"/>
  <c r="M23"/>
  <c r="R23" s="1"/>
  <c r="M15"/>
  <c r="R15" s="1"/>
  <c r="M7"/>
  <c r="R7" s="1"/>
  <c r="N21"/>
  <c r="S21" s="1"/>
  <c r="N13"/>
  <c r="S13" s="1"/>
  <c r="N5"/>
  <c r="S5" s="1"/>
  <c r="O19"/>
  <c r="T19" s="1"/>
  <c r="O11"/>
  <c r="T11" s="1"/>
  <c r="O3"/>
  <c r="T3" s="1"/>
  <c r="P17"/>
  <c r="U17" s="1"/>
  <c r="P9"/>
  <c r="U9" s="1"/>
  <c r="Q23"/>
  <c r="V23" s="1"/>
  <c r="Q15"/>
  <c r="V15" s="1"/>
  <c r="Q7"/>
  <c r="V7" s="1"/>
  <c r="N3"/>
  <c r="S3" s="1"/>
  <c r="N20"/>
  <c r="S20" s="1"/>
  <c r="M16"/>
  <c r="R16" s="1"/>
  <c r="M8"/>
  <c r="R8" s="1"/>
  <c r="N22"/>
  <c r="S22" s="1"/>
  <c r="N14"/>
  <c r="S14" s="1"/>
  <c r="N6"/>
  <c r="S6" s="1"/>
  <c r="O20"/>
  <c r="T20" s="1"/>
  <c r="O12"/>
  <c r="T12" s="1"/>
  <c r="O4"/>
  <c r="T4" s="1"/>
  <c r="P18"/>
  <c r="U18" s="1"/>
  <c r="P10"/>
  <c r="U10" s="1"/>
  <c r="P2"/>
  <c r="U2" s="1"/>
  <c r="Q16"/>
  <c r="V16" s="1"/>
  <c r="Q8"/>
  <c r="V8" s="1"/>
  <c r="N23"/>
  <c r="S23" s="1"/>
  <c r="N7"/>
  <c r="S7" s="1"/>
  <c r="O21"/>
  <c r="T21" s="1"/>
  <c r="O5"/>
  <c r="T5" s="1"/>
  <c r="P19"/>
  <c r="U19" s="1"/>
  <c r="P11"/>
  <c r="U11" s="1"/>
  <c r="P3"/>
  <c r="U3" s="1"/>
  <c r="Q17"/>
  <c r="V17" s="1"/>
  <c r="M17"/>
  <c r="R17" s="1"/>
  <c r="M9"/>
  <c r="R9" s="1"/>
  <c r="N15"/>
  <c r="S15" s="1"/>
  <c r="O13"/>
  <c r="T13" s="1"/>
  <c r="Q9"/>
  <c r="V9" s="1"/>
  <c r="M18"/>
  <c r="R18" s="1"/>
  <c r="M10"/>
  <c r="R10" s="1"/>
  <c r="M2"/>
  <c r="R2" s="1"/>
  <c r="N16"/>
  <c r="S16" s="1"/>
  <c r="N8"/>
  <c r="S8" s="1"/>
  <c r="O22"/>
  <c r="T22" s="1"/>
  <c r="O14"/>
  <c r="T14" s="1"/>
  <c r="O6"/>
  <c r="T6" s="1"/>
  <c r="P20"/>
  <c r="U20" s="1"/>
  <c r="P12"/>
  <c r="U12" s="1"/>
  <c r="P4"/>
  <c r="U4" s="1"/>
  <c r="Q18"/>
  <c r="V18" s="1"/>
  <c r="Q10"/>
  <c r="V10" s="1"/>
  <c r="M19"/>
  <c r="R19" s="1"/>
  <c r="M11"/>
  <c r="R11" s="1"/>
  <c r="M3"/>
  <c r="R3" s="1"/>
  <c r="N17"/>
  <c r="S17" s="1"/>
  <c r="N9"/>
  <c r="S9" s="1"/>
  <c r="O23"/>
  <c r="T23" s="1"/>
  <c r="O15"/>
  <c r="T15" s="1"/>
  <c r="O7"/>
  <c r="T7" s="1"/>
  <c r="P21"/>
  <c r="U21" s="1"/>
  <c r="P13"/>
  <c r="U13" s="1"/>
  <c r="P5"/>
  <c r="U5" s="1"/>
  <c r="Q19"/>
  <c r="V19" s="1"/>
  <c r="Q11"/>
  <c r="V11" s="1"/>
  <c r="T22" i="2"/>
  <c r="U22" s="1"/>
</calcChain>
</file>

<file path=xl/sharedStrings.xml><?xml version="1.0" encoding="utf-8"?>
<sst xmlns="http://schemas.openxmlformats.org/spreadsheetml/2006/main" count="374" uniqueCount="66">
  <si>
    <t>Código</t>
  </si>
  <si>
    <t>SUBJ001</t>
  </si>
  <si>
    <t>SUBJ002</t>
  </si>
  <si>
    <t>SUBJ003</t>
  </si>
  <si>
    <t>SUBJ004</t>
  </si>
  <si>
    <t>SUBJ005</t>
  </si>
  <si>
    <t>SUBJ006</t>
  </si>
  <si>
    <t>SUBJ007</t>
  </si>
  <si>
    <t>SUBJ008</t>
  </si>
  <si>
    <t>SUBJ009</t>
  </si>
  <si>
    <t>SUBJ010</t>
  </si>
  <si>
    <t>SUBJ011</t>
  </si>
  <si>
    <t>SUBJ012</t>
  </si>
  <si>
    <t>SUBJ013</t>
  </si>
  <si>
    <t>SUBJ014</t>
  </si>
  <si>
    <t>SUBJ015</t>
  </si>
  <si>
    <t>SUBJ016</t>
  </si>
  <si>
    <t>SUBJ017</t>
  </si>
  <si>
    <t>SUBJ018</t>
  </si>
  <si>
    <t>SUBJ019</t>
  </si>
  <si>
    <t>SUBJ020</t>
  </si>
  <si>
    <t>SUBJ022</t>
  </si>
  <si>
    <t>SUBJ023</t>
  </si>
  <si>
    <t>Rescale A_2</t>
  </si>
  <si>
    <t>Rescale B_2</t>
  </si>
  <si>
    <t>Rescale A_10</t>
  </si>
  <si>
    <t>Rescale B_10</t>
  </si>
  <si>
    <t>Angle 2 :</t>
  </si>
  <si>
    <t>Angle 10 :</t>
  </si>
  <si>
    <t>TR</t>
  </si>
  <si>
    <t>A=</t>
  </si>
  <si>
    <t>B=</t>
  </si>
  <si>
    <t>Angle</t>
  </si>
  <si>
    <t>sin</t>
  </si>
  <si>
    <t>cos</t>
  </si>
  <si>
    <t>t = tan /2</t>
  </si>
  <si>
    <t>10 - pre</t>
  </si>
  <si>
    <t>2 - Pre</t>
  </si>
  <si>
    <t>Column1</t>
  </si>
  <si>
    <t>Column2</t>
  </si>
  <si>
    <t>2 - Post 5min</t>
  </si>
  <si>
    <t>10 - Post 5min</t>
  </si>
  <si>
    <t>2 - Post 10min</t>
  </si>
  <si>
    <t>10 - Post 10min</t>
  </si>
  <si>
    <t>2 - Post 15min</t>
  </si>
  <si>
    <t>10 - Post 15min</t>
  </si>
  <si>
    <t>2 - Post 20min</t>
  </si>
  <si>
    <t>10 - Post 20min</t>
  </si>
  <si>
    <t>Column3</t>
  </si>
  <si>
    <t>G Pre</t>
  </si>
  <si>
    <t>G 5min</t>
  </si>
  <si>
    <t>G 10min</t>
  </si>
  <si>
    <t>G 15min</t>
  </si>
  <si>
    <t>G 20min</t>
  </si>
  <si>
    <t>T1 pre</t>
  </si>
  <si>
    <t>T1 5min</t>
  </si>
  <si>
    <t>T1 10min</t>
  </si>
  <si>
    <t>T1 15min</t>
  </si>
  <si>
    <t>T1 20min</t>
  </si>
  <si>
    <t>Time</t>
  </si>
  <si>
    <t>Slope</t>
  </si>
  <si>
    <t>Pre</t>
  </si>
  <si>
    <t>5 min</t>
  </si>
  <si>
    <t>10 min</t>
  </si>
  <si>
    <t>20 min</t>
  </si>
  <si>
    <t>15 min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</si>
</sst>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5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Original!$F$2:$F$24</c:f>
              <c:numCache>
                <c:formatCode>General</c:formatCode>
                <c:ptCount val="23"/>
                <c:pt idx="0">
                  <c:v>48.591999999999999</c:v>
                </c:pt>
                <c:pt idx="1">
                  <c:v>109.97</c:v>
                </c:pt>
                <c:pt idx="2">
                  <c:v>97.42</c:v>
                </c:pt>
                <c:pt idx="3">
                  <c:v>94.11</c:v>
                </c:pt>
                <c:pt idx="4">
                  <c:v>76.599999999999994</c:v>
                </c:pt>
                <c:pt idx="5">
                  <c:v>114.82</c:v>
                </c:pt>
                <c:pt idx="6">
                  <c:v>101.2</c:v>
                </c:pt>
                <c:pt idx="7">
                  <c:v>101.28</c:v>
                </c:pt>
                <c:pt idx="8">
                  <c:v>149.77000000000001</c:v>
                </c:pt>
                <c:pt idx="9">
                  <c:v>120.02</c:v>
                </c:pt>
                <c:pt idx="10">
                  <c:v>119.63</c:v>
                </c:pt>
                <c:pt idx="11">
                  <c:v>107.24</c:v>
                </c:pt>
                <c:pt idx="12">
                  <c:v>107.78</c:v>
                </c:pt>
                <c:pt idx="13">
                  <c:v>97.77</c:v>
                </c:pt>
                <c:pt idx="15">
                  <c:v>84.4</c:v>
                </c:pt>
                <c:pt idx="16">
                  <c:v>74.959999999999994</c:v>
                </c:pt>
                <c:pt idx="17">
                  <c:v>153.54</c:v>
                </c:pt>
                <c:pt idx="18">
                  <c:v>118.34</c:v>
                </c:pt>
                <c:pt idx="19">
                  <c:v>80.760000000000005</c:v>
                </c:pt>
                <c:pt idx="20">
                  <c:v>108.86</c:v>
                </c:pt>
                <c:pt idx="21">
                  <c:v>84.24</c:v>
                </c:pt>
              </c:numCache>
            </c:numRef>
          </c:xVal>
          <c:yVal>
            <c:numRef>
              <c:f>Original!$G$2:$G$24</c:f>
              <c:numCache>
                <c:formatCode>General</c:formatCode>
                <c:ptCount val="23"/>
                <c:pt idx="0">
                  <c:v>192.202</c:v>
                </c:pt>
                <c:pt idx="1">
                  <c:v>248.54</c:v>
                </c:pt>
                <c:pt idx="2">
                  <c:v>220.05</c:v>
                </c:pt>
                <c:pt idx="3">
                  <c:v>230.78</c:v>
                </c:pt>
                <c:pt idx="4">
                  <c:v>156.74</c:v>
                </c:pt>
                <c:pt idx="5">
                  <c:v>302.2</c:v>
                </c:pt>
                <c:pt idx="6">
                  <c:v>196</c:v>
                </c:pt>
                <c:pt idx="7">
                  <c:v>238.71</c:v>
                </c:pt>
                <c:pt idx="8">
                  <c:v>310.39999999999998</c:v>
                </c:pt>
                <c:pt idx="9">
                  <c:v>258.02999999999997</c:v>
                </c:pt>
                <c:pt idx="10">
                  <c:v>223.06</c:v>
                </c:pt>
                <c:pt idx="11">
                  <c:v>204.53</c:v>
                </c:pt>
                <c:pt idx="12">
                  <c:v>242.68</c:v>
                </c:pt>
                <c:pt idx="13">
                  <c:v>259.01</c:v>
                </c:pt>
                <c:pt idx="15">
                  <c:v>170.57</c:v>
                </c:pt>
                <c:pt idx="16">
                  <c:v>143.88</c:v>
                </c:pt>
                <c:pt idx="17">
                  <c:v>515.65</c:v>
                </c:pt>
                <c:pt idx="18">
                  <c:v>259.62</c:v>
                </c:pt>
                <c:pt idx="19">
                  <c:v>193.13</c:v>
                </c:pt>
                <c:pt idx="20">
                  <c:v>281.18</c:v>
                </c:pt>
                <c:pt idx="21">
                  <c:v>179.39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Original!$T$2:$T$23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Original!$T$2:$T$23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Original!$T$2:$T$23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Original!$U$2:$U$23</c:f>
              <c:numCache>
                <c:formatCode>General</c:formatCode>
                <c:ptCount val="22"/>
                <c:pt idx="0">
                  <c:v>2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Original!$T$2:$T$18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Original!$V$2:$V$18</c:f>
              <c:numCache>
                <c:formatCode>General</c:formatCode>
                <c:ptCount val="17"/>
                <c:pt idx="0">
                  <c:v>3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</c:numCache>
            </c:numRef>
          </c:yVal>
        </c:ser>
        <c:axId val="86199680"/>
        <c:axId val="86201472"/>
      </c:scatterChart>
      <c:valAx>
        <c:axId val="86199680"/>
        <c:scaling>
          <c:orientation val="minMax"/>
        </c:scaling>
        <c:axPos val="b"/>
        <c:numFmt formatCode="General" sourceLinked="1"/>
        <c:tickLblPos val="nextTo"/>
        <c:crossAx val="86201472"/>
        <c:crosses val="autoZero"/>
        <c:crossBetween val="midCat"/>
      </c:valAx>
      <c:valAx>
        <c:axId val="86201472"/>
        <c:scaling>
          <c:orientation val="minMax"/>
        </c:scaling>
        <c:axPos val="l"/>
        <c:majorGridlines/>
        <c:numFmt formatCode="General" sourceLinked="1"/>
        <c:tickLblPos val="nextTo"/>
        <c:crossAx val="86199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3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'Rescaled (2)'!$D$2:$D$23</c:f>
              <c:numCache>
                <c:formatCode>0.00</c:formatCode>
                <c:ptCount val="22"/>
                <c:pt idx="1">
                  <c:v>15.266443701226308</c:v>
                </c:pt>
                <c:pt idx="2">
                  <c:v>11.337813620071685</c:v>
                </c:pt>
                <c:pt idx="3">
                  <c:v>11.476190476190476</c:v>
                </c:pt>
                <c:pt idx="4">
                  <c:v>9.2803234501347713</c:v>
                </c:pt>
                <c:pt idx="5">
                  <c:v>24.707350901525658</c:v>
                </c:pt>
                <c:pt idx="6">
                  <c:v>17.33080808080808</c:v>
                </c:pt>
                <c:pt idx="7">
                  <c:v>14.379487179487178</c:v>
                </c:pt>
                <c:pt idx="9">
                  <c:v>17.052749719416386</c:v>
                </c:pt>
                <c:pt idx="11">
                  <c:v>14.827852998065763</c:v>
                </c:pt>
                <c:pt idx="12">
                  <c:v>15.558352402745994</c:v>
                </c:pt>
                <c:pt idx="13">
                  <c:v>12.701718907987866</c:v>
                </c:pt>
                <c:pt idx="14">
                  <c:v>8.7730696798493408</c:v>
                </c:pt>
                <c:pt idx="15">
                  <c:v>11.917708333333334</c:v>
                </c:pt>
                <c:pt idx="16">
                  <c:v>9.6334431630971995</c:v>
                </c:pt>
                <c:pt idx="18">
                  <c:v>19.869837296620773</c:v>
                </c:pt>
                <c:pt idx="19">
                  <c:v>7.2260034904013954</c:v>
                </c:pt>
                <c:pt idx="21">
                  <c:v>11.476744186046512</c:v>
                </c:pt>
              </c:numCache>
            </c:numRef>
          </c:xVal>
          <c:yVal>
            <c:numRef>
              <c:f>'Rescaled (2)'!$E$2:$E$23</c:f>
              <c:numCache>
                <c:formatCode>0.00</c:formatCode>
                <c:ptCount val="22"/>
                <c:pt idx="1">
                  <c:v>82.237735849056605</c:v>
                </c:pt>
                <c:pt idx="2">
                  <c:v>43.552419354838712</c:v>
                </c:pt>
                <c:pt idx="3">
                  <c:v>75.901006711409394</c:v>
                </c:pt>
                <c:pt idx="4">
                  <c:v>67.254201680672267</c:v>
                </c:pt>
                <c:pt idx="5">
                  <c:v>115.48387096774194</c:v>
                </c:pt>
                <c:pt idx="6">
                  <c:v>68.182608695652178</c:v>
                </c:pt>
                <c:pt idx="7">
                  <c:v>92.605633802816911</c:v>
                </c:pt>
                <c:pt idx="9">
                  <c:v>89.58424908424908</c:v>
                </c:pt>
                <c:pt idx="11">
                  <c:v>80.359183673469374</c:v>
                </c:pt>
                <c:pt idx="12">
                  <c:v>110.53095238095239</c:v>
                </c:pt>
                <c:pt idx="13">
                  <c:v>86.785992217898837</c:v>
                </c:pt>
                <c:pt idx="14">
                  <c:v>44.656514382402712</c:v>
                </c:pt>
                <c:pt idx="15">
                  <c:v>63.21052631578948</c:v>
                </c:pt>
                <c:pt idx="16">
                  <c:v>42.314285714285717</c:v>
                </c:pt>
                <c:pt idx="18">
                  <c:v>96.206611570247929</c:v>
                </c:pt>
                <c:pt idx="19">
                  <c:v>30.327559055118115</c:v>
                </c:pt>
                <c:pt idx="21">
                  <c:v>62.104906937394247</c:v>
                </c:pt>
              </c:numCache>
            </c:numRef>
          </c:yVal>
        </c:ser>
        <c:axId val="153077248"/>
        <c:axId val="163690368"/>
      </c:scatterChart>
      <c:valAx>
        <c:axId val="153077248"/>
        <c:scaling>
          <c:orientation val="minMax"/>
        </c:scaling>
        <c:axPos val="b"/>
        <c:numFmt formatCode="0.00" sourceLinked="1"/>
        <c:tickLblPos val="nextTo"/>
        <c:crossAx val="163690368"/>
        <c:crosses val="autoZero"/>
        <c:crossBetween val="midCat"/>
      </c:valAx>
      <c:valAx>
        <c:axId val="163690368"/>
        <c:scaling>
          <c:orientation val="minMax"/>
        </c:scaling>
        <c:axPos val="l"/>
        <c:majorGridlines/>
        <c:numFmt formatCode="0.00" sourceLinked="1"/>
        <c:tickLblPos val="nextTo"/>
        <c:crossAx val="153077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5"/>
          <c:order val="3"/>
          <c:tx>
            <c:v>10min</c:v>
          </c:tx>
          <c:spPr>
            <a:ln w="28575">
              <a:noFill/>
            </a:ln>
          </c:spPr>
          <c:xVal>
            <c:numRef>
              <c:f>'Rescaled (2)'!$F$2:$F$23</c:f>
              <c:numCache>
                <c:formatCode>0.00</c:formatCode>
                <c:ptCount val="22"/>
                <c:pt idx="1">
                  <c:v>15.865105908584168</c:v>
                </c:pt>
                <c:pt idx="2">
                  <c:v>11.36021505376344</c:v>
                </c:pt>
                <c:pt idx="3">
                  <c:v>11.418498168498168</c:v>
                </c:pt>
                <c:pt idx="4">
                  <c:v>9.3629829290206636</c:v>
                </c:pt>
                <c:pt idx="5">
                  <c:v>24.940360610263522</c:v>
                </c:pt>
                <c:pt idx="6">
                  <c:v>16.763888888888889</c:v>
                </c:pt>
                <c:pt idx="7">
                  <c:v>14.387692307692308</c:v>
                </c:pt>
                <c:pt idx="8">
                  <c:v>27.495212038303695</c:v>
                </c:pt>
                <c:pt idx="9">
                  <c:v>17.20314253647587</c:v>
                </c:pt>
                <c:pt idx="11">
                  <c:v>15.12862669245648</c:v>
                </c:pt>
                <c:pt idx="12">
                  <c:v>15.83867276887872</c:v>
                </c:pt>
                <c:pt idx="13">
                  <c:v>12.747219413549038</c:v>
                </c:pt>
                <c:pt idx="14">
                  <c:v>8.4529190207156315</c:v>
                </c:pt>
                <c:pt idx="15">
                  <c:v>11.210416666666667</c:v>
                </c:pt>
                <c:pt idx="16">
                  <c:v>10.16968698517298</c:v>
                </c:pt>
                <c:pt idx="18">
                  <c:v>19.511889862327909</c:v>
                </c:pt>
                <c:pt idx="19">
                  <c:v>9.3507853403141343</c:v>
                </c:pt>
                <c:pt idx="21">
                  <c:v>11.1734496124031</c:v>
                </c:pt>
              </c:numCache>
            </c:numRef>
          </c:xVal>
          <c:yVal>
            <c:numRef>
              <c:f>'Rescaled (2)'!$G$2:$G$23</c:f>
              <c:numCache>
                <c:formatCode>0.00</c:formatCode>
                <c:ptCount val="22"/>
                <c:pt idx="1">
                  <c:v>89.647169811320751</c:v>
                </c:pt>
                <c:pt idx="2">
                  <c:v>79.554435483870961</c:v>
                </c:pt>
                <c:pt idx="3">
                  <c:v>72.340604026845639</c:v>
                </c:pt>
                <c:pt idx="4">
                  <c:v>70.508403361344548</c:v>
                </c:pt>
                <c:pt idx="5">
                  <c:v>117.62672811059909</c:v>
                </c:pt>
                <c:pt idx="6">
                  <c:v>70.577391304347827</c:v>
                </c:pt>
                <c:pt idx="7">
                  <c:v>99.030181086519121</c:v>
                </c:pt>
                <c:pt idx="8">
                  <c:v>185.94101876675603</c:v>
                </c:pt>
                <c:pt idx="9">
                  <c:v>94.379120879120876</c:v>
                </c:pt>
                <c:pt idx="11">
                  <c:v>76.789795918367332</c:v>
                </c:pt>
                <c:pt idx="12">
                  <c:v>101.13571428571427</c:v>
                </c:pt>
                <c:pt idx="13">
                  <c:v>92.39883268482491</c:v>
                </c:pt>
                <c:pt idx="14">
                  <c:v>46.573604060913702</c:v>
                </c:pt>
                <c:pt idx="15">
                  <c:v>61.246179966044146</c:v>
                </c:pt>
                <c:pt idx="16">
                  <c:v>46.28027210884354</c:v>
                </c:pt>
                <c:pt idx="18">
                  <c:v>100.22933884297521</c:v>
                </c:pt>
                <c:pt idx="19">
                  <c:v>54.140157480314969</c:v>
                </c:pt>
                <c:pt idx="21">
                  <c:v>62.90862944162437</c:v>
                </c:pt>
              </c:numCache>
            </c:numRef>
          </c:yVal>
        </c:ser>
        <c:axId val="166841344"/>
        <c:axId val="171774720"/>
      </c:scatterChart>
      <c:valAx>
        <c:axId val="166841344"/>
        <c:scaling>
          <c:orientation val="minMax"/>
        </c:scaling>
        <c:axPos val="b"/>
        <c:numFmt formatCode="0.00" sourceLinked="1"/>
        <c:tickLblPos val="nextTo"/>
        <c:crossAx val="171774720"/>
        <c:crosses val="autoZero"/>
        <c:crossBetween val="midCat"/>
      </c:valAx>
      <c:valAx>
        <c:axId val="171774720"/>
        <c:scaling>
          <c:orientation val="minMax"/>
        </c:scaling>
        <c:axPos val="l"/>
        <c:majorGridlines/>
        <c:numFmt formatCode="0.00" sourceLinked="1"/>
        <c:tickLblPos val="nextTo"/>
        <c:crossAx val="166841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6"/>
          <c:order val="3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'Rescaled (2)'!$H$2:$H$23</c:f>
              <c:numCache>
                <c:formatCode>0.00</c:formatCode>
                <c:ptCount val="22"/>
                <c:pt idx="1">
                  <c:v>15.683389074693423</c:v>
                </c:pt>
                <c:pt idx="2">
                  <c:v>11.350358422939069</c:v>
                </c:pt>
                <c:pt idx="3">
                  <c:v>11.175824175824177</c:v>
                </c:pt>
                <c:pt idx="4">
                  <c:v>9.752920035938903</c:v>
                </c:pt>
                <c:pt idx="5">
                  <c:v>23.615811373092928</c:v>
                </c:pt>
                <c:pt idx="6">
                  <c:v>16.853535353535353</c:v>
                </c:pt>
                <c:pt idx="7">
                  <c:v>14.447179487179488</c:v>
                </c:pt>
                <c:pt idx="8">
                  <c:v>26.857729138166899</c:v>
                </c:pt>
                <c:pt idx="9">
                  <c:v>17.30415263748597</c:v>
                </c:pt>
                <c:pt idx="11">
                  <c:v>14.528046421663444</c:v>
                </c:pt>
                <c:pt idx="12">
                  <c:v>16.022883295194507</c:v>
                </c:pt>
                <c:pt idx="13">
                  <c:v>12.467138523761374</c:v>
                </c:pt>
                <c:pt idx="14">
                  <c:v>8.740112994350282</c:v>
                </c:pt>
                <c:pt idx="15">
                  <c:v>12.401041666666666</c:v>
                </c:pt>
                <c:pt idx="16">
                  <c:v>9.2792421746293243</c:v>
                </c:pt>
                <c:pt idx="18">
                  <c:v>19.853566958698373</c:v>
                </c:pt>
                <c:pt idx="19">
                  <c:v>9.4171029668411865</c:v>
                </c:pt>
                <c:pt idx="21">
                  <c:v>11.696705426356589</c:v>
                </c:pt>
              </c:numCache>
            </c:numRef>
          </c:xVal>
          <c:yVal>
            <c:numRef>
              <c:f>'Rescaled (2)'!$I$2:$I$23</c:f>
              <c:numCache>
                <c:formatCode>0.00</c:formatCode>
                <c:ptCount val="22"/>
                <c:pt idx="1">
                  <c:v>91.649056603773587</c:v>
                </c:pt>
                <c:pt idx="2">
                  <c:v>80.243951612903231</c:v>
                </c:pt>
                <c:pt idx="3">
                  <c:v>78.057046979865774</c:v>
                </c:pt>
                <c:pt idx="4">
                  <c:v>75.623949579831944</c:v>
                </c:pt>
                <c:pt idx="5">
                  <c:v>119.22119815668202</c:v>
                </c:pt>
                <c:pt idx="6">
                  <c:v>71.433043478260871</c:v>
                </c:pt>
                <c:pt idx="7">
                  <c:v>101.73038229376259</c:v>
                </c:pt>
                <c:pt idx="8">
                  <c:v>192.2332439678284</c:v>
                </c:pt>
                <c:pt idx="9">
                  <c:v>96.38827838827838</c:v>
                </c:pt>
                <c:pt idx="11">
                  <c:v>79.689795918367338</c:v>
                </c:pt>
                <c:pt idx="12">
                  <c:v>112.72142857142858</c:v>
                </c:pt>
                <c:pt idx="13">
                  <c:v>93.145914396887164</c:v>
                </c:pt>
                <c:pt idx="14">
                  <c:v>46.260575296108286</c:v>
                </c:pt>
                <c:pt idx="15">
                  <c:v>64.188455008488972</c:v>
                </c:pt>
                <c:pt idx="16">
                  <c:v>45.814965986394562</c:v>
                </c:pt>
                <c:pt idx="18">
                  <c:v>101.89049586776859</c:v>
                </c:pt>
                <c:pt idx="19">
                  <c:v>58.485039370078745</c:v>
                </c:pt>
                <c:pt idx="21">
                  <c:v>65.241962774957699</c:v>
                </c:pt>
              </c:numCache>
            </c:numRef>
          </c:yVal>
        </c:ser>
        <c:axId val="178068864"/>
        <c:axId val="180318208"/>
      </c:scatterChart>
      <c:valAx>
        <c:axId val="178068864"/>
        <c:scaling>
          <c:orientation val="minMax"/>
        </c:scaling>
        <c:axPos val="b"/>
        <c:numFmt formatCode="0.00" sourceLinked="1"/>
        <c:tickLblPos val="nextTo"/>
        <c:crossAx val="180318208"/>
        <c:crosses val="autoZero"/>
        <c:crossBetween val="midCat"/>
      </c:valAx>
      <c:valAx>
        <c:axId val="180318208"/>
        <c:scaling>
          <c:orientation val="minMax"/>
        </c:scaling>
        <c:axPos val="l"/>
        <c:majorGridlines/>
        <c:numFmt formatCode="0.00" sourceLinked="1"/>
        <c:tickLblPos val="nextTo"/>
        <c:crossAx val="178068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7"/>
          <c:order val="3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'Rescaled (2)'!$J$2:$J$23</c:f>
              <c:numCache>
                <c:formatCode>0.00</c:formatCode>
                <c:ptCount val="22"/>
                <c:pt idx="1">
                  <c:v>16.01560758082497</c:v>
                </c:pt>
                <c:pt idx="2">
                  <c:v>11.753584229390679</c:v>
                </c:pt>
                <c:pt idx="3">
                  <c:v>11.187728937728938</c:v>
                </c:pt>
                <c:pt idx="4">
                  <c:v>9.219227313566936</c:v>
                </c:pt>
                <c:pt idx="5">
                  <c:v>25.650485436893202</c:v>
                </c:pt>
                <c:pt idx="6">
                  <c:v>17.935606060606062</c:v>
                </c:pt>
                <c:pt idx="7">
                  <c:v>14.348717948717949</c:v>
                </c:pt>
                <c:pt idx="8">
                  <c:v>26.875512995896035</c:v>
                </c:pt>
                <c:pt idx="9">
                  <c:v>17.932659932659931</c:v>
                </c:pt>
                <c:pt idx="11">
                  <c:v>14.345261121856868</c:v>
                </c:pt>
                <c:pt idx="12">
                  <c:v>15.131578947368421</c:v>
                </c:pt>
                <c:pt idx="13">
                  <c:v>11.964610717896864</c:v>
                </c:pt>
                <c:pt idx="14">
                  <c:v>9.1977401129943512</c:v>
                </c:pt>
                <c:pt idx="15">
                  <c:v>11.597916666666668</c:v>
                </c:pt>
                <c:pt idx="16">
                  <c:v>9.4827018121911042</c:v>
                </c:pt>
                <c:pt idx="18">
                  <c:v>20.430538172715895</c:v>
                </c:pt>
                <c:pt idx="19">
                  <c:v>9.6108202443280977</c:v>
                </c:pt>
                <c:pt idx="21">
                  <c:v>11.876937984496124</c:v>
                </c:pt>
              </c:numCache>
            </c:numRef>
          </c:xVal>
          <c:yVal>
            <c:numRef>
              <c:f>'Rescaled (2)'!$K$2:$K$23</c:f>
              <c:numCache>
                <c:formatCode>0.00</c:formatCode>
                <c:ptCount val="22"/>
                <c:pt idx="1">
                  <c:v>90.164150943396237</c:v>
                </c:pt>
                <c:pt idx="2">
                  <c:v>79.977822580645167</c:v>
                </c:pt>
                <c:pt idx="3">
                  <c:v>60.191275167785236</c:v>
                </c:pt>
                <c:pt idx="4">
                  <c:v>69.491596638655466</c:v>
                </c:pt>
                <c:pt idx="5">
                  <c:v>118.73271889400921</c:v>
                </c:pt>
                <c:pt idx="6">
                  <c:v>74.248695652173907</c:v>
                </c:pt>
                <c:pt idx="7">
                  <c:v>104.42857142857143</c:v>
                </c:pt>
                <c:pt idx="8">
                  <c:v>189.39946380697052</c:v>
                </c:pt>
                <c:pt idx="9">
                  <c:v>96.315018315018321</c:v>
                </c:pt>
                <c:pt idx="11">
                  <c:v>81.159183673469386</c:v>
                </c:pt>
                <c:pt idx="12">
                  <c:v>106.85</c:v>
                </c:pt>
                <c:pt idx="13">
                  <c:v>86.45525291828794</c:v>
                </c:pt>
                <c:pt idx="14">
                  <c:v>47.196277495769884</c:v>
                </c:pt>
                <c:pt idx="15">
                  <c:v>62.451612903225808</c:v>
                </c:pt>
                <c:pt idx="16">
                  <c:v>47.855782312925172</c:v>
                </c:pt>
                <c:pt idx="18">
                  <c:v>102.20247933884298</c:v>
                </c:pt>
                <c:pt idx="19">
                  <c:v>59.215748031496062</c:v>
                </c:pt>
                <c:pt idx="21">
                  <c:v>67.282571912013537</c:v>
                </c:pt>
              </c:numCache>
            </c:numRef>
          </c:yVal>
        </c:ser>
        <c:axId val="180451200"/>
        <c:axId val="180457472"/>
      </c:scatterChart>
      <c:valAx>
        <c:axId val="180451200"/>
        <c:scaling>
          <c:orientation val="minMax"/>
        </c:scaling>
        <c:axPos val="b"/>
        <c:numFmt formatCode="0.00" sourceLinked="1"/>
        <c:tickLblPos val="nextTo"/>
        <c:crossAx val="180457472"/>
        <c:crosses val="autoZero"/>
        <c:crossBetween val="midCat"/>
      </c:valAx>
      <c:valAx>
        <c:axId val="180457472"/>
        <c:scaling>
          <c:orientation val="minMax"/>
        </c:scaling>
        <c:axPos val="l"/>
        <c:majorGridlines/>
        <c:numFmt formatCode="0.00" sourceLinked="1"/>
        <c:tickLblPos val="nextTo"/>
        <c:crossAx val="180451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736E-2"/>
          <c:y val="4.214129483814523E-2"/>
          <c:w val="0.7026797900262467"/>
          <c:h val="0.89719889180519097"/>
        </c:manualLayout>
      </c:layout>
      <c:scatterChart>
        <c:scatterStyle val="lineMarker"/>
        <c:ser>
          <c:idx val="0"/>
          <c:order val="0"/>
          <c:tx>
            <c:strRef>
              <c:f>'T1'!$Y$1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'T1'!$Y$2:$Y$6</c:f>
              <c:numCache>
                <c:formatCode>General</c:formatCode>
                <c:ptCount val="5"/>
                <c:pt idx="0">
                  <c:v>-6.0973578078776187</c:v>
                </c:pt>
                <c:pt idx="1">
                  <c:v>-5.2424478358434596</c:v>
                </c:pt>
                <c:pt idx="2">
                  <c:v>-5.4341276610674569</c:v>
                </c:pt>
                <c:pt idx="3">
                  <c:v>-7.6048754084556496</c:v>
                </c:pt>
                <c:pt idx="4">
                  <c:v>-5.5280443688378993</c:v>
                </c:pt>
              </c:numCache>
            </c:numRef>
          </c:yVal>
        </c:ser>
        <c:ser>
          <c:idx val="1"/>
          <c:order val="1"/>
          <c:tx>
            <c:strRef>
              <c:f>'T1'!$Z$1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'T1'!$Z$2:$Z$6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-0.76134429263199177</c:v>
                </c:pt>
                <c:pt idx="2">
                  <c:v>-1.2375108326079596</c:v>
                </c:pt>
                <c:pt idx="3">
                  <c:v>-1.5575443587894182</c:v>
                </c:pt>
                <c:pt idx="4">
                  <c:v>-1.201636496371207</c:v>
                </c:pt>
              </c:numCache>
            </c:numRef>
          </c:yVal>
        </c:ser>
        <c:ser>
          <c:idx val="2"/>
          <c:order val="2"/>
          <c:tx>
            <c:strRef>
              <c:f>'T1'!$AA$1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'T1'!$AA$2:$AA$6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3.401670283718857</c:v>
                </c:pt>
                <c:pt idx="2">
                  <c:v>-3.0956932563087141</c:v>
                </c:pt>
                <c:pt idx="3">
                  <c:v>-3.1685285671456773</c:v>
                </c:pt>
                <c:pt idx="4">
                  <c:v>-2.8708330856222002</c:v>
                </c:pt>
              </c:numCache>
            </c:numRef>
          </c:yVal>
        </c:ser>
        <c:ser>
          <c:idx val="3"/>
          <c:order val="3"/>
          <c:tx>
            <c:strRef>
              <c:f>'T1'!$AB$1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'T1'!$AB$2:$AB$6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-2.6414417213358417</c:v>
                </c:pt>
                <c:pt idx="2">
                  <c:v>-2.2810584451894376</c:v>
                </c:pt>
                <c:pt idx="3">
                  <c:v>-3.0753399200337297</c:v>
                </c:pt>
                <c:pt idx="4">
                  <c:v>-0.74857062884268455</c:v>
                </c:pt>
              </c:numCache>
            </c:numRef>
          </c:yVal>
        </c:ser>
        <c:ser>
          <c:idx val="4"/>
          <c:order val="4"/>
          <c:tx>
            <c:strRef>
              <c:f>'T1'!$AC$1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'T1'!$AC$2:$AC$6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-3.3550020284117257</c:v>
                </c:pt>
                <c:pt idx="2">
                  <c:v>-3.6345971493160154</c:v>
                </c:pt>
                <c:pt idx="3">
                  <c:v>-3.8400979523051717</c:v>
                </c:pt>
                <c:pt idx="4">
                  <c:v>-3.6413502665921014</c:v>
                </c:pt>
              </c:numCache>
            </c:numRef>
          </c:yVal>
        </c:ser>
        <c:ser>
          <c:idx val="5"/>
          <c:order val="5"/>
          <c:tx>
            <c:strRef>
              <c:f>'T1'!$AD$1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'T1'!$AD$2:$AD$6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0.796989787836902</c:v>
                </c:pt>
                <c:pt idx="2">
                  <c:v>0.69009611250599445</c:v>
                </c:pt>
                <c:pt idx="3">
                  <c:v>0</c:v>
                </c:pt>
                <c:pt idx="4">
                  <c:v>0.91349168299202355</c:v>
                </c:pt>
              </c:numCache>
            </c:numRef>
          </c:yVal>
        </c:ser>
        <c:ser>
          <c:idx val="6"/>
          <c:order val="6"/>
          <c:tx>
            <c:strRef>
              <c:f>'T1'!$AE$1</c:f>
              <c:strCache>
                <c:ptCount val="1"/>
                <c:pt idx="0">
                  <c:v>SUBJ007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'T1'!$AE$2:$AE$6</c:f>
              <c:numCache>
                <c:formatCode>General</c:formatCode>
                <c:ptCount val="5"/>
                <c:pt idx="0">
                  <c:v>10.05211151516966</c:v>
                </c:pt>
                <c:pt idx="1">
                  <c:v>3.0539415376578245</c:v>
                </c:pt>
                <c:pt idx="2">
                  <c:v>2.1154938855825884</c:v>
                </c:pt>
                <c:pt idx="3">
                  <c:v>2.0262318952111538</c:v>
                </c:pt>
                <c:pt idx="4">
                  <c:v>2.342315164160063</c:v>
                </c:pt>
              </c:numCache>
            </c:numRef>
          </c:yVal>
        </c:ser>
        <c:ser>
          <c:idx val="7"/>
          <c:order val="7"/>
          <c:tx>
            <c:strRef>
              <c:f>'T1'!$AF$1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'T1'!$AF$2:$AF$6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-2.4204147801813725</c:v>
                </c:pt>
                <c:pt idx="2">
                  <c:v>-2.9613427905736875</c:v>
                </c:pt>
                <c:pt idx="3">
                  <c:v>-3.1379798518811008</c:v>
                </c:pt>
                <c:pt idx="4">
                  <c:v>-3.3865913526460427</c:v>
                </c:pt>
              </c:numCache>
            </c:numRef>
          </c:yVal>
        </c:ser>
        <c:ser>
          <c:idx val="8"/>
          <c:order val="8"/>
          <c:tx>
            <c:strRef>
              <c:f>'T1'!$AG$1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'T1'!$AG$2:$AG$6</c:f>
              <c:numCache>
                <c:formatCode>General</c:formatCode>
                <c:ptCount val="5"/>
                <c:pt idx="0">
                  <c:v>2.6036530622777003</c:v>
                </c:pt>
                <c:pt idx="1">
                  <c:v>19.452323747353429</c:v>
                </c:pt>
                <c:pt idx="2">
                  <c:v>-2.8216187428861237</c:v>
                </c:pt>
                <c:pt idx="3">
                  <c:v>-3.262023823391174</c:v>
                </c:pt>
                <c:pt idx="4">
                  <c:v>-3.1442295028809548</c:v>
                </c:pt>
              </c:numCache>
            </c:numRef>
          </c:yVal>
        </c:ser>
        <c:ser>
          <c:idx val="9"/>
          <c:order val="9"/>
          <c:tx>
            <c:strRef>
              <c:f>'T1'!$AH$1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'T1'!$AH$2:$AH$6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-0.50056277920889292</c:v>
                </c:pt>
                <c:pt idx="2">
                  <c:v>-0.94636852503729008</c:v>
                </c:pt>
                <c:pt idx="3">
                  <c:v>-1.0975104733522025</c:v>
                </c:pt>
                <c:pt idx="4">
                  <c:v>-0.73103433884982005</c:v>
                </c:pt>
              </c:numCache>
            </c:numRef>
          </c:yVal>
        </c:ser>
        <c:ser>
          <c:idx val="10"/>
          <c:order val="10"/>
          <c:tx>
            <c:strRef>
              <c:f>'T1'!$AI$1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'T1'!$AI$2:$AI$6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-4.4430511104524664</c:v>
                </c:pt>
                <c:pt idx="2">
                  <c:v>-4.6073880567360641</c:v>
                </c:pt>
                <c:pt idx="3">
                  <c:v>-4.7131295383449823</c:v>
                </c:pt>
                <c:pt idx="4">
                  <c:v>-4.6531478984516781</c:v>
                </c:pt>
              </c:numCache>
            </c:numRef>
          </c:yVal>
        </c:ser>
        <c:ser>
          <c:idx val="11"/>
          <c:order val="11"/>
          <c:tx>
            <c:strRef>
              <c:f>'T1'!$AJ$1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'T1'!$AJ$2:$AJ$6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-0.82296098429966091</c:v>
                </c:pt>
                <c:pt idx="2">
                  <c:v>-0.12031044052702607</c:v>
                </c:pt>
                <c:pt idx="3">
                  <c:v>-0.94469204933930118</c:v>
                </c:pt>
                <c:pt idx="4">
                  <c:v>-1.2494641118756387</c:v>
                </c:pt>
              </c:numCache>
            </c:numRef>
          </c:yVal>
        </c:ser>
        <c:ser>
          <c:idx val="12"/>
          <c:order val="12"/>
          <c:tx>
            <c:strRef>
              <c:f>'T1'!$AK$1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'T1'!$AK$2:$AK$6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-3.2056360650171656</c:v>
                </c:pt>
                <c:pt idx="2">
                  <c:v>-2.3481481700775264</c:v>
                </c:pt>
                <c:pt idx="3">
                  <c:v>-3.1308873890929005</c:v>
                </c:pt>
                <c:pt idx="4">
                  <c:v>-3.1595197285181276</c:v>
                </c:pt>
              </c:numCache>
            </c:numRef>
          </c:yVal>
        </c:ser>
        <c:ser>
          <c:idx val="13"/>
          <c:order val="13"/>
          <c:tx>
            <c:strRef>
              <c:f>'T1'!$AL$1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'T1'!$AL$2:$AL$6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-2.9034724287482621</c:v>
                </c:pt>
                <c:pt idx="2">
                  <c:v>-3.3566228290089271</c:v>
                </c:pt>
                <c:pt idx="3">
                  <c:v>-3.5779977554029143</c:v>
                </c:pt>
                <c:pt idx="4">
                  <c:v>-3.333344691312722</c:v>
                </c:pt>
              </c:numCache>
            </c:numRef>
          </c:yVal>
        </c:ser>
        <c:ser>
          <c:idx val="14"/>
          <c:order val="14"/>
          <c:tx>
            <c:strRef>
              <c:f>'T1'!$AM$1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'T1'!$AM$2:$AM$6</c:f>
              <c:numCache>
                <c:formatCode>General</c:formatCode>
                <c:ptCount val="5"/>
                <c:pt idx="0">
                  <c:v>0</c:v>
                </c:pt>
                <c:pt idx="1">
                  <c:v>-0.15481055762693499</c:v>
                </c:pt>
                <c:pt idx="2">
                  <c:v>-0.98930092967184513</c:v>
                </c:pt>
                <c:pt idx="3">
                  <c:v>-0.57939067851012049</c:v>
                </c:pt>
                <c:pt idx="4">
                  <c:v>-0.24668800699944077</c:v>
                </c:pt>
              </c:numCache>
            </c:numRef>
          </c:yVal>
        </c:ser>
        <c:ser>
          <c:idx val="15"/>
          <c:order val="15"/>
          <c:tx>
            <c:strRef>
              <c:f>'T1'!$AN$1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'T1'!$AN$2:$AN$6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-0.60109946435904049</c:v>
                </c:pt>
                <c:pt idx="2">
                  <c:v>-0.90448239902328387</c:v>
                </c:pt>
                <c:pt idx="3">
                  <c:v>-0.34200721977918763</c:v>
                </c:pt>
                <c:pt idx="4">
                  <c:v>-0.75734695717488032</c:v>
                </c:pt>
              </c:numCache>
            </c:numRef>
          </c:yVal>
        </c:ser>
        <c:ser>
          <c:idx val="16"/>
          <c:order val="16"/>
          <c:tx>
            <c:strRef>
              <c:f>'T1'!$AO$1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'T1'!$AO$2:$AO$6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1.5628507169179926</c:v>
                </c:pt>
                <c:pt idx="2">
                  <c:v>1.1202113004601639</c:v>
                </c:pt>
                <c:pt idx="3">
                  <c:v>0.15319148747147746</c:v>
                </c:pt>
                <c:pt idx="4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'T1'!$AP$1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'T1'!$AP$2:$AP$6</c:f>
              <c:numCache>
                <c:formatCode>General</c:formatCode>
                <c:ptCount val="5"/>
                <c:pt idx="0">
                  <c:v>-6.1872606335067966</c:v>
                </c:pt>
                <c:pt idx="1">
                  <c:v>-6.3199107504976002</c:v>
                </c:pt>
                <c:pt idx="2">
                  <c:v>-6.5455922828312376</c:v>
                </c:pt>
                <c:pt idx="3">
                  <c:v>-6.3775334226100382</c:v>
                </c:pt>
                <c:pt idx="4">
                  <c:v>-6.3271805588693839</c:v>
                </c:pt>
              </c:numCache>
            </c:numRef>
          </c:yVal>
        </c:ser>
        <c:ser>
          <c:idx val="18"/>
          <c:order val="18"/>
          <c:tx>
            <c:strRef>
              <c:f>'T1'!$AQ$1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'T1'!$AQ$2:$AQ$6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0.38268918457866852</c:v>
                </c:pt>
                <c:pt idx="2">
                  <c:v>-0.2586852836048521</c:v>
                </c:pt>
                <c:pt idx="3">
                  <c:v>-0.24844440761248687</c:v>
                </c:pt>
                <c:pt idx="4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'T1'!$AR$1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'T1'!$AR$2:$AR$6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2.1570700726473273</c:v>
                </c:pt>
                <c:pt idx="2">
                  <c:v>-1.4706276373867542</c:v>
                </c:pt>
                <c:pt idx="3">
                  <c:v>-2.1085471620444682</c:v>
                </c:pt>
                <c:pt idx="4">
                  <c:v>-2.0386610813912238</c:v>
                </c:pt>
              </c:numCache>
            </c:numRef>
          </c:yVal>
        </c:ser>
        <c:ser>
          <c:idx val="20"/>
          <c:order val="20"/>
          <c:tx>
            <c:strRef>
              <c:f>'T1'!$AS$1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'T1'!$AS$2:$AS$6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-3.0336693408316258</c:v>
                </c:pt>
                <c:pt idx="2">
                  <c:v>-0.66716973858460538</c:v>
                </c:pt>
                <c:pt idx="3">
                  <c:v>-3.5072366853081554</c:v>
                </c:pt>
                <c:pt idx="4">
                  <c:v>-3.5502212856090787</c:v>
                </c:pt>
              </c:numCache>
            </c:numRef>
          </c:yVal>
        </c:ser>
        <c:ser>
          <c:idx val="21"/>
          <c:order val="21"/>
          <c:tx>
            <c:strRef>
              <c:f>'T1'!$AT$1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'T1'!$AT$2:$AT$6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-0.8077372463342255</c:v>
                </c:pt>
                <c:pt idx="2">
                  <c:v>-1.2023645505387202</c:v>
                </c:pt>
                <c:pt idx="3">
                  <c:v>-1.1108764007328664</c:v>
                </c:pt>
                <c:pt idx="4">
                  <c:v>-1.2621424254374329</c:v>
                </c:pt>
              </c:numCache>
            </c:numRef>
          </c:yVal>
        </c:ser>
        <c:axId val="91944448"/>
        <c:axId val="91900928"/>
      </c:scatterChart>
      <c:valAx>
        <c:axId val="91944448"/>
        <c:scaling>
          <c:orientation val="minMax"/>
        </c:scaling>
        <c:axPos val="b"/>
        <c:tickLblPos val="nextTo"/>
        <c:crossAx val="91900928"/>
        <c:crosses val="autoZero"/>
        <c:crossBetween val="midCat"/>
      </c:valAx>
      <c:valAx>
        <c:axId val="91900928"/>
        <c:scaling>
          <c:orientation val="minMax"/>
        </c:scaling>
        <c:axPos val="l"/>
        <c:majorGridlines/>
        <c:numFmt formatCode="General" sourceLinked="1"/>
        <c:tickLblPos val="nextTo"/>
        <c:crossAx val="91944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764E-2"/>
          <c:y val="4.2141294838145271E-2"/>
          <c:w val="0.7026797900262467"/>
          <c:h val="0.89719889180519119"/>
        </c:manualLayout>
      </c:layout>
      <c:scatterChart>
        <c:scatterStyle val="lineMarker"/>
        <c:ser>
          <c:idx val="0"/>
          <c:order val="0"/>
          <c:tx>
            <c:strRef>
              <c:f>'T1 (2)'!$Y$1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(2)'!$Y$2:$Y$6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tx>
            <c:strRef>
              <c:f>'T1 (2)'!$Z$1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(2)'!$Z$2:$Z$6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-0.76134429263199177</c:v>
                </c:pt>
                <c:pt idx="2">
                  <c:v>-1.2375108326079596</c:v>
                </c:pt>
                <c:pt idx="3">
                  <c:v>-1.5575443587894182</c:v>
                </c:pt>
                <c:pt idx="4">
                  <c:v>-1.201636496371207</c:v>
                </c:pt>
              </c:numCache>
            </c:numRef>
          </c:yVal>
        </c:ser>
        <c:ser>
          <c:idx val="2"/>
          <c:order val="2"/>
          <c:tx>
            <c:strRef>
              <c:f>'T1 (2)'!$AA$1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(2)'!$AA$2:$AA$6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3.401670283718857</c:v>
                </c:pt>
                <c:pt idx="2">
                  <c:v>-3.0956932563087141</c:v>
                </c:pt>
                <c:pt idx="3">
                  <c:v>-3.1685285671456773</c:v>
                </c:pt>
                <c:pt idx="4">
                  <c:v>-2.8708330856222002</c:v>
                </c:pt>
              </c:numCache>
            </c:numRef>
          </c:yVal>
        </c:ser>
        <c:ser>
          <c:idx val="3"/>
          <c:order val="3"/>
          <c:tx>
            <c:strRef>
              <c:f>'T1 (2)'!$AB$1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(2)'!$AB$2:$AB$6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-2.6414417213358417</c:v>
                </c:pt>
                <c:pt idx="2">
                  <c:v>-2.2810584451894376</c:v>
                </c:pt>
                <c:pt idx="3">
                  <c:v>-3.0753399200337297</c:v>
                </c:pt>
                <c:pt idx="4">
                  <c:v>-0.74857062884268455</c:v>
                </c:pt>
              </c:numCache>
            </c:numRef>
          </c:yVal>
        </c:ser>
        <c:ser>
          <c:idx val="4"/>
          <c:order val="4"/>
          <c:tx>
            <c:strRef>
              <c:f>'T1 (2)'!$AC$1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(2)'!$AC$2:$AC$6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-3.3550020284117257</c:v>
                </c:pt>
                <c:pt idx="2">
                  <c:v>-3.6345971493160154</c:v>
                </c:pt>
                <c:pt idx="3">
                  <c:v>-3.8400979523051717</c:v>
                </c:pt>
                <c:pt idx="4">
                  <c:v>-3.6413502665921014</c:v>
                </c:pt>
              </c:numCache>
            </c:numRef>
          </c:yVal>
        </c:ser>
        <c:ser>
          <c:idx val="5"/>
          <c:order val="5"/>
          <c:tx>
            <c:strRef>
              <c:f>'T1 (2)'!$AD$1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(2)'!$AD$2:$AD$6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0.796989787836902</c:v>
                </c:pt>
                <c:pt idx="2">
                  <c:v>0.69009611250599445</c:v>
                </c:pt>
                <c:pt idx="3">
                  <c:v>0</c:v>
                </c:pt>
                <c:pt idx="4">
                  <c:v>0.91349168299202355</c:v>
                </c:pt>
              </c:numCache>
            </c:numRef>
          </c:yVal>
        </c:ser>
        <c:ser>
          <c:idx val="7"/>
          <c:order val="6"/>
          <c:tx>
            <c:strRef>
              <c:f>'T1 (2)'!$AF$1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(2)'!$AF$2:$AF$6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-2.4204147801813725</c:v>
                </c:pt>
                <c:pt idx="2">
                  <c:v>-2.9613427905736875</c:v>
                </c:pt>
                <c:pt idx="3">
                  <c:v>-3.1379798518811008</c:v>
                </c:pt>
                <c:pt idx="4">
                  <c:v>-3.3865913526460427</c:v>
                </c:pt>
              </c:numCache>
            </c:numRef>
          </c:yVal>
        </c:ser>
        <c:ser>
          <c:idx val="8"/>
          <c:order val="7"/>
          <c:tx>
            <c:strRef>
              <c:f>'T1 (2)'!$AG$1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(2)'!$AG$2:$AG$6</c:f>
              <c:numCache>
                <c:formatCode>General</c:formatCode>
                <c:ptCount val="5"/>
                <c:pt idx="0">
                  <c:v>2.6036530622777003</c:v>
                </c:pt>
                <c:pt idx="2">
                  <c:v>-2.8216187428861237</c:v>
                </c:pt>
                <c:pt idx="3">
                  <c:v>-3.262023823391174</c:v>
                </c:pt>
                <c:pt idx="4">
                  <c:v>-3.1442295028809548</c:v>
                </c:pt>
              </c:numCache>
            </c:numRef>
          </c:yVal>
        </c:ser>
        <c:ser>
          <c:idx val="9"/>
          <c:order val="8"/>
          <c:tx>
            <c:strRef>
              <c:f>'T1 (2)'!$AH$1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(2)'!$AH$2:$AH$6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-0.50056277920889292</c:v>
                </c:pt>
                <c:pt idx="2">
                  <c:v>-0.94636852503729008</c:v>
                </c:pt>
                <c:pt idx="3">
                  <c:v>-1.0975104733522025</c:v>
                </c:pt>
                <c:pt idx="4">
                  <c:v>-0.73103433884982005</c:v>
                </c:pt>
              </c:numCache>
            </c:numRef>
          </c:yVal>
        </c:ser>
        <c:ser>
          <c:idx val="10"/>
          <c:order val="9"/>
          <c:tx>
            <c:strRef>
              <c:f>'T1 (2)'!$AI$1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(2)'!$AI$2:$AI$6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-4.4430511104524664</c:v>
                </c:pt>
                <c:pt idx="2">
                  <c:v>-4.6073880567360641</c:v>
                </c:pt>
                <c:pt idx="3">
                  <c:v>-4.7131295383449823</c:v>
                </c:pt>
                <c:pt idx="4">
                  <c:v>-4.6531478984516781</c:v>
                </c:pt>
              </c:numCache>
            </c:numRef>
          </c:yVal>
        </c:ser>
        <c:ser>
          <c:idx val="11"/>
          <c:order val="10"/>
          <c:tx>
            <c:strRef>
              <c:f>'T1 (2)'!$AJ$1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(2)'!$AJ$2:$AJ$6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-0.82296098429966091</c:v>
                </c:pt>
                <c:pt idx="2">
                  <c:v>-0.12031044052702607</c:v>
                </c:pt>
                <c:pt idx="3">
                  <c:v>-0.94469204933930118</c:v>
                </c:pt>
                <c:pt idx="4">
                  <c:v>-1.2494641118756387</c:v>
                </c:pt>
              </c:numCache>
            </c:numRef>
          </c:yVal>
        </c:ser>
        <c:ser>
          <c:idx val="12"/>
          <c:order val="11"/>
          <c:tx>
            <c:strRef>
              <c:f>'T1 (2)'!$AK$1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(2)'!$AK$2:$AK$6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-3.2056360650171656</c:v>
                </c:pt>
                <c:pt idx="2">
                  <c:v>-2.3481481700775264</c:v>
                </c:pt>
                <c:pt idx="3">
                  <c:v>-3.1308873890929005</c:v>
                </c:pt>
                <c:pt idx="4">
                  <c:v>-3.1595197285181276</c:v>
                </c:pt>
              </c:numCache>
            </c:numRef>
          </c:yVal>
        </c:ser>
        <c:ser>
          <c:idx val="13"/>
          <c:order val="12"/>
          <c:tx>
            <c:strRef>
              <c:f>'T1 (2)'!$AL$1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(2)'!$AL$2:$AL$6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-2.9034724287482621</c:v>
                </c:pt>
                <c:pt idx="2">
                  <c:v>-3.3566228290089271</c:v>
                </c:pt>
                <c:pt idx="3">
                  <c:v>-3.5779977554029143</c:v>
                </c:pt>
                <c:pt idx="4">
                  <c:v>-3.333344691312722</c:v>
                </c:pt>
              </c:numCache>
            </c:numRef>
          </c:yVal>
        </c:ser>
        <c:ser>
          <c:idx val="14"/>
          <c:order val="13"/>
          <c:tx>
            <c:strRef>
              <c:f>'T1 (2)'!$AM$1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(2)'!$AM$2:$AM$6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5"/>
          <c:order val="14"/>
          <c:tx>
            <c:strRef>
              <c:f>'T1 (2)'!$AN$1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(2)'!$AN$2:$AN$6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-0.60109946435904049</c:v>
                </c:pt>
                <c:pt idx="2">
                  <c:v>-0.90448239902328387</c:v>
                </c:pt>
                <c:pt idx="3">
                  <c:v>-0.34200721977918763</c:v>
                </c:pt>
                <c:pt idx="4">
                  <c:v>-0.75734695717488032</c:v>
                </c:pt>
              </c:numCache>
            </c:numRef>
          </c:yVal>
        </c:ser>
        <c:ser>
          <c:idx val="16"/>
          <c:order val="15"/>
          <c:tx>
            <c:strRef>
              <c:f>'T1 (2)'!$AO$1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(2)'!$AO$2:$AO$6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1.5628507169179926</c:v>
                </c:pt>
                <c:pt idx="2">
                  <c:v>1.1202113004601639</c:v>
                </c:pt>
                <c:pt idx="3">
                  <c:v>0.15319148747147746</c:v>
                </c:pt>
                <c:pt idx="4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'T1 (2)'!$AP$1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(2)'!$AP$2:$AP$6</c:f>
              <c:numCache>
                <c:formatCode>General</c:formatCode>
                <c:ptCount val="5"/>
              </c:numCache>
            </c:numRef>
          </c:yVal>
        </c:ser>
        <c:ser>
          <c:idx val="18"/>
          <c:order val="17"/>
          <c:tx>
            <c:strRef>
              <c:f>'T1 (2)'!$AQ$1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(2)'!$AQ$2:$AQ$6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0.38268918457866852</c:v>
                </c:pt>
                <c:pt idx="2">
                  <c:v>-0.2586852836048521</c:v>
                </c:pt>
                <c:pt idx="3">
                  <c:v>-0.24844440761248687</c:v>
                </c:pt>
                <c:pt idx="4">
                  <c:v>0</c:v>
                </c:pt>
              </c:numCache>
            </c:numRef>
          </c:yVal>
        </c:ser>
        <c:ser>
          <c:idx val="19"/>
          <c:order val="18"/>
          <c:tx>
            <c:strRef>
              <c:f>'T1 (2)'!$AR$1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(2)'!$AR$2:$AR$6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2.1570700726473273</c:v>
                </c:pt>
                <c:pt idx="2">
                  <c:v>-1.4706276373867542</c:v>
                </c:pt>
                <c:pt idx="3">
                  <c:v>-2.1085471620444682</c:v>
                </c:pt>
                <c:pt idx="4">
                  <c:v>-2.0386610813912238</c:v>
                </c:pt>
              </c:numCache>
            </c:numRef>
          </c:yVal>
        </c:ser>
        <c:ser>
          <c:idx val="20"/>
          <c:order val="19"/>
          <c:tx>
            <c:strRef>
              <c:f>'T1 (2)'!$AS$1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(2)'!$AS$2:$AS$6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-3.0336693408316258</c:v>
                </c:pt>
                <c:pt idx="2">
                  <c:v>-0.66716973858460538</c:v>
                </c:pt>
                <c:pt idx="3">
                  <c:v>-3.5072366853081554</c:v>
                </c:pt>
                <c:pt idx="4">
                  <c:v>-3.5502212856090787</c:v>
                </c:pt>
              </c:numCache>
            </c:numRef>
          </c:yVal>
        </c:ser>
        <c:ser>
          <c:idx val="21"/>
          <c:order val="20"/>
          <c:tx>
            <c:strRef>
              <c:f>'T1 (2)'!$AT$1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(2)'!$AT$2:$AT$6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-0.8077372463342255</c:v>
                </c:pt>
                <c:pt idx="2">
                  <c:v>-1.2023645505387202</c:v>
                </c:pt>
                <c:pt idx="3">
                  <c:v>-1.1108764007328664</c:v>
                </c:pt>
                <c:pt idx="4">
                  <c:v>-1.2621424254374329</c:v>
                </c:pt>
              </c:numCache>
            </c:numRef>
          </c:yVal>
        </c:ser>
        <c:axId val="148546688"/>
        <c:axId val="148548224"/>
      </c:scatterChart>
      <c:valAx>
        <c:axId val="148546688"/>
        <c:scaling>
          <c:orientation val="minMax"/>
        </c:scaling>
        <c:axPos val="b"/>
        <c:tickLblPos val="nextTo"/>
        <c:crossAx val="148548224"/>
        <c:crosses val="autoZero"/>
        <c:crossBetween val="midCat"/>
      </c:valAx>
      <c:valAx>
        <c:axId val="148548224"/>
        <c:scaling>
          <c:orientation val="minMax"/>
        </c:scaling>
        <c:axPos val="l"/>
        <c:majorGridlines/>
        <c:numFmt formatCode="General" sourceLinked="1"/>
        <c:tickLblPos val="nextTo"/>
        <c:crossAx val="148546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S_10 valores</c:v>
          </c:tx>
          <c:spPr>
            <a:ln w="28575">
              <a:noFill/>
            </a:ln>
          </c:spPr>
          <c:xVal>
            <c:strRef>
              <c:f>Rescaled!$M$27:$M$47</c:f>
              <c:strCache>
                <c:ptCount val="10"/>
                <c:pt idx="0">
                  <c:v>30</c:v>
                </c:pt>
                <c:pt idx="4">
                  <c:v>Time</c:v>
                </c:pt>
                <c:pt idx="5">
                  <c:v>Pre</c:v>
                </c:pt>
                <c:pt idx="6">
                  <c:v>5 min</c:v>
                </c:pt>
                <c:pt idx="7">
                  <c:v>10 min</c:v>
                </c:pt>
                <c:pt idx="8">
                  <c:v>15 min</c:v>
                </c:pt>
                <c:pt idx="9">
                  <c:v>20 min</c:v>
                </c:pt>
              </c:strCache>
            </c:strRef>
          </c:xVal>
          <c:yVal>
            <c:numRef>
              <c:f>Rescaled!$N$27:$N$47</c:f>
              <c:numCache>
                <c:formatCode>General</c:formatCode>
                <c:ptCount val="21"/>
                <c:pt idx="0">
                  <c:v>142.20000000000002</c:v>
                </c:pt>
                <c:pt idx="4">
                  <c:v>0</c:v>
                </c:pt>
                <c:pt idx="5">
                  <c:v>7.4236375471311087</c:v>
                </c:pt>
                <c:pt idx="6">
                  <c:v>5.0884279756862902</c:v>
                </c:pt>
                <c:pt idx="7">
                  <c:v>7.2892652918795342</c:v>
                </c:pt>
                <c:pt idx="8">
                  <c:v>7.3625310187793556</c:v>
                </c:pt>
                <c:pt idx="9">
                  <c:v>7.5634274039045106</c:v>
                </c:pt>
              </c:numCache>
            </c:numRef>
          </c:yVal>
        </c:ser>
        <c:ser>
          <c:idx val="1"/>
          <c:order val="1"/>
          <c:tx>
            <c:v>T1</c:v>
          </c:tx>
          <c:spPr>
            <a:ln w="28575">
              <a:noFill/>
            </a:ln>
          </c:spPr>
          <c:xVal>
            <c:numRef>
              <c:f>Rescaled!$W$27:$W$47</c:f>
              <c:numCache>
                <c:formatCode>General</c:formatCode>
                <c:ptCount val="21"/>
              </c:numCache>
            </c:numRef>
          </c:xVal>
          <c:yVal>
            <c:numRef>
              <c:f>Rescaled!$S$28:$S$47</c:f>
              <c:numCache>
                <c:formatCode>0.00000</c:formatCode>
                <c:ptCount val="20"/>
              </c:numCache>
            </c:numRef>
          </c:yVal>
        </c:ser>
        <c:ser>
          <c:idx val="2"/>
          <c:order val="2"/>
          <c:tx>
            <c:v>Helms</c:v>
          </c:tx>
          <c:spPr>
            <a:ln w="28575">
              <a:noFill/>
            </a:ln>
          </c:spPr>
          <c:xVal>
            <c:numRef>
              <c:f>Rescaled!$X$28:$X$47</c:f>
              <c:numCache>
                <c:formatCode>General</c:formatCode>
                <c:ptCount val="20"/>
              </c:numCache>
            </c:numRef>
          </c:xVal>
          <c:yVal>
            <c:numRef>
              <c:f>Rescaled!$Y$28:$Y$47</c:f>
              <c:numCache>
                <c:formatCode>General</c:formatCode>
                <c:ptCount val="20"/>
              </c:numCache>
            </c:numRef>
          </c:yVal>
        </c:ser>
        <c:axId val="88273280"/>
        <c:axId val="88274816"/>
      </c:scatterChart>
      <c:valAx>
        <c:axId val="88273280"/>
        <c:scaling>
          <c:orientation val="minMax"/>
        </c:scaling>
        <c:axPos val="b"/>
        <c:numFmt formatCode="General" sourceLinked="1"/>
        <c:tickLblPos val="nextTo"/>
        <c:crossAx val="88274816"/>
        <c:crosses val="autoZero"/>
        <c:crossBetween val="midCat"/>
      </c:valAx>
      <c:valAx>
        <c:axId val="88274816"/>
        <c:scaling>
          <c:orientation val="minMax"/>
        </c:scaling>
        <c:axPos val="l"/>
        <c:majorGridlines/>
        <c:numFmt formatCode="General" sourceLinked="1"/>
        <c:tickLblPos val="nextTo"/>
        <c:crossAx val="88273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4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Rescaled!$D$2:$D$23</c:f>
              <c:numCache>
                <c:formatCode>0.00</c:formatCode>
                <c:ptCount val="22"/>
                <c:pt idx="0">
                  <c:v>7.4328859060402683</c:v>
                </c:pt>
                <c:pt idx="1">
                  <c:v>15.266443701226308</c:v>
                </c:pt>
                <c:pt idx="2">
                  <c:v>11.337813620071685</c:v>
                </c:pt>
                <c:pt idx="3">
                  <c:v>11.476190476190476</c:v>
                </c:pt>
                <c:pt idx="4">
                  <c:v>9.2803234501347713</c:v>
                </c:pt>
                <c:pt idx="5">
                  <c:v>24.707350901525658</c:v>
                </c:pt>
                <c:pt idx="6">
                  <c:v>17.33080808080808</c:v>
                </c:pt>
                <c:pt idx="7">
                  <c:v>14.379487179487178</c:v>
                </c:pt>
                <c:pt idx="8">
                  <c:v>26.651162790697676</c:v>
                </c:pt>
                <c:pt idx="9">
                  <c:v>17.052749719416386</c:v>
                </c:pt>
                <c:pt idx="10">
                  <c:v>14.911572052401747</c:v>
                </c:pt>
                <c:pt idx="11">
                  <c:v>14.827852998065763</c:v>
                </c:pt>
                <c:pt idx="12">
                  <c:v>15.558352402745994</c:v>
                </c:pt>
                <c:pt idx="13">
                  <c:v>12.701718907987866</c:v>
                </c:pt>
                <c:pt idx="14">
                  <c:v>8.7730696798493408</c:v>
                </c:pt>
                <c:pt idx="15">
                  <c:v>11.917708333333334</c:v>
                </c:pt>
                <c:pt idx="16">
                  <c:v>9.6334431630971995</c:v>
                </c:pt>
                <c:pt idx="17">
                  <c:v>23.004316546762588</c:v>
                </c:pt>
                <c:pt idx="18">
                  <c:v>19.869837296620773</c:v>
                </c:pt>
                <c:pt idx="19">
                  <c:v>7.2260034904013954</c:v>
                </c:pt>
                <c:pt idx="20">
                  <c:v>19.330012453300125</c:v>
                </c:pt>
                <c:pt idx="21">
                  <c:v>11.476744186046512</c:v>
                </c:pt>
              </c:numCache>
            </c:numRef>
          </c:xVal>
          <c:yVal>
            <c:numRef>
              <c:f>Rescaled!$E$2:$E$23</c:f>
              <c:numCache>
                <c:formatCode>0.00</c:formatCode>
                <c:ptCount val="22"/>
                <c:pt idx="0">
                  <c:v>72.380392156862754</c:v>
                </c:pt>
                <c:pt idx="1">
                  <c:v>82.237735849056605</c:v>
                </c:pt>
                <c:pt idx="2">
                  <c:v>43.552419354838712</c:v>
                </c:pt>
                <c:pt idx="3">
                  <c:v>75.901006711409394</c:v>
                </c:pt>
                <c:pt idx="4">
                  <c:v>67.254201680672267</c:v>
                </c:pt>
                <c:pt idx="5">
                  <c:v>115.48387096774194</c:v>
                </c:pt>
                <c:pt idx="6">
                  <c:v>68.182608695652178</c:v>
                </c:pt>
                <c:pt idx="7">
                  <c:v>92.605633802816911</c:v>
                </c:pt>
                <c:pt idx="8">
                  <c:v>50.509383378016089</c:v>
                </c:pt>
                <c:pt idx="9">
                  <c:v>89.58424908424908</c:v>
                </c:pt>
                <c:pt idx="10">
                  <c:v>126.68702290076337</c:v>
                </c:pt>
                <c:pt idx="11">
                  <c:v>80.359183673469374</c:v>
                </c:pt>
                <c:pt idx="12">
                  <c:v>110.53095238095239</c:v>
                </c:pt>
                <c:pt idx="13">
                  <c:v>86.785992217898837</c:v>
                </c:pt>
                <c:pt idx="14">
                  <c:v>44.656514382402712</c:v>
                </c:pt>
                <c:pt idx="15">
                  <c:v>63.21052631578948</c:v>
                </c:pt>
                <c:pt idx="16">
                  <c:v>42.314285714285717</c:v>
                </c:pt>
                <c:pt idx="17">
                  <c:v>279.47979797979798</c:v>
                </c:pt>
                <c:pt idx="18">
                  <c:v>96.206611570247929</c:v>
                </c:pt>
                <c:pt idx="19">
                  <c:v>30.327559055118115</c:v>
                </c:pt>
                <c:pt idx="20">
                  <c:v>134.28571428571428</c:v>
                </c:pt>
                <c:pt idx="21">
                  <c:v>62.104906937394247</c:v>
                </c:pt>
              </c:numCache>
            </c:numRef>
          </c:yVal>
        </c:ser>
        <c:ser>
          <c:idx val="5"/>
          <c:order val="5"/>
          <c:tx>
            <c:v>10min</c:v>
          </c:tx>
          <c:spPr>
            <a:ln w="28575">
              <a:noFill/>
            </a:ln>
          </c:spPr>
          <c:xVal>
            <c:numRef>
              <c:f>Rescaled!$F$2:$F$23</c:f>
              <c:numCache>
                <c:formatCode>0.00</c:formatCode>
                <c:ptCount val="22"/>
                <c:pt idx="0">
                  <c:v>7.6583892617449658</c:v>
                </c:pt>
                <c:pt idx="1">
                  <c:v>15.865105908584168</c:v>
                </c:pt>
                <c:pt idx="2">
                  <c:v>11.36021505376344</c:v>
                </c:pt>
                <c:pt idx="3">
                  <c:v>11.418498168498168</c:v>
                </c:pt>
                <c:pt idx="4">
                  <c:v>9.3629829290206636</c:v>
                </c:pt>
                <c:pt idx="5">
                  <c:v>24.940360610263522</c:v>
                </c:pt>
                <c:pt idx="6">
                  <c:v>16.763888888888889</c:v>
                </c:pt>
                <c:pt idx="7">
                  <c:v>14.387692307692308</c:v>
                </c:pt>
                <c:pt idx="8">
                  <c:v>27.495212038303695</c:v>
                </c:pt>
                <c:pt idx="9">
                  <c:v>17.20314253647587</c:v>
                </c:pt>
                <c:pt idx="10">
                  <c:v>15.1353711790393</c:v>
                </c:pt>
                <c:pt idx="11">
                  <c:v>15.12862669245648</c:v>
                </c:pt>
                <c:pt idx="12">
                  <c:v>15.83867276887872</c:v>
                </c:pt>
                <c:pt idx="13">
                  <c:v>12.747219413549038</c:v>
                </c:pt>
                <c:pt idx="14">
                  <c:v>8.4529190207156315</c:v>
                </c:pt>
                <c:pt idx="15">
                  <c:v>11.210416666666667</c:v>
                </c:pt>
                <c:pt idx="16">
                  <c:v>10.16968698517298</c:v>
                </c:pt>
                <c:pt idx="17">
                  <c:v>23.194244604316545</c:v>
                </c:pt>
                <c:pt idx="18">
                  <c:v>19.511889862327909</c:v>
                </c:pt>
                <c:pt idx="19">
                  <c:v>9.3507853403141343</c:v>
                </c:pt>
                <c:pt idx="20">
                  <c:v>19.408468244084684</c:v>
                </c:pt>
                <c:pt idx="21">
                  <c:v>11.1734496124031</c:v>
                </c:pt>
              </c:numCache>
            </c:numRef>
          </c:xVal>
          <c:yVal>
            <c:numRef>
              <c:f>Rescaled!$G$2:$G$23</c:f>
              <c:numCache>
                <c:formatCode>0.00</c:formatCode>
                <c:ptCount val="22"/>
                <c:pt idx="0">
                  <c:v>77.29607843137255</c:v>
                </c:pt>
                <c:pt idx="1">
                  <c:v>89.647169811320751</c:v>
                </c:pt>
                <c:pt idx="2">
                  <c:v>79.554435483870961</c:v>
                </c:pt>
                <c:pt idx="3">
                  <c:v>72.340604026845639</c:v>
                </c:pt>
                <c:pt idx="4">
                  <c:v>70.508403361344548</c:v>
                </c:pt>
                <c:pt idx="5">
                  <c:v>117.62672811059909</c:v>
                </c:pt>
                <c:pt idx="6">
                  <c:v>70.577391304347827</c:v>
                </c:pt>
                <c:pt idx="7">
                  <c:v>99.030181086519121</c:v>
                </c:pt>
                <c:pt idx="8">
                  <c:v>185.94101876675603</c:v>
                </c:pt>
                <c:pt idx="9">
                  <c:v>94.379120879120876</c:v>
                </c:pt>
                <c:pt idx="10">
                  <c:v>132.04198473282443</c:v>
                </c:pt>
                <c:pt idx="11">
                  <c:v>76.789795918367332</c:v>
                </c:pt>
                <c:pt idx="12">
                  <c:v>101.13571428571427</c:v>
                </c:pt>
                <c:pt idx="13">
                  <c:v>92.39883268482491</c:v>
                </c:pt>
                <c:pt idx="14">
                  <c:v>46.573604060913702</c:v>
                </c:pt>
                <c:pt idx="15">
                  <c:v>61.246179966044146</c:v>
                </c:pt>
                <c:pt idx="16">
                  <c:v>46.28027210884354</c:v>
                </c:pt>
                <c:pt idx="17">
                  <c:v>297.28282828282829</c:v>
                </c:pt>
                <c:pt idx="18">
                  <c:v>100.22933884297521</c:v>
                </c:pt>
                <c:pt idx="19">
                  <c:v>54.140157480314969</c:v>
                </c:pt>
                <c:pt idx="20">
                  <c:v>103.59766763848395</c:v>
                </c:pt>
                <c:pt idx="21">
                  <c:v>62.90862944162437</c:v>
                </c:pt>
              </c:numCache>
            </c:numRef>
          </c:yVal>
        </c:ser>
        <c:ser>
          <c:idx val="6"/>
          <c:order val="6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Rescaled!$H$2:$H$23</c:f>
              <c:numCache>
                <c:formatCode>0.00</c:formatCode>
                <c:ptCount val="22"/>
                <c:pt idx="0">
                  <c:v>4.4812080536912751</c:v>
                </c:pt>
                <c:pt idx="1">
                  <c:v>15.683389074693423</c:v>
                </c:pt>
                <c:pt idx="2">
                  <c:v>11.350358422939069</c:v>
                </c:pt>
                <c:pt idx="3">
                  <c:v>11.175824175824177</c:v>
                </c:pt>
                <c:pt idx="4">
                  <c:v>9.752920035938903</c:v>
                </c:pt>
                <c:pt idx="5">
                  <c:v>23.615811373092928</c:v>
                </c:pt>
                <c:pt idx="6">
                  <c:v>16.853535353535353</c:v>
                </c:pt>
                <c:pt idx="7">
                  <c:v>14.447179487179488</c:v>
                </c:pt>
                <c:pt idx="8">
                  <c:v>26.857729138166899</c:v>
                </c:pt>
                <c:pt idx="9">
                  <c:v>17.30415263748597</c:v>
                </c:pt>
                <c:pt idx="10">
                  <c:v>15.232532751091703</c:v>
                </c:pt>
                <c:pt idx="11">
                  <c:v>14.528046421663444</c:v>
                </c:pt>
                <c:pt idx="12">
                  <c:v>16.022883295194507</c:v>
                </c:pt>
                <c:pt idx="13">
                  <c:v>12.467138523761374</c:v>
                </c:pt>
                <c:pt idx="14">
                  <c:v>8.740112994350282</c:v>
                </c:pt>
                <c:pt idx="15">
                  <c:v>12.401041666666666</c:v>
                </c:pt>
                <c:pt idx="16">
                  <c:v>9.2792421746293243</c:v>
                </c:pt>
                <c:pt idx="17">
                  <c:v>23.389928057553956</c:v>
                </c:pt>
                <c:pt idx="18">
                  <c:v>19.853566958698373</c:v>
                </c:pt>
                <c:pt idx="19">
                  <c:v>9.4171029668411865</c:v>
                </c:pt>
                <c:pt idx="20">
                  <c:v>21.077210460772108</c:v>
                </c:pt>
                <c:pt idx="21">
                  <c:v>11.696705426356589</c:v>
                </c:pt>
              </c:numCache>
            </c:numRef>
          </c:xVal>
          <c:yVal>
            <c:numRef>
              <c:f>Rescaled!$I$2:$I$23</c:f>
              <c:numCache>
                <c:formatCode>0.00</c:formatCode>
                <c:ptCount val="22"/>
                <c:pt idx="0">
                  <c:v>77.552941176470597</c:v>
                </c:pt>
                <c:pt idx="1">
                  <c:v>91.649056603773587</c:v>
                </c:pt>
                <c:pt idx="2">
                  <c:v>80.243951612903231</c:v>
                </c:pt>
                <c:pt idx="3">
                  <c:v>78.057046979865774</c:v>
                </c:pt>
                <c:pt idx="4">
                  <c:v>75.623949579831944</c:v>
                </c:pt>
                <c:pt idx="5">
                  <c:v>119.22119815668202</c:v>
                </c:pt>
                <c:pt idx="6">
                  <c:v>71.433043478260871</c:v>
                </c:pt>
                <c:pt idx="7">
                  <c:v>101.73038229376259</c:v>
                </c:pt>
                <c:pt idx="8">
                  <c:v>192.2332439678284</c:v>
                </c:pt>
                <c:pt idx="9">
                  <c:v>96.38827838827838</c:v>
                </c:pt>
                <c:pt idx="10">
                  <c:v>135.2290076335878</c:v>
                </c:pt>
                <c:pt idx="11">
                  <c:v>79.689795918367338</c:v>
                </c:pt>
                <c:pt idx="12">
                  <c:v>112.72142857142858</c:v>
                </c:pt>
                <c:pt idx="13">
                  <c:v>93.145914396887164</c:v>
                </c:pt>
                <c:pt idx="14">
                  <c:v>46.260575296108286</c:v>
                </c:pt>
                <c:pt idx="15">
                  <c:v>64.188455008488972</c:v>
                </c:pt>
                <c:pt idx="16">
                  <c:v>45.814965986394562</c:v>
                </c:pt>
                <c:pt idx="17">
                  <c:v>287.99494949494948</c:v>
                </c:pt>
                <c:pt idx="18">
                  <c:v>101.89049586776859</c:v>
                </c:pt>
                <c:pt idx="19">
                  <c:v>58.485039370078745</c:v>
                </c:pt>
                <c:pt idx="20">
                  <c:v>155.94169096209913</c:v>
                </c:pt>
                <c:pt idx="21">
                  <c:v>65.241962774957699</c:v>
                </c:pt>
              </c:numCache>
            </c:numRef>
          </c:yVal>
        </c:ser>
        <c:ser>
          <c:idx val="7"/>
          <c:order val="7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Rescaled!$J$2:$J$23</c:f>
              <c:numCache>
                <c:formatCode>0.00</c:formatCode>
                <c:ptCount val="22"/>
                <c:pt idx="0">
                  <c:v>7.6</c:v>
                </c:pt>
                <c:pt idx="1">
                  <c:v>16.01560758082497</c:v>
                </c:pt>
                <c:pt idx="2">
                  <c:v>11.753584229390679</c:v>
                </c:pt>
                <c:pt idx="3">
                  <c:v>11.187728937728938</c:v>
                </c:pt>
                <c:pt idx="4">
                  <c:v>9.219227313566936</c:v>
                </c:pt>
                <c:pt idx="5">
                  <c:v>25.650485436893202</c:v>
                </c:pt>
                <c:pt idx="6">
                  <c:v>17.935606060606062</c:v>
                </c:pt>
                <c:pt idx="7">
                  <c:v>14.348717948717949</c:v>
                </c:pt>
                <c:pt idx="8">
                  <c:v>26.875512995896035</c:v>
                </c:pt>
                <c:pt idx="9">
                  <c:v>17.932659932659931</c:v>
                </c:pt>
                <c:pt idx="10">
                  <c:v>16.110262008733624</c:v>
                </c:pt>
                <c:pt idx="11">
                  <c:v>14.345261121856868</c:v>
                </c:pt>
                <c:pt idx="12">
                  <c:v>15.131578947368421</c:v>
                </c:pt>
                <c:pt idx="13">
                  <c:v>11.964610717896864</c:v>
                </c:pt>
                <c:pt idx="14">
                  <c:v>9.1977401129943512</c:v>
                </c:pt>
                <c:pt idx="15">
                  <c:v>11.597916666666668</c:v>
                </c:pt>
                <c:pt idx="16">
                  <c:v>9.4827018121911042</c:v>
                </c:pt>
                <c:pt idx="17">
                  <c:v>24.289208633093526</c:v>
                </c:pt>
                <c:pt idx="18">
                  <c:v>20.430538172715895</c:v>
                </c:pt>
                <c:pt idx="19">
                  <c:v>9.6108202443280977</c:v>
                </c:pt>
                <c:pt idx="20">
                  <c:v>19.963885429638857</c:v>
                </c:pt>
                <c:pt idx="21">
                  <c:v>11.876937984496124</c:v>
                </c:pt>
              </c:numCache>
            </c:numRef>
          </c:xVal>
          <c:yVal>
            <c:numRef>
              <c:f>Rescaled!$K$2:$K$23</c:f>
              <c:numCache>
                <c:formatCode>0.00</c:formatCode>
                <c:ptCount val="22"/>
                <c:pt idx="0">
                  <c:v>78.103921568627456</c:v>
                </c:pt>
                <c:pt idx="1">
                  <c:v>90.164150943396237</c:v>
                </c:pt>
                <c:pt idx="2">
                  <c:v>79.977822580645167</c:v>
                </c:pt>
                <c:pt idx="3">
                  <c:v>60.191275167785236</c:v>
                </c:pt>
                <c:pt idx="4">
                  <c:v>69.491596638655466</c:v>
                </c:pt>
                <c:pt idx="5">
                  <c:v>118.73271889400921</c:v>
                </c:pt>
                <c:pt idx="6">
                  <c:v>74.248695652173907</c:v>
                </c:pt>
                <c:pt idx="7">
                  <c:v>104.42857142857143</c:v>
                </c:pt>
                <c:pt idx="8">
                  <c:v>189.39946380697052</c:v>
                </c:pt>
                <c:pt idx="9">
                  <c:v>96.315018315018321</c:v>
                </c:pt>
                <c:pt idx="10">
                  <c:v>141.60687022900763</c:v>
                </c:pt>
                <c:pt idx="11">
                  <c:v>81.159183673469386</c:v>
                </c:pt>
                <c:pt idx="12">
                  <c:v>106.85</c:v>
                </c:pt>
                <c:pt idx="13">
                  <c:v>86.45525291828794</c:v>
                </c:pt>
                <c:pt idx="14">
                  <c:v>47.196277495769884</c:v>
                </c:pt>
                <c:pt idx="15">
                  <c:v>62.451612903225808</c:v>
                </c:pt>
                <c:pt idx="16">
                  <c:v>47.855782312925172</c:v>
                </c:pt>
                <c:pt idx="17">
                  <c:v>295.5858585858586</c:v>
                </c:pt>
                <c:pt idx="18">
                  <c:v>102.20247933884298</c:v>
                </c:pt>
                <c:pt idx="19">
                  <c:v>59.215748031496062</c:v>
                </c:pt>
                <c:pt idx="20">
                  <c:v>148.58309037900872</c:v>
                </c:pt>
                <c:pt idx="21">
                  <c:v>67.282571912013537</c:v>
                </c:pt>
              </c:numCache>
            </c:numRef>
          </c:yVal>
        </c:ser>
        <c:axId val="86864640"/>
        <c:axId val="86866560"/>
      </c:scatterChart>
      <c:valAx>
        <c:axId val="86864640"/>
        <c:scaling>
          <c:orientation val="minMax"/>
        </c:scaling>
        <c:axPos val="b"/>
        <c:numFmt formatCode="0.00" sourceLinked="1"/>
        <c:tickLblPos val="nextTo"/>
        <c:crossAx val="86866560"/>
        <c:crosses val="autoZero"/>
        <c:crossBetween val="midCat"/>
      </c:valAx>
      <c:valAx>
        <c:axId val="86866560"/>
        <c:scaling>
          <c:orientation val="minMax"/>
        </c:scaling>
        <c:axPos val="l"/>
        <c:majorGridlines/>
        <c:numFmt formatCode="0.00" sourceLinked="1"/>
        <c:tickLblPos val="nextTo"/>
        <c:crossAx val="86864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4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Rescaled!$D$2:$D$23</c:f>
              <c:numCache>
                <c:formatCode>0.00</c:formatCode>
                <c:ptCount val="22"/>
                <c:pt idx="0">
                  <c:v>7.4328859060402683</c:v>
                </c:pt>
                <c:pt idx="1">
                  <c:v>15.266443701226308</c:v>
                </c:pt>
                <c:pt idx="2">
                  <c:v>11.337813620071685</c:v>
                </c:pt>
                <c:pt idx="3">
                  <c:v>11.476190476190476</c:v>
                </c:pt>
                <c:pt idx="4">
                  <c:v>9.2803234501347713</c:v>
                </c:pt>
                <c:pt idx="5">
                  <c:v>24.707350901525658</c:v>
                </c:pt>
                <c:pt idx="6">
                  <c:v>17.33080808080808</c:v>
                </c:pt>
                <c:pt idx="7">
                  <c:v>14.379487179487178</c:v>
                </c:pt>
                <c:pt idx="8">
                  <c:v>26.651162790697676</c:v>
                </c:pt>
                <c:pt idx="9">
                  <c:v>17.052749719416386</c:v>
                </c:pt>
                <c:pt idx="10">
                  <c:v>14.911572052401747</c:v>
                </c:pt>
                <c:pt idx="11">
                  <c:v>14.827852998065763</c:v>
                </c:pt>
                <c:pt idx="12">
                  <c:v>15.558352402745994</c:v>
                </c:pt>
                <c:pt idx="13">
                  <c:v>12.701718907987866</c:v>
                </c:pt>
                <c:pt idx="14">
                  <c:v>8.7730696798493408</c:v>
                </c:pt>
                <c:pt idx="15">
                  <c:v>11.917708333333334</c:v>
                </c:pt>
                <c:pt idx="16">
                  <c:v>9.6334431630971995</c:v>
                </c:pt>
                <c:pt idx="17">
                  <c:v>23.004316546762588</c:v>
                </c:pt>
                <c:pt idx="18">
                  <c:v>19.869837296620773</c:v>
                </c:pt>
                <c:pt idx="19">
                  <c:v>7.2260034904013954</c:v>
                </c:pt>
                <c:pt idx="20">
                  <c:v>19.330012453300125</c:v>
                </c:pt>
                <c:pt idx="21">
                  <c:v>11.476744186046512</c:v>
                </c:pt>
              </c:numCache>
            </c:numRef>
          </c:xVal>
          <c:yVal>
            <c:numRef>
              <c:f>Rescaled!$E$2:$E$23</c:f>
              <c:numCache>
                <c:formatCode>0.00</c:formatCode>
                <c:ptCount val="22"/>
                <c:pt idx="0">
                  <c:v>72.380392156862754</c:v>
                </c:pt>
                <c:pt idx="1">
                  <c:v>82.237735849056605</c:v>
                </c:pt>
                <c:pt idx="2">
                  <c:v>43.552419354838712</c:v>
                </c:pt>
                <c:pt idx="3">
                  <c:v>75.901006711409394</c:v>
                </c:pt>
                <c:pt idx="4">
                  <c:v>67.254201680672267</c:v>
                </c:pt>
                <c:pt idx="5">
                  <c:v>115.48387096774194</c:v>
                </c:pt>
                <c:pt idx="6">
                  <c:v>68.182608695652178</c:v>
                </c:pt>
                <c:pt idx="7">
                  <c:v>92.605633802816911</c:v>
                </c:pt>
                <c:pt idx="8">
                  <c:v>50.509383378016089</c:v>
                </c:pt>
                <c:pt idx="9">
                  <c:v>89.58424908424908</c:v>
                </c:pt>
                <c:pt idx="10">
                  <c:v>126.68702290076337</c:v>
                </c:pt>
                <c:pt idx="11">
                  <c:v>80.359183673469374</c:v>
                </c:pt>
                <c:pt idx="12">
                  <c:v>110.53095238095239</c:v>
                </c:pt>
                <c:pt idx="13">
                  <c:v>86.785992217898837</c:v>
                </c:pt>
                <c:pt idx="14">
                  <c:v>44.656514382402712</c:v>
                </c:pt>
                <c:pt idx="15">
                  <c:v>63.21052631578948</c:v>
                </c:pt>
                <c:pt idx="16">
                  <c:v>42.314285714285717</c:v>
                </c:pt>
                <c:pt idx="17">
                  <c:v>279.47979797979798</c:v>
                </c:pt>
                <c:pt idx="18">
                  <c:v>96.206611570247929</c:v>
                </c:pt>
                <c:pt idx="19">
                  <c:v>30.327559055118115</c:v>
                </c:pt>
                <c:pt idx="20">
                  <c:v>134.28571428571428</c:v>
                </c:pt>
                <c:pt idx="21">
                  <c:v>62.104906937394247</c:v>
                </c:pt>
              </c:numCache>
            </c:numRef>
          </c:yVal>
        </c:ser>
        <c:axId val="147476864"/>
        <c:axId val="150053248"/>
      </c:scatterChart>
      <c:valAx>
        <c:axId val="147476864"/>
        <c:scaling>
          <c:orientation val="minMax"/>
        </c:scaling>
        <c:axPos val="b"/>
        <c:numFmt formatCode="0.00" sourceLinked="1"/>
        <c:tickLblPos val="nextTo"/>
        <c:crossAx val="150053248"/>
        <c:crosses val="autoZero"/>
        <c:crossBetween val="midCat"/>
      </c:valAx>
      <c:valAx>
        <c:axId val="150053248"/>
        <c:scaling>
          <c:orientation val="minMax"/>
        </c:scaling>
        <c:axPos val="l"/>
        <c:majorGridlines/>
        <c:numFmt formatCode="0.00" sourceLinked="1"/>
        <c:tickLblPos val="nextTo"/>
        <c:crossAx val="147476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5"/>
          <c:order val="4"/>
          <c:tx>
            <c:v>10min</c:v>
          </c:tx>
          <c:spPr>
            <a:ln w="28575">
              <a:noFill/>
            </a:ln>
          </c:spPr>
          <c:xVal>
            <c:numRef>
              <c:f>Rescaled!$F$2:$F$23</c:f>
              <c:numCache>
                <c:formatCode>0.00</c:formatCode>
                <c:ptCount val="22"/>
                <c:pt idx="0">
                  <c:v>7.6583892617449658</c:v>
                </c:pt>
                <c:pt idx="1">
                  <c:v>15.865105908584168</c:v>
                </c:pt>
                <c:pt idx="2">
                  <c:v>11.36021505376344</c:v>
                </c:pt>
                <c:pt idx="3">
                  <c:v>11.418498168498168</c:v>
                </c:pt>
                <c:pt idx="4">
                  <c:v>9.3629829290206636</c:v>
                </c:pt>
                <c:pt idx="5">
                  <c:v>24.940360610263522</c:v>
                </c:pt>
                <c:pt idx="6">
                  <c:v>16.763888888888889</c:v>
                </c:pt>
                <c:pt idx="7">
                  <c:v>14.387692307692308</c:v>
                </c:pt>
                <c:pt idx="8">
                  <c:v>27.495212038303695</c:v>
                </c:pt>
                <c:pt idx="9">
                  <c:v>17.20314253647587</c:v>
                </c:pt>
                <c:pt idx="10">
                  <c:v>15.1353711790393</c:v>
                </c:pt>
                <c:pt idx="11">
                  <c:v>15.12862669245648</c:v>
                </c:pt>
                <c:pt idx="12">
                  <c:v>15.83867276887872</c:v>
                </c:pt>
                <c:pt idx="13">
                  <c:v>12.747219413549038</c:v>
                </c:pt>
                <c:pt idx="14">
                  <c:v>8.4529190207156315</c:v>
                </c:pt>
                <c:pt idx="15">
                  <c:v>11.210416666666667</c:v>
                </c:pt>
                <c:pt idx="16">
                  <c:v>10.16968698517298</c:v>
                </c:pt>
                <c:pt idx="17">
                  <c:v>23.194244604316545</c:v>
                </c:pt>
                <c:pt idx="18">
                  <c:v>19.511889862327909</c:v>
                </c:pt>
                <c:pt idx="19">
                  <c:v>9.3507853403141343</c:v>
                </c:pt>
                <c:pt idx="20">
                  <c:v>19.408468244084684</c:v>
                </c:pt>
                <c:pt idx="21">
                  <c:v>11.1734496124031</c:v>
                </c:pt>
              </c:numCache>
            </c:numRef>
          </c:xVal>
          <c:yVal>
            <c:numRef>
              <c:f>Rescaled!$G$2:$G$23</c:f>
              <c:numCache>
                <c:formatCode>0.00</c:formatCode>
                <c:ptCount val="22"/>
                <c:pt idx="0">
                  <c:v>77.29607843137255</c:v>
                </c:pt>
                <c:pt idx="1">
                  <c:v>89.647169811320751</c:v>
                </c:pt>
                <c:pt idx="2">
                  <c:v>79.554435483870961</c:v>
                </c:pt>
                <c:pt idx="3">
                  <c:v>72.340604026845639</c:v>
                </c:pt>
                <c:pt idx="4">
                  <c:v>70.508403361344548</c:v>
                </c:pt>
                <c:pt idx="5">
                  <c:v>117.62672811059909</c:v>
                </c:pt>
                <c:pt idx="6">
                  <c:v>70.577391304347827</c:v>
                </c:pt>
                <c:pt idx="7">
                  <c:v>99.030181086519121</c:v>
                </c:pt>
                <c:pt idx="8">
                  <c:v>185.94101876675603</c:v>
                </c:pt>
                <c:pt idx="9">
                  <c:v>94.379120879120876</c:v>
                </c:pt>
                <c:pt idx="10">
                  <c:v>132.04198473282443</c:v>
                </c:pt>
                <c:pt idx="11">
                  <c:v>76.789795918367332</c:v>
                </c:pt>
                <c:pt idx="12">
                  <c:v>101.13571428571427</c:v>
                </c:pt>
                <c:pt idx="13">
                  <c:v>92.39883268482491</c:v>
                </c:pt>
                <c:pt idx="14">
                  <c:v>46.573604060913702</c:v>
                </c:pt>
                <c:pt idx="15">
                  <c:v>61.246179966044146</c:v>
                </c:pt>
                <c:pt idx="16">
                  <c:v>46.28027210884354</c:v>
                </c:pt>
                <c:pt idx="17">
                  <c:v>297.28282828282829</c:v>
                </c:pt>
                <c:pt idx="18">
                  <c:v>100.22933884297521</c:v>
                </c:pt>
                <c:pt idx="19">
                  <c:v>54.140157480314969</c:v>
                </c:pt>
                <c:pt idx="20">
                  <c:v>103.59766763848395</c:v>
                </c:pt>
                <c:pt idx="21">
                  <c:v>62.90862944162437</c:v>
                </c:pt>
              </c:numCache>
            </c:numRef>
          </c:yVal>
        </c:ser>
        <c:axId val="89474176"/>
        <c:axId val="89476480"/>
      </c:scatterChart>
      <c:valAx>
        <c:axId val="89474176"/>
        <c:scaling>
          <c:orientation val="minMax"/>
        </c:scaling>
        <c:axPos val="b"/>
        <c:numFmt formatCode="0.00" sourceLinked="1"/>
        <c:tickLblPos val="nextTo"/>
        <c:crossAx val="89476480"/>
        <c:crosses val="autoZero"/>
        <c:crossBetween val="midCat"/>
      </c:valAx>
      <c:valAx>
        <c:axId val="89476480"/>
        <c:scaling>
          <c:orientation val="minMax"/>
        </c:scaling>
        <c:axPos val="l"/>
        <c:majorGridlines/>
        <c:numFmt formatCode="0.00" sourceLinked="1"/>
        <c:tickLblPos val="nextTo"/>
        <c:crossAx val="89474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6"/>
          <c:order val="4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Rescaled!$H$2:$H$23</c:f>
              <c:numCache>
                <c:formatCode>0.00</c:formatCode>
                <c:ptCount val="22"/>
                <c:pt idx="0">
                  <c:v>4.4812080536912751</c:v>
                </c:pt>
                <c:pt idx="1">
                  <c:v>15.683389074693423</c:v>
                </c:pt>
                <c:pt idx="2">
                  <c:v>11.350358422939069</c:v>
                </c:pt>
                <c:pt idx="3">
                  <c:v>11.175824175824177</c:v>
                </c:pt>
                <c:pt idx="4">
                  <c:v>9.752920035938903</c:v>
                </c:pt>
                <c:pt idx="5">
                  <c:v>23.615811373092928</c:v>
                </c:pt>
                <c:pt idx="6">
                  <c:v>16.853535353535353</c:v>
                </c:pt>
                <c:pt idx="7">
                  <c:v>14.447179487179488</c:v>
                </c:pt>
                <c:pt idx="8">
                  <c:v>26.857729138166899</c:v>
                </c:pt>
                <c:pt idx="9">
                  <c:v>17.30415263748597</c:v>
                </c:pt>
                <c:pt idx="10">
                  <c:v>15.232532751091703</c:v>
                </c:pt>
                <c:pt idx="11">
                  <c:v>14.528046421663444</c:v>
                </c:pt>
                <c:pt idx="12">
                  <c:v>16.022883295194507</c:v>
                </c:pt>
                <c:pt idx="13">
                  <c:v>12.467138523761374</c:v>
                </c:pt>
                <c:pt idx="14">
                  <c:v>8.740112994350282</c:v>
                </c:pt>
                <c:pt idx="15">
                  <c:v>12.401041666666666</c:v>
                </c:pt>
                <c:pt idx="16">
                  <c:v>9.2792421746293243</c:v>
                </c:pt>
                <c:pt idx="17">
                  <c:v>23.389928057553956</c:v>
                </c:pt>
                <c:pt idx="18">
                  <c:v>19.853566958698373</c:v>
                </c:pt>
                <c:pt idx="19">
                  <c:v>9.4171029668411865</c:v>
                </c:pt>
                <c:pt idx="20">
                  <c:v>21.077210460772108</c:v>
                </c:pt>
                <c:pt idx="21">
                  <c:v>11.696705426356589</c:v>
                </c:pt>
              </c:numCache>
            </c:numRef>
          </c:xVal>
          <c:yVal>
            <c:numRef>
              <c:f>Rescaled!$I$2:$I$23</c:f>
              <c:numCache>
                <c:formatCode>0.00</c:formatCode>
                <c:ptCount val="22"/>
                <c:pt idx="0">
                  <c:v>77.552941176470597</c:v>
                </c:pt>
                <c:pt idx="1">
                  <c:v>91.649056603773587</c:v>
                </c:pt>
                <c:pt idx="2">
                  <c:v>80.243951612903231</c:v>
                </c:pt>
                <c:pt idx="3">
                  <c:v>78.057046979865774</c:v>
                </c:pt>
                <c:pt idx="4">
                  <c:v>75.623949579831944</c:v>
                </c:pt>
                <c:pt idx="5">
                  <c:v>119.22119815668202</c:v>
                </c:pt>
                <c:pt idx="6">
                  <c:v>71.433043478260871</c:v>
                </c:pt>
                <c:pt idx="7">
                  <c:v>101.73038229376259</c:v>
                </c:pt>
                <c:pt idx="8">
                  <c:v>192.2332439678284</c:v>
                </c:pt>
                <c:pt idx="9">
                  <c:v>96.38827838827838</c:v>
                </c:pt>
                <c:pt idx="10">
                  <c:v>135.2290076335878</c:v>
                </c:pt>
                <c:pt idx="11">
                  <c:v>79.689795918367338</c:v>
                </c:pt>
                <c:pt idx="12">
                  <c:v>112.72142857142858</c:v>
                </c:pt>
                <c:pt idx="13">
                  <c:v>93.145914396887164</c:v>
                </c:pt>
                <c:pt idx="14">
                  <c:v>46.260575296108286</c:v>
                </c:pt>
                <c:pt idx="15">
                  <c:v>64.188455008488972</c:v>
                </c:pt>
                <c:pt idx="16">
                  <c:v>45.814965986394562</c:v>
                </c:pt>
                <c:pt idx="17">
                  <c:v>287.99494949494948</c:v>
                </c:pt>
                <c:pt idx="18">
                  <c:v>101.89049586776859</c:v>
                </c:pt>
                <c:pt idx="19">
                  <c:v>58.485039370078745</c:v>
                </c:pt>
                <c:pt idx="20">
                  <c:v>155.94169096209913</c:v>
                </c:pt>
                <c:pt idx="21">
                  <c:v>65.241962774957699</c:v>
                </c:pt>
              </c:numCache>
            </c:numRef>
          </c:yVal>
        </c:ser>
        <c:axId val="150607360"/>
        <c:axId val="150617472"/>
      </c:scatterChart>
      <c:valAx>
        <c:axId val="150607360"/>
        <c:scaling>
          <c:orientation val="minMax"/>
        </c:scaling>
        <c:axPos val="b"/>
        <c:numFmt formatCode="0.00" sourceLinked="1"/>
        <c:tickLblPos val="nextTo"/>
        <c:crossAx val="150617472"/>
        <c:crosses val="autoZero"/>
        <c:crossBetween val="midCat"/>
      </c:valAx>
      <c:valAx>
        <c:axId val="150617472"/>
        <c:scaling>
          <c:orientation val="minMax"/>
        </c:scaling>
        <c:axPos val="l"/>
        <c:majorGridlines/>
        <c:numFmt formatCode="0.00" sourceLinked="1"/>
        <c:tickLblPos val="nextTo"/>
        <c:crossAx val="150607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7"/>
          <c:order val="4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Rescaled!$J$2:$J$23</c:f>
              <c:numCache>
                <c:formatCode>0.00</c:formatCode>
                <c:ptCount val="22"/>
                <c:pt idx="0">
                  <c:v>7.6</c:v>
                </c:pt>
                <c:pt idx="1">
                  <c:v>16.01560758082497</c:v>
                </c:pt>
                <c:pt idx="2">
                  <c:v>11.753584229390679</c:v>
                </c:pt>
                <c:pt idx="3">
                  <c:v>11.187728937728938</c:v>
                </c:pt>
                <c:pt idx="4">
                  <c:v>9.219227313566936</c:v>
                </c:pt>
                <c:pt idx="5">
                  <c:v>25.650485436893202</c:v>
                </c:pt>
                <c:pt idx="6">
                  <c:v>17.935606060606062</c:v>
                </c:pt>
                <c:pt idx="7">
                  <c:v>14.348717948717949</c:v>
                </c:pt>
                <c:pt idx="8">
                  <c:v>26.875512995896035</c:v>
                </c:pt>
                <c:pt idx="9">
                  <c:v>17.932659932659931</c:v>
                </c:pt>
                <c:pt idx="10">
                  <c:v>16.110262008733624</c:v>
                </c:pt>
                <c:pt idx="11">
                  <c:v>14.345261121856868</c:v>
                </c:pt>
                <c:pt idx="12">
                  <c:v>15.131578947368421</c:v>
                </c:pt>
                <c:pt idx="13">
                  <c:v>11.964610717896864</c:v>
                </c:pt>
                <c:pt idx="14">
                  <c:v>9.1977401129943512</c:v>
                </c:pt>
                <c:pt idx="15">
                  <c:v>11.597916666666668</c:v>
                </c:pt>
                <c:pt idx="16">
                  <c:v>9.4827018121911042</c:v>
                </c:pt>
                <c:pt idx="17">
                  <c:v>24.289208633093526</c:v>
                </c:pt>
                <c:pt idx="18">
                  <c:v>20.430538172715895</c:v>
                </c:pt>
                <c:pt idx="19">
                  <c:v>9.6108202443280977</c:v>
                </c:pt>
                <c:pt idx="20">
                  <c:v>19.963885429638857</c:v>
                </c:pt>
                <c:pt idx="21">
                  <c:v>11.876937984496124</c:v>
                </c:pt>
              </c:numCache>
            </c:numRef>
          </c:xVal>
          <c:yVal>
            <c:numRef>
              <c:f>Rescaled!$K$2:$K$23</c:f>
              <c:numCache>
                <c:formatCode>0.00</c:formatCode>
                <c:ptCount val="22"/>
                <c:pt idx="0">
                  <c:v>78.103921568627456</c:v>
                </c:pt>
                <c:pt idx="1">
                  <c:v>90.164150943396237</c:v>
                </c:pt>
                <c:pt idx="2">
                  <c:v>79.977822580645167</c:v>
                </c:pt>
                <c:pt idx="3">
                  <c:v>60.191275167785236</c:v>
                </c:pt>
                <c:pt idx="4">
                  <c:v>69.491596638655466</c:v>
                </c:pt>
                <c:pt idx="5">
                  <c:v>118.73271889400921</c:v>
                </c:pt>
                <c:pt idx="6">
                  <c:v>74.248695652173907</c:v>
                </c:pt>
                <c:pt idx="7">
                  <c:v>104.42857142857143</c:v>
                </c:pt>
                <c:pt idx="8">
                  <c:v>189.39946380697052</c:v>
                </c:pt>
                <c:pt idx="9">
                  <c:v>96.315018315018321</c:v>
                </c:pt>
                <c:pt idx="10">
                  <c:v>141.60687022900763</c:v>
                </c:pt>
                <c:pt idx="11">
                  <c:v>81.159183673469386</c:v>
                </c:pt>
                <c:pt idx="12">
                  <c:v>106.85</c:v>
                </c:pt>
                <c:pt idx="13">
                  <c:v>86.45525291828794</c:v>
                </c:pt>
                <c:pt idx="14">
                  <c:v>47.196277495769884</c:v>
                </c:pt>
                <c:pt idx="15">
                  <c:v>62.451612903225808</c:v>
                </c:pt>
                <c:pt idx="16">
                  <c:v>47.855782312925172</c:v>
                </c:pt>
                <c:pt idx="17">
                  <c:v>295.5858585858586</c:v>
                </c:pt>
                <c:pt idx="18">
                  <c:v>102.20247933884298</c:v>
                </c:pt>
                <c:pt idx="19">
                  <c:v>59.215748031496062</c:v>
                </c:pt>
                <c:pt idx="20">
                  <c:v>148.58309037900872</c:v>
                </c:pt>
                <c:pt idx="21">
                  <c:v>67.282571912013537</c:v>
                </c:pt>
              </c:numCache>
            </c:numRef>
          </c:yVal>
        </c:ser>
        <c:axId val="151614976"/>
        <c:axId val="151664512"/>
      </c:scatterChart>
      <c:valAx>
        <c:axId val="151614976"/>
        <c:scaling>
          <c:orientation val="minMax"/>
        </c:scaling>
        <c:axPos val="b"/>
        <c:numFmt formatCode="0.00" sourceLinked="1"/>
        <c:tickLblPos val="nextTo"/>
        <c:crossAx val="151664512"/>
        <c:crosses val="autoZero"/>
        <c:crossBetween val="midCat"/>
      </c:valAx>
      <c:valAx>
        <c:axId val="151664512"/>
        <c:scaling>
          <c:orientation val="minMax"/>
        </c:scaling>
        <c:axPos val="l"/>
        <c:majorGridlines/>
        <c:numFmt formatCode="0.00" sourceLinked="1"/>
        <c:tickLblPos val="nextTo"/>
        <c:crossAx val="151614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S_10 valores</c:v>
          </c:tx>
          <c:spPr>
            <a:ln w="28575">
              <a:noFill/>
            </a:ln>
          </c:spPr>
          <c:xVal>
            <c:strRef>
              <c:f>'Rescaled (2)'!$M$27:$M$47</c:f>
              <c:strCache>
                <c:ptCount val="14"/>
                <c:pt idx="0">
                  <c:v>30</c:v>
                </c:pt>
                <c:pt idx="4">
                  <c:v>Time</c:v>
                </c:pt>
                <c:pt idx="5">
                  <c:v>Pre</c:v>
                </c:pt>
                <c:pt idx="6">
                  <c:v>5 min</c:v>
                </c:pt>
                <c:pt idx="7">
                  <c:v>10 min</c:v>
                </c:pt>
                <c:pt idx="8">
                  <c:v>15 min</c:v>
                </c:pt>
                <c:pt idx="9">
                  <c:v>20 min</c:v>
                </c:pt>
                <c:pt idx="12">
                  <c:v>A=</c:v>
                </c:pt>
                <c:pt idx="13">
                  <c:v>B=</c:v>
                </c:pt>
              </c:strCache>
            </c:strRef>
          </c:xVal>
          <c:yVal>
            <c:numRef>
              <c:f>'Rescaled (2)'!$N$27:$N$47</c:f>
              <c:numCache>
                <c:formatCode>General</c:formatCode>
                <c:ptCount val="21"/>
                <c:pt idx="0">
                  <c:v>142.20000000000002</c:v>
                </c:pt>
                <c:pt idx="4">
                  <c:v>0</c:v>
                </c:pt>
                <c:pt idx="5">
                  <c:v>3.8627151977666543</c:v>
                </c:pt>
                <c:pt idx="6">
                  <c:v>4.5081674377178027</c:v>
                </c:pt>
                <c:pt idx="7">
                  <c:v>5.4488789460936848</c:v>
                </c:pt>
                <c:pt idx="8">
                  <c:v>5.8516040448680986</c:v>
                </c:pt>
                <c:pt idx="9">
                  <c:v>5.3506355194119886</c:v>
                </c:pt>
                <c:pt idx="12">
                  <c:v>4.74</c:v>
                </c:pt>
                <c:pt idx="13">
                  <c:v>6</c:v>
                </c:pt>
              </c:numCache>
            </c:numRef>
          </c:yVal>
        </c:ser>
        <c:ser>
          <c:idx val="1"/>
          <c:order val="1"/>
          <c:tx>
            <c:v>T1</c:v>
          </c:tx>
          <c:spPr>
            <a:ln w="28575">
              <a:noFill/>
            </a:ln>
          </c:spPr>
          <c:xVal>
            <c:numRef>
              <c:f>'Rescaled (2)'!$W$27:$W$47</c:f>
              <c:numCache>
                <c:formatCode>General</c:formatCode>
                <c:ptCount val="21"/>
              </c:numCache>
            </c:numRef>
          </c:xVal>
          <c:yVal>
            <c:numRef>
              <c:f>'Rescaled (2)'!$S$28:$S$47</c:f>
              <c:numCache>
                <c:formatCode>0.00000</c:formatCode>
                <c:ptCount val="20"/>
              </c:numCache>
            </c:numRef>
          </c:yVal>
        </c:ser>
        <c:ser>
          <c:idx val="2"/>
          <c:order val="2"/>
          <c:tx>
            <c:v>Helms</c:v>
          </c:tx>
          <c:spPr>
            <a:ln w="28575">
              <a:noFill/>
            </a:ln>
          </c:spPr>
          <c:xVal>
            <c:numRef>
              <c:f>'Rescaled (2)'!$X$28:$X$47</c:f>
              <c:numCache>
                <c:formatCode>General</c:formatCode>
                <c:ptCount val="20"/>
              </c:numCache>
            </c:numRef>
          </c:xVal>
          <c:yVal>
            <c:numRef>
              <c:f>'Rescaled (2)'!$Y$28:$Y$47</c:f>
              <c:numCache>
                <c:formatCode>General</c:formatCode>
                <c:ptCount val="20"/>
              </c:numCache>
            </c:numRef>
          </c:yVal>
        </c:ser>
        <c:axId val="151301120"/>
        <c:axId val="151573248"/>
      </c:scatterChart>
      <c:valAx>
        <c:axId val="151301120"/>
        <c:scaling>
          <c:orientation val="minMax"/>
        </c:scaling>
        <c:axPos val="b"/>
        <c:numFmt formatCode="General" sourceLinked="1"/>
        <c:tickLblPos val="nextTo"/>
        <c:crossAx val="151573248"/>
        <c:crosses val="autoZero"/>
        <c:crossBetween val="midCat"/>
      </c:valAx>
      <c:valAx>
        <c:axId val="151573248"/>
        <c:scaling>
          <c:orientation val="minMax"/>
        </c:scaling>
        <c:axPos val="l"/>
        <c:majorGridlines/>
        <c:numFmt formatCode="General" sourceLinked="1"/>
        <c:tickLblPos val="nextTo"/>
        <c:crossAx val="151301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3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'Rescaled (2)'!$D$2:$D$23</c:f>
              <c:numCache>
                <c:formatCode>0.00</c:formatCode>
                <c:ptCount val="22"/>
                <c:pt idx="1">
                  <c:v>15.266443701226308</c:v>
                </c:pt>
                <c:pt idx="2">
                  <c:v>11.337813620071685</c:v>
                </c:pt>
                <c:pt idx="3">
                  <c:v>11.476190476190476</c:v>
                </c:pt>
                <c:pt idx="4">
                  <c:v>9.2803234501347713</c:v>
                </c:pt>
                <c:pt idx="5">
                  <c:v>24.707350901525658</c:v>
                </c:pt>
                <c:pt idx="6">
                  <c:v>17.33080808080808</c:v>
                </c:pt>
                <c:pt idx="7">
                  <c:v>14.379487179487178</c:v>
                </c:pt>
                <c:pt idx="9">
                  <c:v>17.052749719416386</c:v>
                </c:pt>
                <c:pt idx="11">
                  <c:v>14.827852998065763</c:v>
                </c:pt>
                <c:pt idx="12">
                  <c:v>15.558352402745994</c:v>
                </c:pt>
                <c:pt idx="13">
                  <c:v>12.701718907987866</c:v>
                </c:pt>
                <c:pt idx="14">
                  <c:v>8.7730696798493408</c:v>
                </c:pt>
                <c:pt idx="15">
                  <c:v>11.917708333333334</c:v>
                </c:pt>
                <c:pt idx="16">
                  <c:v>9.6334431630971995</c:v>
                </c:pt>
                <c:pt idx="18">
                  <c:v>19.869837296620773</c:v>
                </c:pt>
                <c:pt idx="19">
                  <c:v>7.2260034904013954</c:v>
                </c:pt>
                <c:pt idx="21">
                  <c:v>11.476744186046512</c:v>
                </c:pt>
              </c:numCache>
            </c:numRef>
          </c:xVal>
          <c:yVal>
            <c:numRef>
              <c:f>'Rescaled (2)'!$E$2:$E$23</c:f>
              <c:numCache>
                <c:formatCode>0.00</c:formatCode>
                <c:ptCount val="22"/>
                <c:pt idx="1">
                  <c:v>82.237735849056605</c:v>
                </c:pt>
                <c:pt idx="2">
                  <c:v>43.552419354838712</c:v>
                </c:pt>
                <c:pt idx="3">
                  <c:v>75.901006711409394</c:v>
                </c:pt>
                <c:pt idx="4">
                  <c:v>67.254201680672267</c:v>
                </c:pt>
                <c:pt idx="5">
                  <c:v>115.48387096774194</c:v>
                </c:pt>
                <c:pt idx="6">
                  <c:v>68.182608695652178</c:v>
                </c:pt>
                <c:pt idx="7">
                  <c:v>92.605633802816911</c:v>
                </c:pt>
                <c:pt idx="9">
                  <c:v>89.58424908424908</c:v>
                </c:pt>
                <c:pt idx="11">
                  <c:v>80.359183673469374</c:v>
                </c:pt>
                <c:pt idx="12">
                  <c:v>110.53095238095239</c:v>
                </c:pt>
                <c:pt idx="13">
                  <c:v>86.785992217898837</c:v>
                </c:pt>
                <c:pt idx="14">
                  <c:v>44.656514382402712</c:v>
                </c:pt>
                <c:pt idx="15">
                  <c:v>63.21052631578948</c:v>
                </c:pt>
                <c:pt idx="16">
                  <c:v>42.314285714285717</c:v>
                </c:pt>
                <c:pt idx="18">
                  <c:v>96.206611570247929</c:v>
                </c:pt>
                <c:pt idx="19">
                  <c:v>30.327559055118115</c:v>
                </c:pt>
                <c:pt idx="21">
                  <c:v>62.104906937394247</c:v>
                </c:pt>
              </c:numCache>
            </c:numRef>
          </c:yVal>
        </c:ser>
        <c:ser>
          <c:idx val="5"/>
          <c:order val="4"/>
          <c:tx>
            <c:v>10min</c:v>
          </c:tx>
          <c:spPr>
            <a:ln w="28575">
              <a:noFill/>
            </a:ln>
          </c:spPr>
          <c:xVal>
            <c:numRef>
              <c:f>'Rescaled (2)'!$F$2:$F$23</c:f>
              <c:numCache>
                <c:formatCode>0.00</c:formatCode>
                <c:ptCount val="22"/>
                <c:pt idx="1">
                  <c:v>15.865105908584168</c:v>
                </c:pt>
                <c:pt idx="2">
                  <c:v>11.36021505376344</c:v>
                </c:pt>
                <c:pt idx="3">
                  <c:v>11.418498168498168</c:v>
                </c:pt>
                <c:pt idx="4">
                  <c:v>9.3629829290206636</c:v>
                </c:pt>
                <c:pt idx="5">
                  <c:v>24.940360610263522</c:v>
                </c:pt>
                <c:pt idx="6">
                  <c:v>16.763888888888889</c:v>
                </c:pt>
                <c:pt idx="7">
                  <c:v>14.387692307692308</c:v>
                </c:pt>
                <c:pt idx="8">
                  <c:v>27.495212038303695</c:v>
                </c:pt>
                <c:pt idx="9">
                  <c:v>17.20314253647587</c:v>
                </c:pt>
                <c:pt idx="11">
                  <c:v>15.12862669245648</c:v>
                </c:pt>
                <c:pt idx="12">
                  <c:v>15.83867276887872</c:v>
                </c:pt>
                <c:pt idx="13">
                  <c:v>12.747219413549038</c:v>
                </c:pt>
                <c:pt idx="14">
                  <c:v>8.4529190207156315</c:v>
                </c:pt>
                <c:pt idx="15">
                  <c:v>11.210416666666667</c:v>
                </c:pt>
                <c:pt idx="16">
                  <c:v>10.16968698517298</c:v>
                </c:pt>
                <c:pt idx="18">
                  <c:v>19.511889862327909</c:v>
                </c:pt>
                <c:pt idx="19">
                  <c:v>9.3507853403141343</c:v>
                </c:pt>
                <c:pt idx="21">
                  <c:v>11.1734496124031</c:v>
                </c:pt>
              </c:numCache>
            </c:numRef>
          </c:xVal>
          <c:yVal>
            <c:numRef>
              <c:f>'Rescaled (2)'!$G$2:$G$23</c:f>
              <c:numCache>
                <c:formatCode>0.00</c:formatCode>
                <c:ptCount val="22"/>
                <c:pt idx="1">
                  <c:v>89.647169811320751</c:v>
                </c:pt>
                <c:pt idx="2">
                  <c:v>79.554435483870961</c:v>
                </c:pt>
                <c:pt idx="3">
                  <c:v>72.340604026845639</c:v>
                </c:pt>
                <c:pt idx="4">
                  <c:v>70.508403361344548</c:v>
                </c:pt>
                <c:pt idx="5">
                  <c:v>117.62672811059909</c:v>
                </c:pt>
                <c:pt idx="6">
                  <c:v>70.577391304347827</c:v>
                </c:pt>
                <c:pt idx="7">
                  <c:v>99.030181086519121</c:v>
                </c:pt>
                <c:pt idx="8">
                  <c:v>185.94101876675603</c:v>
                </c:pt>
                <c:pt idx="9">
                  <c:v>94.379120879120876</c:v>
                </c:pt>
                <c:pt idx="11">
                  <c:v>76.789795918367332</c:v>
                </c:pt>
                <c:pt idx="12">
                  <c:v>101.13571428571427</c:v>
                </c:pt>
                <c:pt idx="13">
                  <c:v>92.39883268482491</c:v>
                </c:pt>
                <c:pt idx="14">
                  <c:v>46.573604060913702</c:v>
                </c:pt>
                <c:pt idx="15">
                  <c:v>61.246179966044146</c:v>
                </c:pt>
                <c:pt idx="16">
                  <c:v>46.28027210884354</c:v>
                </c:pt>
                <c:pt idx="18">
                  <c:v>100.22933884297521</c:v>
                </c:pt>
                <c:pt idx="19">
                  <c:v>54.140157480314969</c:v>
                </c:pt>
                <c:pt idx="21">
                  <c:v>62.90862944162437</c:v>
                </c:pt>
              </c:numCache>
            </c:numRef>
          </c:yVal>
        </c:ser>
        <c:ser>
          <c:idx val="6"/>
          <c:order val="5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'Rescaled (2)'!$H$2:$H$23</c:f>
              <c:numCache>
                <c:formatCode>0.00</c:formatCode>
                <c:ptCount val="22"/>
                <c:pt idx="1">
                  <c:v>15.683389074693423</c:v>
                </c:pt>
                <c:pt idx="2">
                  <c:v>11.350358422939069</c:v>
                </c:pt>
                <c:pt idx="3">
                  <c:v>11.175824175824177</c:v>
                </c:pt>
                <c:pt idx="4">
                  <c:v>9.752920035938903</c:v>
                </c:pt>
                <c:pt idx="5">
                  <c:v>23.615811373092928</c:v>
                </c:pt>
                <c:pt idx="6">
                  <c:v>16.853535353535353</c:v>
                </c:pt>
                <c:pt idx="7">
                  <c:v>14.447179487179488</c:v>
                </c:pt>
                <c:pt idx="8">
                  <c:v>26.857729138166899</c:v>
                </c:pt>
                <c:pt idx="9">
                  <c:v>17.30415263748597</c:v>
                </c:pt>
                <c:pt idx="11">
                  <c:v>14.528046421663444</c:v>
                </c:pt>
                <c:pt idx="12">
                  <c:v>16.022883295194507</c:v>
                </c:pt>
                <c:pt idx="13">
                  <c:v>12.467138523761374</c:v>
                </c:pt>
                <c:pt idx="14">
                  <c:v>8.740112994350282</c:v>
                </c:pt>
                <c:pt idx="15">
                  <c:v>12.401041666666666</c:v>
                </c:pt>
                <c:pt idx="16">
                  <c:v>9.2792421746293243</c:v>
                </c:pt>
                <c:pt idx="18">
                  <c:v>19.853566958698373</c:v>
                </c:pt>
                <c:pt idx="19">
                  <c:v>9.4171029668411865</c:v>
                </c:pt>
                <c:pt idx="21">
                  <c:v>11.696705426356589</c:v>
                </c:pt>
              </c:numCache>
            </c:numRef>
          </c:xVal>
          <c:yVal>
            <c:numRef>
              <c:f>'Rescaled (2)'!$I$2:$I$23</c:f>
              <c:numCache>
                <c:formatCode>0.00</c:formatCode>
                <c:ptCount val="22"/>
                <c:pt idx="1">
                  <c:v>91.649056603773587</c:v>
                </c:pt>
                <c:pt idx="2">
                  <c:v>80.243951612903231</c:v>
                </c:pt>
                <c:pt idx="3">
                  <c:v>78.057046979865774</c:v>
                </c:pt>
                <c:pt idx="4">
                  <c:v>75.623949579831944</c:v>
                </c:pt>
                <c:pt idx="5">
                  <c:v>119.22119815668202</c:v>
                </c:pt>
                <c:pt idx="6">
                  <c:v>71.433043478260871</c:v>
                </c:pt>
                <c:pt idx="7">
                  <c:v>101.73038229376259</c:v>
                </c:pt>
                <c:pt idx="8">
                  <c:v>192.2332439678284</c:v>
                </c:pt>
                <c:pt idx="9">
                  <c:v>96.38827838827838</c:v>
                </c:pt>
                <c:pt idx="11">
                  <c:v>79.689795918367338</c:v>
                </c:pt>
                <c:pt idx="12">
                  <c:v>112.72142857142858</c:v>
                </c:pt>
                <c:pt idx="13">
                  <c:v>93.145914396887164</c:v>
                </c:pt>
                <c:pt idx="14">
                  <c:v>46.260575296108286</c:v>
                </c:pt>
                <c:pt idx="15">
                  <c:v>64.188455008488972</c:v>
                </c:pt>
                <c:pt idx="16">
                  <c:v>45.814965986394562</c:v>
                </c:pt>
                <c:pt idx="18">
                  <c:v>101.89049586776859</c:v>
                </c:pt>
                <c:pt idx="19">
                  <c:v>58.485039370078745</c:v>
                </c:pt>
                <c:pt idx="21">
                  <c:v>65.241962774957699</c:v>
                </c:pt>
              </c:numCache>
            </c:numRef>
          </c:yVal>
        </c:ser>
        <c:ser>
          <c:idx val="7"/>
          <c:order val="6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'Rescaled (2)'!$J$2:$J$23</c:f>
              <c:numCache>
                <c:formatCode>0.00</c:formatCode>
                <c:ptCount val="22"/>
                <c:pt idx="1">
                  <c:v>16.01560758082497</c:v>
                </c:pt>
                <c:pt idx="2">
                  <c:v>11.753584229390679</c:v>
                </c:pt>
                <c:pt idx="3">
                  <c:v>11.187728937728938</c:v>
                </c:pt>
                <c:pt idx="4">
                  <c:v>9.219227313566936</c:v>
                </c:pt>
                <c:pt idx="5">
                  <c:v>25.650485436893202</c:v>
                </c:pt>
                <c:pt idx="6">
                  <c:v>17.935606060606062</c:v>
                </c:pt>
                <c:pt idx="7">
                  <c:v>14.348717948717949</c:v>
                </c:pt>
                <c:pt idx="8">
                  <c:v>26.875512995896035</c:v>
                </c:pt>
                <c:pt idx="9">
                  <c:v>17.932659932659931</c:v>
                </c:pt>
                <c:pt idx="11">
                  <c:v>14.345261121856868</c:v>
                </c:pt>
                <c:pt idx="12">
                  <c:v>15.131578947368421</c:v>
                </c:pt>
                <c:pt idx="13">
                  <c:v>11.964610717896864</c:v>
                </c:pt>
                <c:pt idx="14">
                  <c:v>9.1977401129943512</c:v>
                </c:pt>
                <c:pt idx="15">
                  <c:v>11.597916666666668</c:v>
                </c:pt>
                <c:pt idx="16">
                  <c:v>9.4827018121911042</c:v>
                </c:pt>
                <c:pt idx="18">
                  <c:v>20.430538172715895</c:v>
                </c:pt>
                <c:pt idx="19">
                  <c:v>9.6108202443280977</c:v>
                </c:pt>
                <c:pt idx="21">
                  <c:v>11.876937984496124</c:v>
                </c:pt>
              </c:numCache>
            </c:numRef>
          </c:xVal>
          <c:yVal>
            <c:numRef>
              <c:f>'Rescaled (2)'!$K$2:$K$23</c:f>
              <c:numCache>
                <c:formatCode>0.00</c:formatCode>
                <c:ptCount val="22"/>
                <c:pt idx="1">
                  <c:v>90.164150943396237</c:v>
                </c:pt>
                <c:pt idx="2">
                  <c:v>79.977822580645167</c:v>
                </c:pt>
                <c:pt idx="3">
                  <c:v>60.191275167785236</c:v>
                </c:pt>
                <c:pt idx="4">
                  <c:v>69.491596638655466</c:v>
                </c:pt>
                <c:pt idx="5">
                  <c:v>118.73271889400921</c:v>
                </c:pt>
                <c:pt idx="6">
                  <c:v>74.248695652173907</c:v>
                </c:pt>
                <c:pt idx="7">
                  <c:v>104.42857142857143</c:v>
                </c:pt>
                <c:pt idx="8">
                  <c:v>189.39946380697052</c:v>
                </c:pt>
                <c:pt idx="9">
                  <c:v>96.315018315018321</c:v>
                </c:pt>
                <c:pt idx="11">
                  <c:v>81.159183673469386</c:v>
                </c:pt>
                <c:pt idx="12">
                  <c:v>106.85</c:v>
                </c:pt>
                <c:pt idx="13">
                  <c:v>86.45525291828794</c:v>
                </c:pt>
                <c:pt idx="14">
                  <c:v>47.196277495769884</c:v>
                </c:pt>
                <c:pt idx="15">
                  <c:v>62.451612903225808</c:v>
                </c:pt>
                <c:pt idx="16">
                  <c:v>47.855782312925172</c:v>
                </c:pt>
                <c:pt idx="18">
                  <c:v>102.20247933884298</c:v>
                </c:pt>
                <c:pt idx="19">
                  <c:v>59.215748031496062</c:v>
                </c:pt>
                <c:pt idx="21">
                  <c:v>67.282571912013537</c:v>
                </c:pt>
              </c:numCache>
            </c:numRef>
          </c:yVal>
        </c:ser>
        <c:axId val="153031808"/>
        <c:axId val="153048576"/>
      </c:scatterChart>
      <c:valAx>
        <c:axId val="153031808"/>
        <c:scaling>
          <c:orientation val="minMax"/>
        </c:scaling>
        <c:axPos val="b"/>
        <c:numFmt formatCode="0.00" sourceLinked="1"/>
        <c:tickLblPos val="nextTo"/>
        <c:crossAx val="153048576"/>
        <c:crosses val="autoZero"/>
        <c:crossBetween val="midCat"/>
      </c:valAx>
      <c:valAx>
        <c:axId val="153048576"/>
        <c:scaling>
          <c:orientation val="minMax"/>
        </c:scaling>
        <c:axPos val="l"/>
        <c:majorGridlines/>
        <c:numFmt formatCode="0.00" sourceLinked="1"/>
        <c:tickLblPos val="nextTo"/>
        <c:crossAx val="153031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19</xdr:row>
      <xdr:rowOff>142875</xdr:rowOff>
    </xdr:from>
    <xdr:to>
      <xdr:col>25</xdr:col>
      <xdr:colOff>285750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65</xdr:row>
      <xdr:rowOff>180975</xdr:rowOff>
    </xdr:from>
    <xdr:to>
      <xdr:col>12</xdr:col>
      <xdr:colOff>228600</xdr:colOff>
      <xdr:row>86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25</xdr:row>
      <xdr:rowOff>76200</xdr:rowOff>
    </xdr:from>
    <xdr:to>
      <xdr:col>4</xdr:col>
      <xdr:colOff>1114424</xdr:colOff>
      <xdr:row>40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914399</xdr:colOff>
      <xdr:row>40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4</xdr:col>
      <xdr:colOff>914399</xdr:colOff>
      <xdr:row>57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10</xdr:col>
      <xdr:colOff>914399</xdr:colOff>
      <xdr:row>58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657225</xdr:colOff>
      <xdr:row>44</xdr:row>
      <xdr:rowOff>47625</xdr:rowOff>
    </xdr:from>
    <xdr:to>
      <xdr:col>17</xdr:col>
      <xdr:colOff>704849</xdr:colOff>
      <xdr:row>59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65</xdr:row>
      <xdr:rowOff>180975</xdr:rowOff>
    </xdr:from>
    <xdr:to>
      <xdr:col>12</xdr:col>
      <xdr:colOff>228600</xdr:colOff>
      <xdr:row>86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25</xdr:row>
      <xdr:rowOff>76200</xdr:rowOff>
    </xdr:from>
    <xdr:to>
      <xdr:col>4</xdr:col>
      <xdr:colOff>1114424</xdr:colOff>
      <xdr:row>40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914399</xdr:colOff>
      <xdr:row>40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4</xdr:col>
      <xdr:colOff>914399</xdr:colOff>
      <xdr:row>57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10</xdr:col>
      <xdr:colOff>914399</xdr:colOff>
      <xdr:row>58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657225</xdr:colOff>
      <xdr:row>44</xdr:row>
      <xdr:rowOff>47625</xdr:rowOff>
    </xdr:from>
    <xdr:to>
      <xdr:col>17</xdr:col>
      <xdr:colOff>704849</xdr:colOff>
      <xdr:row>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638174</xdr:colOff>
      <xdr:row>10</xdr:row>
      <xdr:rowOff>85725</xdr:rowOff>
    </xdr:from>
    <xdr:to>
      <xdr:col>33</xdr:col>
      <xdr:colOff>676274</xdr:colOff>
      <xdr:row>36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638174</xdr:colOff>
      <xdr:row>10</xdr:row>
      <xdr:rowOff>85725</xdr:rowOff>
    </xdr:from>
    <xdr:to>
      <xdr:col>33</xdr:col>
      <xdr:colOff>676274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O23" totalsRowShown="0" headerRowDxfId="126" dataDxfId="125">
  <tableColumns count="15">
    <tableColumn id="2" name="Código" dataDxfId="141"/>
    <tableColumn id="16" name="Rescale A_2" dataDxfId="140"/>
    <tableColumn id="17" name="Rescale B_2" dataDxfId="139"/>
    <tableColumn id="18" name="Rescale A_10" dataDxfId="138"/>
    <tableColumn id="19" name="Rescale B_10" dataDxfId="137"/>
    <tableColumn id="1" name="2 - Pre" dataDxfId="136"/>
    <tableColumn id="3" name="10 - pre" dataDxfId="135"/>
    <tableColumn id="4" name="2 - Post 5min" dataDxfId="134"/>
    <tableColumn id="5" name="10 - Post 5min" dataDxfId="133"/>
    <tableColumn id="6" name="2 - Post 10min" dataDxfId="132"/>
    <tableColumn id="7" name="10 - Post 10min" dataDxfId="131"/>
    <tableColumn id="8" name="2 - Post 15min" dataDxfId="130"/>
    <tableColumn id="9" name="10 - Post 15min" dataDxfId="129"/>
    <tableColumn id="10" name="2 - Post 20min" dataDxfId="128"/>
    <tableColumn id="11" name="10 - Post 20min" dataDxfId="127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X1:AT6" totalsRowShown="0">
  <autoFilter ref="X1:AT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18" name="Table41319" displayName="Table41319" ref="A1:K23" totalsRowShown="0" headerRowDxfId="58" dataDxfId="57">
  <tableColumns count="11">
    <tableColumn id="1" name="Código" dataDxfId="69"/>
    <tableColumn id="2" name="2 - Pre" dataDxfId="68">
      <calculatedColumnFormula>Table1[[#This Row],[2 - Pre]]/Table1[[#This Row],[Rescale A_2]]</calculatedColumnFormula>
    </tableColumn>
    <tableColumn id="3" name="10 - pre" dataDxfId="67">
      <calculatedColumnFormula>Table1[[#This Row],[10 - pre]]/Table1[[#This Row],[Rescale A_10]]</calculatedColumnFormula>
    </tableColumn>
    <tableColumn id="7" name="2 - Post 5min" dataDxfId="66">
      <calculatedColumnFormula>Table1[[#This Row],[2 - Post 5min]]/Table1[[#This Row],[Rescale A_2]]</calculatedColumnFormula>
    </tableColumn>
    <tableColumn id="8" name="10 - Post 5min" dataDxfId="65">
      <calculatedColumnFormula>Table1[[#This Row],[10 - Post 5min]]/Table1[[#This Row],[Rescale A_10]]</calculatedColumnFormula>
    </tableColumn>
    <tableColumn id="9" name="2 - Post 10min" dataDxfId="64">
      <calculatedColumnFormula>Table1[[#This Row],[2 - Post 10min]]/Table1[[#This Row],[Rescale A_2]]</calculatedColumnFormula>
    </tableColumn>
    <tableColumn id="10" name="10 - Post 10min" dataDxfId="63">
      <calculatedColumnFormula>Table1[[#This Row],[10 - Post 10min]]/Table1[[#This Row],[Rescale A_10]]</calculatedColumnFormula>
    </tableColumn>
    <tableColumn id="11" name="2 - Post 15min" dataDxfId="62">
      <calculatedColumnFormula>Table1[[#This Row],[2 - Post 15min]]/Table1[[#This Row],[Rescale A_2]]</calculatedColumnFormula>
    </tableColumn>
    <tableColumn id="12" name="10 - Post 15min" dataDxfId="61">
      <calculatedColumnFormula>Table1[[#This Row],[10 - Post 15min]]/Table1[[#This Row],[Rescale A_10]]</calculatedColumnFormula>
    </tableColumn>
    <tableColumn id="13" name="2 - Post 20min" dataDxfId="60">
      <calculatedColumnFormula>Table1[[#This Row],[2 - Post 20min]]/Table1[[#This Row],[Rescale A_2]]</calculatedColumnFormula>
    </tableColumn>
    <tableColumn id="14" name="10 - Post 20min" dataDxfId="59">
      <calculatedColumnFormula>Table1[[#This Row],[10 - Post 20min]]/Table1[[#This Row],[Rescale A_10]]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9" name="Table1320" displayName="Table1320" ref="M1:V23" totalsRowShown="0" headerRowDxfId="46" dataDxfId="45">
  <tableColumns count="10">
    <tableColumn id="1" name="G Pre" dataDxfId="56">
      <calculatedColumnFormula>Table41319[[#This Row],[2 - Pre]]*$N$27/(Table41319[[#This Row],[10 - pre]]*$N$26)</calculatedColumnFormula>
    </tableColumn>
    <tableColumn id="2" name="G 5min" dataDxfId="55">
      <calculatedColumnFormula>Table41319[[#This Row],[2 - Post 5min]]*$N$27/(Table41319[[#This Row],[10 - Post 5min]]*$N$26)</calculatedColumnFormula>
    </tableColumn>
    <tableColumn id="3" name="G 10min" dataDxfId="54">
      <calculatedColumnFormula>Table41319[[#This Row],[2 - Post 10min]]*$N$27/(Table41319[[#This Row],[10 - Post 10min]]*$N$26)</calculatedColumnFormula>
    </tableColumn>
    <tableColumn id="4" name="G 15min" dataDxfId="53">
      <calculatedColumnFormula>Table41319[[#This Row],[2 - Post 15min]]*$N$27/(Table41319[[#This Row],[10 - Post 15min]]*$N$26)</calculatedColumnFormula>
    </tableColumn>
    <tableColumn id="5" name="G 20min" dataDxfId="52">
      <calculatedColumnFormula>Table41319[[#This Row],[2 - Post 20min]]*$N$27/(Table41319[[#This Row],[10 - Post 20min]]*$N$26)</calculatedColumnFormula>
    </tableColumn>
    <tableColumn id="6" name="T1 pre" dataDxfId="51">
      <calculatedColumnFormula>-$N$29/LN((Table1320[[#This Row],[G Pre]]-1)/(Table1320[[#This Row],[G Pre]]*$O$26-$O$27))</calculatedColumnFormula>
    </tableColumn>
    <tableColumn id="7" name="T1 5min" dataDxfId="50">
      <calculatedColumnFormula>-$N$29/LN((Table1320[[#This Row],[G 5min]]-1)/(Table1320[[#This Row],[G 5min]]*$O$26-$O$27))</calculatedColumnFormula>
    </tableColumn>
    <tableColumn id="8" name="T1 10min" dataDxfId="49">
      <calculatedColumnFormula>-$N$29/LN((Table1320[[#This Row],[G 10min]]-1)/(Table1320[[#This Row],[G 10min]]*$O$26-$O$27))</calculatedColumnFormula>
    </tableColumn>
    <tableColumn id="9" name="T1 15min" dataDxfId="48">
      <calculatedColumnFormula>-$N$29/LN((Table1320[[#This Row],[G 15min]]-1)/(Table1320[[#This Row],[G 15min]]*$O$26-$O$27))</calculatedColumnFormula>
    </tableColumn>
    <tableColumn id="10" name="T1 20min" dataDxfId="47">
      <calculatedColumnFormula>-$N$29/LN((Table1320[[#This Row],[G 20min]]-1)/(Table1320[[#This Row],[G 20min]]*$O$26-$O$27))</calculatedColumnFormula>
    </tableColumn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id="20" name="Table4131621" displayName="Table4131621" ref="A30:K52" totalsRowShown="0" headerRowDxfId="33" dataDxfId="32">
  <tableColumns count="11">
    <tableColumn id="1" name="Código" dataDxfId="44"/>
    <tableColumn id="2" name="2 - Pre" dataDxfId="43">
      <calculatedColumnFormula>B2/B2</calculatedColumnFormula>
    </tableColumn>
    <tableColumn id="3" name="10 - pre" dataDxfId="42">
      <calculatedColumnFormula>C2/B2</calculatedColumnFormula>
    </tableColumn>
    <tableColumn id="7" name="2 - Post 5min" dataDxfId="41">
      <calculatedColumnFormula>D2/D2</calculatedColumnFormula>
    </tableColumn>
    <tableColumn id="8" name="10 - Post 5min" dataDxfId="40">
      <calculatedColumnFormula>E2/D2</calculatedColumnFormula>
    </tableColumn>
    <tableColumn id="9" name="2 - Post 10min" dataDxfId="39">
      <calculatedColumnFormula>F2/F2</calculatedColumnFormula>
    </tableColumn>
    <tableColumn id="10" name="10 - Post 10min" dataDxfId="38">
      <calculatedColumnFormula>G2/F2</calculatedColumnFormula>
    </tableColumn>
    <tableColumn id="11" name="2 - Post 15min" dataDxfId="37">
      <calculatedColumnFormula>H2/H2</calculatedColumnFormula>
    </tableColumn>
    <tableColumn id="12" name="10 - Post 15min" dataDxfId="36">
      <calculatedColumnFormula>I2/H2</calculatedColumnFormula>
    </tableColumn>
    <tableColumn id="13" name="2 - Post 20min" dataDxfId="35">
      <calculatedColumnFormula>J2/J2</calculatedColumnFormula>
    </tableColumn>
    <tableColumn id="14" name="10 - Post 20min" dataDxfId="34">
      <calculatedColumnFormula>K2/J2</calculatedColumnFormula>
    </tableColumn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21" name="Table131722" displayName="Table131722" ref="M30:V52" totalsRowShown="0" headerRowDxfId="21" dataDxfId="20">
  <tableColumns count="10">
    <tableColumn id="1" name="G Pre" dataDxfId="31">
      <calculatedColumnFormula>Table4131621[[#This Row],[2 - Pre]]*$N$27/(Table4131621[[#This Row],[10 - pre]]*$N$26)</calculatedColumnFormula>
    </tableColumn>
    <tableColumn id="2" name="G 5min" dataDxfId="30">
      <calculatedColumnFormula>Table4131621[[#This Row],[2 - Post 5min]]*$N$27/(Table4131621[[#This Row],[10 - Post 5min]]*$N$26)</calculatedColumnFormula>
    </tableColumn>
    <tableColumn id="3" name="G 10min" dataDxfId="29">
      <calculatedColumnFormula>Table4131621[[#This Row],[2 - Post 10min]]*$N$27/(Table4131621[[#This Row],[10 - Post 10min]]*$N$26)</calculatedColumnFormula>
    </tableColumn>
    <tableColumn id="4" name="G 15min" dataDxfId="28">
      <calculatedColumnFormula>Table4131621[[#This Row],[2 - Post 15min]]*$N$27/(Table4131621[[#This Row],[10 - Post 15min]]*$N$26)</calculatedColumnFormula>
    </tableColumn>
    <tableColumn id="5" name="G 20min" dataDxfId="27">
      <calculatedColumnFormula>Table4131621[[#This Row],[2 - Post 20min]]*$N$27/(Table4131621[[#This Row],[10 - Post 20min]]*$N$26)</calculatedColumnFormula>
    </tableColumn>
    <tableColumn id="6" name="T1 pre" dataDxfId="26">
      <calculatedColumnFormula>-$N$29/LN((Table131722[[#This Row],[G Pre]]-1)/(Table131722[[#This Row],[G Pre]]*$O$26-$O$27))</calculatedColumnFormula>
    </tableColumn>
    <tableColumn id="7" name="T1 5min" dataDxfId="25">
      <calculatedColumnFormula>-$N$29/LN((Table131722[[#This Row],[G 5min]]-1)/(Table131722[[#This Row],[G 5min]]*$O$26-$O$27))</calculatedColumnFormula>
    </tableColumn>
    <tableColumn id="8" name="T1 10min" dataDxfId="24">
      <calculatedColumnFormula>-$N$29/LN((Table131722[[#This Row],[G 10min]]-1)/(Table131722[[#This Row],[G 10min]]*$O$26-$O$27))</calculatedColumnFormula>
    </tableColumn>
    <tableColumn id="9" name="T1 15min" dataDxfId="23">
      <calculatedColumnFormula>-$N$29/LN((Table131722[[#This Row],[G 15min]]-1)/(Table131722[[#This Row],[G 15min]]*$O$26-$O$27))</calculatedColumnFormula>
    </tableColumn>
    <tableColumn id="10" name="T1 20min" dataDxfId="22">
      <calculatedColumnFormula>-$N$29/LN((Table131722[[#This Row],[G 20min]]-1)/(Table131722[[#This Row],[G 20min]]*$O$26-$O$27))</calculatedColumnFormula>
    </tableColumn>
  </tableColumns>
  <tableStyleInfo name="TableStyleLight17" showFirstColumn="0" showLastColumn="0" showRowStripes="1" showColumnStripes="0"/>
</table>
</file>

<file path=xl/tables/table15.xml><?xml version="1.0" encoding="utf-8"?>
<table xmlns="http://schemas.openxmlformats.org/spreadsheetml/2006/main" id="22" name="Table1723" displayName="Table1723" ref="X1:AT6" totalsRowShown="0">
  <autoFilter ref="X1:AT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K23" totalsRowShown="0" headerRowDxfId="154" dataDxfId="153">
  <tableColumns count="11">
    <tableColumn id="1" name="Código" dataDxfId="152"/>
    <tableColumn id="2" name="2 - Pre" dataDxfId="151">
      <calculatedColumnFormula>Table1[[#This Row],[2 - Pre]]/Table1[[#This Row],[Rescale A_2]]</calculatedColumnFormula>
    </tableColumn>
    <tableColumn id="3" name="10 - pre" dataDxfId="150">
      <calculatedColumnFormula>Table1[[#This Row],[10 - pre]]/Table1[[#This Row],[Rescale A_10]]</calculatedColumnFormula>
    </tableColumn>
    <tableColumn id="7" name="2 - Post 5min" dataDxfId="149">
      <calculatedColumnFormula>Table1[[#This Row],[2 - Post 5min]]/Table1[[#This Row],[Rescale A_2]]</calculatedColumnFormula>
    </tableColumn>
    <tableColumn id="8" name="10 - Post 5min" dataDxfId="148">
      <calculatedColumnFormula>Table1[[#This Row],[10 - Post 5min]]/Table1[[#This Row],[Rescale A_10]]</calculatedColumnFormula>
    </tableColumn>
    <tableColumn id="9" name="2 - Post 10min" dataDxfId="147">
      <calculatedColumnFormula>Table1[[#This Row],[2 - Post 10min]]/Table1[[#This Row],[Rescale A_2]]</calculatedColumnFormula>
    </tableColumn>
    <tableColumn id="10" name="10 - Post 10min" dataDxfId="146">
      <calculatedColumnFormula>Table1[[#This Row],[10 - Post 10min]]/Table1[[#This Row],[Rescale A_10]]</calculatedColumnFormula>
    </tableColumn>
    <tableColumn id="11" name="2 - Post 15min" dataDxfId="145">
      <calculatedColumnFormula>Table1[[#This Row],[2 - Post 15min]]/Table1[[#This Row],[Rescale A_2]]</calculatedColumnFormula>
    </tableColumn>
    <tableColumn id="12" name="10 - Post 15min" dataDxfId="144">
      <calculatedColumnFormula>Table1[[#This Row],[10 - Post 15min]]/Table1[[#This Row],[Rescale A_10]]</calculatedColumnFormula>
    </tableColumn>
    <tableColumn id="13" name="2 - Post 20min" dataDxfId="143">
      <calculatedColumnFormula>Table1[[#This Row],[2 - Post 20min]]/Table1[[#This Row],[Rescale A_2]]</calculatedColumnFormula>
    </tableColumn>
    <tableColumn id="14" name="10 - Post 20min" dataDxfId="142">
      <calculatedColumnFormula>Table1[[#This Row],[10 - Post 20min]]/Table1[[#This Row],[Rescale A_10]]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M1:O27" totalsRowShown="0" headerRowDxfId="121" dataDxfId="120">
  <autoFilter ref="M1:O27"/>
  <tableColumns count="3">
    <tableColumn id="1" name="Column1" dataDxfId="124"/>
    <tableColumn id="2" name="Column2" dataDxfId="123">
      <calculatedColumnFormula>$T$2*M2</calculatedColumnFormula>
    </tableColumn>
    <tableColumn id="3" name="Column3" dataDxfId="122">
      <calculatedColumnFormula>M2*$T$3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3" name="Table424" displayName="Table424" ref="A1:K23" totalsRowShown="0" headerRowDxfId="8" dataDxfId="7">
  <tableColumns count="11">
    <tableColumn id="1" name="Código" dataDxfId="19"/>
    <tableColumn id="2" name="2 - Pre" dataDxfId="18">
      <calculatedColumnFormula>Table1[[#This Row],[2 - Pre]]/Table1[[#This Row],[Rescale A_2]]</calculatedColumnFormula>
    </tableColumn>
    <tableColumn id="3" name="10 - pre" dataDxfId="17">
      <calculatedColumnFormula>Table1[[#This Row],[10 - pre]]/Table1[[#This Row],[Rescale A_10]]</calculatedColumnFormula>
    </tableColumn>
    <tableColumn id="7" name="2 - Post 5min" dataDxfId="16">
      <calculatedColumnFormula>Table1[[#This Row],[2 - Post 5min]]/Table1[[#This Row],[Rescale A_2]]</calculatedColumnFormula>
    </tableColumn>
    <tableColumn id="8" name="10 - Post 5min" dataDxfId="15">
      <calculatedColumnFormula>Table1[[#This Row],[10 - Post 5min]]/Table1[[#This Row],[Rescale A_10]]</calculatedColumnFormula>
    </tableColumn>
    <tableColumn id="9" name="2 - Post 10min" dataDxfId="14">
      <calculatedColumnFormula>Table1[[#This Row],[2 - Post 10min]]/Table1[[#This Row],[Rescale A_2]]</calculatedColumnFormula>
    </tableColumn>
    <tableColumn id="10" name="10 - Post 10min" dataDxfId="13">
      <calculatedColumnFormula>Table1[[#This Row],[10 - Post 10min]]/Table1[[#This Row],[Rescale A_10]]</calculatedColumnFormula>
    </tableColumn>
    <tableColumn id="11" name="2 - Post 15min" dataDxfId="12">
      <calculatedColumnFormula>Table1[[#This Row],[2 - Post 15min]]/Table1[[#This Row],[Rescale A_2]]</calculatedColumnFormula>
    </tableColumn>
    <tableColumn id="12" name="10 - Post 15min" dataDxfId="11">
      <calculatedColumnFormula>Table1[[#This Row],[10 - Post 15min]]/Table1[[#This Row],[Rescale A_10]]</calculatedColumnFormula>
    </tableColumn>
    <tableColumn id="13" name="2 - Post 20min" dataDxfId="10">
      <calculatedColumnFormula>Table1[[#This Row],[2 - Post 20min]]/Table1[[#This Row],[Rescale A_2]]</calculatedColumnFormula>
    </tableColumn>
    <tableColumn id="14" name="10 - Post 20min" dataDxfId="9">
      <calculatedColumnFormula>Table1[[#This Row],[10 - Post 20min]]/Table1[[#This Row],[Rescale A_10]]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24" name="Table825" displayName="Table825" ref="M1:O27" totalsRowShown="0" headerRowDxfId="3" dataDxfId="2">
  <autoFilter ref="M1:O27"/>
  <tableColumns count="3">
    <tableColumn id="1" name="Column1" dataDxfId="6"/>
    <tableColumn id="2" name="Column2" dataDxfId="5">
      <calculatedColumnFormula>$N$39*M2</calculatedColumnFormula>
    </tableColumn>
    <tableColumn id="3" name="Column3" dataDxfId="4">
      <calculatedColumnFormula>M2*$N$40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2" name="Table413" displayName="Table413" ref="A1:K23" totalsRowShown="0" headerRowDxfId="110" dataDxfId="109">
  <tableColumns count="11">
    <tableColumn id="1" name="Código" dataDxfId="108"/>
    <tableColumn id="2" name="2 - Pre" dataDxfId="107">
      <calculatedColumnFormula>Table1[[#This Row],[2 - Pre]]/Table1[[#This Row],[Rescale A_2]]</calculatedColumnFormula>
    </tableColumn>
    <tableColumn id="3" name="10 - pre" dataDxfId="119">
      <calculatedColumnFormula>Table1[[#This Row],[10 - pre]]/Table1[[#This Row],[Rescale A_10]]</calculatedColumnFormula>
    </tableColumn>
    <tableColumn id="7" name="2 - Post 5min" dataDxfId="118">
      <calculatedColumnFormula>Table1[[#This Row],[2 - Post 5min]]/Table1[[#This Row],[Rescale A_2]]</calculatedColumnFormula>
    </tableColumn>
    <tableColumn id="8" name="10 - Post 5min" dataDxfId="117">
      <calculatedColumnFormula>Table1[[#This Row],[10 - Post 5min]]/Table1[[#This Row],[Rescale A_10]]</calculatedColumnFormula>
    </tableColumn>
    <tableColumn id="9" name="2 - Post 10min" dataDxfId="116">
      <calculatedColumnFormula>Table1[[#This Row],[2 - Post 10min]]/Table1[[#This Row],[Rescale A_2]]</calculatedColumnFormula>
    </tableColumn>
    <tableColumn id="10" name="10 - Post 10min" dataDxfId="115">
      <calculatedColumnFormula>Table1[[#This Row],[10 - Post 10min]]/Table1[[#This Row],[Rescale A_10]]</calculatedColumnFormula>
    </tableColumn>
    <tableColumn id="11" name="2 - Post 15min" dataDxfId="114">
      <calculatedColumnFormula>Table1[[#This Row],[2 - Post 15min]]/Table1[[#This Row],[Rescale A_2]]</calculatedColumnFormula>
    </tableColumn>
    <tableColumn id="12" name="10 - Post 15min" dataDxfId="113">
      <calculatedColumnFormula>Table1[[#This Row],[10 - Post 15min]]/Table1[[#This Row],[Rescale A_10]]</calculatedColumnFormula>
    </tableColumn>
    <tableColumn id="13" name="2 - Post 20min" dataDxfId="112">
      <calculatedColumnFormula>Table1[[#This Row],[2 - Post 20min]]/Table1[[#This Row],[Rescale A_2]]</calculatedColumnFormula>
    </tableColumn>
    <tableColumn id="14" name="10 - Post 20min" dataDxfId="111">
      <calculatedColumnFormula>Table1[[#This Row],[10 - Post 20min]]/Table1[[#This Row],[Rescale A_10]]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M1:V23" totalsRowShown="0" headerRowDxfId="97" dataDxfId="96">
  <tableColumns count="10">
    <tableColumn id="1" name="G Pre" dataDxfId="106">
      <calculatedColumnFormula>Table413[[#This Row],[2 - Pre]]*$N$27/(Table413[[#This Row],[10 - pre]]*$N$26)</calculatedColumnFormula>
    </tableColumn>
    <tableColumn id="2" name="G 5min" dataDxfId="105">
      <calculatedColumnFormula>Table413[[#This Row],[2 - Post 5min]]*$N$27/(Table413[[#This Row],[10 - Post 5min]]*$N$26)</calculatedColumnFormula>
    </tableColumn>
    <tableColumn id="3" name="G 10min" dataDxfId="104">
      <calculatedColumnFormula>Table413[[#This Row],[2 - Post 10min]]*$N$27/(Table413[[#This Row],[10 - Post 10min]]*$N$26)</calculatedColumnFormula>
    </tableColumn>
    <tableColumn id="4" name="G 15min" dataDxfId="103">
      <calculatedColumnFormula>Table413[[#This Row],[2 - Post 15min]]*$N$27/(Table413[[#This Row],[10 - Post 15min]]*$N$26)</calculatedColumnFormula>
    </tableColumn>
    <tableColumn id="5" name="G 20min" dataDxfId="102">
      <calculatedColumnFormula>Table413[[#This Row],[2 - Post 20min]]*$N$27/(Table413[[#This Row],[10 - Post 20min]]*$N$26)</calculatedColumnFormula>
    </tableColumn>
    <tableColumn id="6" name="T1 pre" dataDxfId="95">
      <calculatedColumnFormula>-$N$29/LN((Table13[[#This Row],[G Pre]]-1)/(Table13[[#This Row],[G Pre]]*$O$26-$O$27))</calculatedColumnFormula>
    </tableColumn>
    <tableColumn id="7" name="T1 5min" dataDxfId="101">
      <calculatedColumnFormula>-$N$29/LN((Table13[[#This Row],[G 5min]]-1)/(Table13[[#This Row],[G 5min]]*$O$26-$O$27))</calculatedColumnFormula>
    </tableColumn>
    <tableColumn id="8" name="T1 10min" dataDxfId="100">
      <calculatedColumnFormula>-$N$29/LN((Table13[[#This Row],[G 10min]]-1)/(Table13[[#This Row],[G 10min]]*$O$26-$O$27))</calculatedColumnFormula>
    </tableColumn>
    <tableColumn id="9" name="T1 15min" dataDxfId="99">
      <calculatedColumnFormula>-$N$29/LN((Table13[[#This Row],[G 15min]]-1)/(Table13[[#This Row],[G 15min]]*$O$26-$O$27))</calculatedColumnFormula>
    </tableColumn>
    <tableColumn id="10" name="T1 20min" dataDxfId="98">
      <calculatedColumnFormula>-$N$29/LN((Table13[[#This Row],[G 20min]]-1)/(Table13[[#This Row],[G 20min]]*$O$26-$O$27))</calculatedColumnFormula>
    </tableColumn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id="15" name="Table41316" displayName="Table41316" ref="A30:K52" totalsRowShown="0" headerRowDxfId="85" dataDxfId="84">
  <tableColumns count="11">
    <tableColumn id="1" name="Código" dataDxfId="94"/>
    <tableColumn id="2" name="2 - Pre" dataDxfId="83">
      <calculatedColumnFormula>B2/B2</calculatedColumnFormula>
    </tableColumn>
    <tableColumn id="3" name="10 - pre" dataDxfId="82">
      <calculatedColumnFormula>C2/B2</calculatedColumnFormula>
    </tableColumn>
    <tableColumn id="7" name="2 - Post 5min" dataDxfId="93">
      <calculatedColumnFormula>D2/D2</calculatedColumnFormula>
    </tableColumn>
    <tableColumn id="8" name="10 - Post 5min" dataDxfId="92">
      <calculatedColumnFormula>E2/D2</calculatedColumnFormula>
    </tableColumn>
    <tableColumn id="9" name="2 - Post 10min" dataDxfId="91">
      <calculatedColumnFormula>F2/F2</calculatedColumnFormula>
    </tableColumn>
    <tableColumn id="10" name="10 - Post 10min" dataDxfId="90">
      <calculatedColumnFormula>G2/F2</calculatedColumnFormula>
    </tableColumn>
    <tableColumn id="11" name="2 - Post 15min" dataDxfId="89">
      <calculatedColumnFormula>H2/H2</calculatedColumnFormula>
    </tableColumn>
    <tableColumn id="12" name="10 - Post 15min" dataDxfId="88">
      <calculatedColumnFormula>I2/H2</calculatedColumnFormula>
    </tableColumn>
    <tableColumn id="13" name="2 - Post 20min" dataDxfId="87">
      <calculatedColumnFormula>J2/J2</calculatedColumnFormula>
    </tableColumn>
    <tableColumn id="14" name="10 - Post 20min" dataDxfId="86">
      <calculatedColumnFormula>K2/J2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16" name="Table1317" displayName="Table1317" ref="M30:V52" totalsRowShown="0" headerRowDxfId="76" dataDxfId="75">
  <tableColumns count="10">
    <tableColumn id="1" name="G Pre" dataDxfId="74">
      <calculatedColumnFormula>Table41316[[#This Row],[2 - Pre]]*$N$27/(Table41316[[#This Row],[10 - pre]]*$N$26)</calculatedColumnFormula>
    </tableColumn>
    <tableColumn id="2" name="G 5min" dataDxfId="73">
      <calculatedColumnFormula>Table41316[[#This Row],[2 - Post 5min]]*$N$27/(Table41316[[#This Row],[10 - Post 5min]]*$N$26)</calculatedColumnFormula>
    </tableColumn>
    <tableColumn id="3" name="G 10min" dataDxfId="72">
      <calculatedColumnFormula>Table41316[[#This Row],[2 - Post 10min]]*$N$27/(Table41316[[#This Row],[10 - Post 10min]]*$N$26)</calculatedColumnFormula>
    </tableColumn>
    <tableColumn id="4" name="G 15min" dataDxfId="71">
      <calculatedColumnFormula>Table41316[[#This Row],[2 - Post 15min]]*$N$27/(Table41316[[#This Row],[10 - Post 15min]]*$N$26)</calculatedColumnFormula>
    </tableColumn>
    <tableColumn id="5" name="G 20min" dataDxfId="70">
      <calculatedColumnFormula>Table41316[[#This Row],[2 - Post 20min]]*$N$27/(Table41316[[#This Row],[10 - Post 20min]]*$N$26)</calculatedColumnFormula>
    </tableColumn>
    <tableColumn id="6" name="T1 pre" dataDxfId="81">
      <calculatedColumnFormula>-$N$29/LN((Table1317[[#This Row],[G Pre]]-1)/(Table1317[[#This Row],[G Pre]]*$O$26-$O$27))</calculatedColumnFormula>
    </tableColumn>
    <tableColumn id="7" name="T1 5min" dataDxfId="80">
      <calculatedColumnFormula>-$N$29/LN((Table1317[[#This Row],[G 5min]]-1)/(Table1317[[#This Row],[G 5min]]*$O$26-$O$27))</calculatedColumnFormula>
    </tableColumn>
    <tableColumn id="8" name="T1 10min" dataDxfId="79">
      <calculatedColumnFormula>-$N$29/LN((Table1317[[#This Row],[G 10min]]-1)/(Table1317[[#This Row],[G 10min]]*$O$26-$O$27))</calculatedColumnFormula>
    </tableColumn>
    <tableColumn id="9" name="T1 15min" dataDxfId="78">
      <calculatedColumnFormula>-$N$29/LN((Table1317[[#This Row],[G 15min]]-1)/(Table1317[[#This Row],[G 15min]]*$O$26-$O$27))</calculatedColumnFormula>
    </tableColumn>
    <tableColumn id="10" name="T1 20min" dataDxfId="77">
      <calculatedColumnFormula>-$N$29/LN((Table1317[[#This Row],[G 20min]]-1)/(Table1317[[#This Row],[G 20min]]*$O$26-$O$27))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6"/>
  <sheetViews>
    <sheetView workbookViewId="0">
      <selection activeCell="B2" sqref="B2"/>
    </sheetView>
  </sheetViews>
  <sheetFormatPr defaultRowHeight="15"/>
  <cols>
    <col min="1" max="1" width="9.5703125" style="2" bestFit="1" customWidth="1"/>
    <col min="2" max="2" width="11.42578125" style="2" bestFit="1" customWidth="1"/>
    <col min="3" max="3" width="16.7109375" style="2" hidden="1" customWidth="1"/>
    <col min="4" max="4" width="12.42578125" style="3" bestFit="1" customWidth="1"/>
    <col min="5" max="5" width="17.7109375" style="3" hidden="1" customWidth="1"/>
    <col min="6" max="6" width="11.140625" style="3" bestFit="1" customWidth="1"/>
    <col min="7" max="7" width="12.140625" style="3" bestFit="1" customWidth="1"/>
    <col min="8" max="8" width="11.85546875" style="3" bestFit="1" customWidth="1"/>
    <col min="9" max="9" width="12.85546875" style="2" bestFit="1" customWidth="1"/>
    <col min="10" max="10" width="12.85546875" style="3" bestFit="1" customWidth="1"/>
    <col min="11" max="11" width="14" style="3" bestFit="1" customWidth="1"/>
    <col min="12" max="12" width="12.85546875" style="3" bestFit="1" customWidth="1"/>
    <col min="13" max="13" width="14" style="3" bestFit="1" customWidth="1"/>
    <col min="14" max="14" width="12.85546875" style="3" bestFit="1" customWidth="1"/>
    <col min="15" max="15" width="13.7109375" style="3" bestFit="1" customWidth="1"/>
    <col min="16" max="16" width="12.42578125" style="3" bestFit="1" customWidth="1"/>
    <col min="17" max="17" width="13.5703125" style="3" bestFit="1" customWidth="1"/>
    <col min="18" max="16384" width="9.140625" style="3"/>
  </cols>
  <sheetData>
    <row r="1" spans="1:24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37</v>
      </c>
      <c r="G1" s="2" t="s">
        <v>36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/>
      <c r="Q1" s="2"/>
    </row>
    <row r="2" spans="1:24">
      <c r="A2" s="2" t="s">
        <v>1</v>
      </c>
      <c r="B2" s="2">
        <v>14.9</v>
      </c>
      <c r="C2" s="2">
        <v>0</v>
      </c>
      <c r="D2" s="2">
        <v>5.0999999999999996</v>
      </c>
      <c r="E2" s="2">
        <v>0</v>
      </c>
      <c r="F2" s="2">
        <v>48.591999999999999</v>
      </c>
      <c r="G2" s="2">
        <v>192.202</v>
      </c>
      <c r="H2" s="2">
        <v>110.75</v>
      </c>
      <c r="I2" s="2">
        <v>369.14</v>
      </c>
      <c r="J2" s="2">
        <v>114.11</v>
      </c>
      <c r="K2" s="2">
        <v>394.21</v>
      </c>
      <c r="L2" s="2">
        <v>66.77</v>
      </c>
      <c r="M2" s="2">
        <v>395.52</v>
      </c>
      <c r="N2" s="2">
        <v>113.24</v>
      </c>
      <c r="O2" s="2">
        <v>398.33</v>
      </c>
      <c r="P2" s="2"/>
      <c r="Q2" s="2"/>
      <c r="T2" s="3">
        <v>1</v>
      </c>
      <c r="U2" s="3">
        <f>$X$2*T2</f>
        <v>2</v>
      </c>
      <c r="V2" s="3">
        <f>$X$3*T2</f>
        <v>3</v>
      </c>
      <c r="W2" s="7" t="s">
        <v>30</v>
      </c>
      <c r="X2" s="8">
        <v>2</v>
      </c>
    </row>
    <row r="3" spans="1:24">
      <c r="A3" s="2" t="s">
        <v>2</v>
      </c>
      <c r="B3" s="2">
        <v>8.9700000000000006</v>
      </c>
      <c r="C3" s="2">
        <v>0</v>
      </c>
      <c r="D3" s="2">
        <v>5.3</v>
      </c>
      <c r="E3" s="2">
        <v>0</v>
      </c>
      <c r="F3" s="4">
        <v>109.97</v>
      </c>
      <c r="G3" s="4">
        <v>248.54</v>
      </c>
      <c r="H3" s="2">
        <v>136.94</v>
      </c>
      <c r="I3" s="2">
        <v>435.86</v>
      </c>
      <c r="J3" s="2">
        <v>142.31</v>
      </c>
      <c r="K3" s="2">
        <v>475.13</v>
      </c>
      <c r="L3" s="2">
        <v>140.68</v>
      </c>
      <c r="M3" s="2">
        <v>485.74</v>
      </c>
      <c r="N3" s="2">
        <v>143.66</v>
      </c>
      <c r="O3" s="2">
        <v>477.87</v>
      </c>
      <c r="P3" s="4"/>
      <c r="Q3" s="2"/>
      <c r="T3" s="3">
        <v>10</v>
      </c>
      <c r="U3" s="3">
        <f>$X$2*T3</f>
        <v>20</v>
      </c>
      <c r="V3" s="3">
        <f>$X$3*T3</f>
        <v>30</v>
      </c>
      <c r="W3" s="7" t="s">
        <v>31</v>
      </c>
      <c r="X3" s="8">
        <v>3</v>
      </c>
    </row>
    <row r="4" spans="1:24">
      <c r="A4" s="2" t="s">
        <v>3</v>
      </c>
      <c r="B4" s="2">
        <v>11.16</v>
      </c>
      <c r="C4" s="2">
        <v>0</v>
      </c>
      <c r="D4" s="2">
        <v>4.96</v>
      </c>
      <c r="E4" s="2">
        <v>0</v>
      </c>
      <c r="F4" s="4">
        <v>97.42</v>
      </c>
      <c r="G4" s="4">
        <v>220.05</v>
      </c>
      <c r="H4" s="2">
        <v>126.53</v>
      </c>
      <c r="I4" s="2">
        <v>216.02</v>
      </c>
      <c r="J4" s="2">
        <v>126.78</v>
      </c>
      <c r="K4" s="2">
        <v>394.59</v>
      </c>
      <c r="L4" s="2">
        <v>126.67</v>
      </c>
      <c r="M4" s="2">
        <v>398.01</v>
      </c>
      <c r="N4" s="2">
        <v>131.16999999999999</v>
      </c>
      <c r="O4" s="2">
        <v>396.69</v>
      </c>
      <c r="P4" s="4"/>
      <c r="Q4" s="2"/>
      <c r="T4" s="3">
        <v>20</v>
      </c>
      <c r="U4" s="3">
        <f>$X$2*T4</f>
        <v>40</v>
      </c>
      <c r="V4" s="3">
        <f>$X$3*T4</f>
        <v>60</v>
      </c>
    </row>
    <row r="5" spans="1:24">
      <c r="A5" s="2" t="s">
        <v>4</v>
      </c>
      <c r="B5" s="2">
        <v>10.92</v>
      </c>
      <c r="C5" s="2">
        <v>0</v>
      </c>
      <c r="D5" s="2">
        <v>5.96</v>
      </c>
      <c r="E5" s="2">
        <v>0</v>
      </c>
      <c r="F5" s="4">
        <v>94.11</v>
      </c>
      <c r="G5" s="4">
        <v>230.78</v>
      </c>
      <c r="H5" s="2">
        <v>125.32</v>
      </c>
      <c r="I5" s="2">
        <v>452.37</v>
      </c>
      <c r="J5" s="2">
        <v>124.69</v>
      </c>
      <c r="K5" s="2">
        <v>431.15</v>
      </c>
      <c r="L5" s="2">
        <v>122.04</v>
      </c>
      <c r="M5" s="2">
        <v>465.22</v>
      </c>
      <c r="N5" s="2">
        <v>122.17</v>
      </c>
      <c r="O5" s="2">
        <v>358.74</v>
      </c>
      <c r="P5" s="4"/>
      <c r="Q5" s="2"/>
      <c r="T5" s="3">
        <v>30</v>
      </c>
      <c r="U5" s="3">
        <f>$X$2*T5</f>
        <v>60</v>
      </c>
      <c r="V5" s="3">
        <f>$X$3*T5</f>
        <v>90</v>
      </c>
    </row>
    <row r="6" spans="1:24">
      <c r="A6" s="2" t="s">
        <v>5</v>
      </c>
      <c r="B6" s="2">
        <v>11.13</v>
      </c>
      <c r="C6" s="2">
        <v>0</v>
      </c>
      <c r="D6" s="2">
        <v>4.76</v>
      </c>
      <c r="E6" s="2">
        <v>0</v>
      </c>
      <c r="F6" s="4">
        <v>76.599999999999994</v>
      </c>
      <c r="G6" s="4">
        <v>156.74</v>
      </c>
      <c r="H6" s="10">
        <v>103.29</v>
      </c>
      <c r="I6" s="2">
        <v>320.13</v>
      </c>
      <c r="J6" s="2">
        <v>104.21</v>
      </c>
      <c r="K6" s="2">
        <v>335.62</v>
      </c>
      <c r="L6" s="2">
        <v>108.55</v>
      </c>
      <c r="M6" s="2">
        <v>359.97</v>
      </c>
      <c r="N6" s="2">
        <v>102.61</v>
      </c>
      <c r="O6" s="2">
        <v>330.78</v>
      </c>
      <c r="P6" s="4"/>
      <c r="Q6" s="2"/>
      <c r="T6" s="3">
        <v>40</v>
      </c>
      <c r="U6" s="3">
        <f>$X$2*T6</f>
        <v>80</v>
      </c>
      <c r="V6" s="3">
        <f>$X$3*T6</f>
        <v>120</v>
      </c>
    </row>
    <row r="7" spans="1:24">
      <c r="A7" s="2" t="s">
        <v>6</v>
      </c>
      <c r="B7" s="2">
        <v>7.21</v>
      </c>
      <c r="C7" s="2">
        <v>0</v>
      </c>
      <c r="D7" s="2">
        <v>4.34</v>
      </c>
      <c r="E7" s="2">
        <v>0</v>
      </c>
      <c r="F7" s="4">
        <v>114.82</v>
      </c>
      <c r="G7" s="4">
        <v>302.2</v>
      </c>
      <c r="H7" s="2">
        <v>178.14</v>
      </c>
      <c r="I7" s="2">
        <v>501.2</v>
      </c>
      <c r="J7" s="2">
        <v>179.82</v>
      </c>
      <c r="K7" s="2">
        <v>510.5</v>
      </c>
      <c r="L7" s="2">
        <v>170.27</v>
      </c>
      <c r="M7" s="2">
        <v>517.41999999999996</v>
      </c>
      <c r="N7" s="2">
        <v>184.94</v>
      </c>
      <c r="O7" s="2">
        <v>515.29999999999995</v>
      </c>
      <c r="P7" s="4"/>
      <c r="Q7" s="2"/>
      <c r="T7" s="3">
        <v>50</v>
      </c>
      <c r="U7" s="3">
        <f>$X$2*T7</f>
        <v>100</v>
      </c>
      <c r="V7" s="3">
        <f>$X$3*T7</f>
        <v>150</v>
      </c>
    </row>
    <row r="8" spans="1:24">
      <c r="A8" s="2" t="s">
        <v>7</v>
      </c>
      <c r="B8" s="2">
        <v>7.92</v>
      </c>
      <c r="C8" s="2">
        <v>0</v>
      </c>
      <c r="D8" s="2">
        <v>5.75</v>
      </c>
      <c r="E8" s="2">
        <v>0</v>
      </c>
      <c r="F8" s="4">
        <v>101.2</v>
      </c>
      <c r="G8" s="4">
        <v>196</v>
      </c>
      <c r="H8" s="2">
        <v>137.26</v>
      </c>
      <c r="I8" s="2">
        <v>392.05</v>
      </c>
      <c r="J8" s="2">
        <v>132.77000000000001</v>
      </c>
      <c r="K8" s="2">
        <v>405.82</v>
      </c>
      <c r="L8" s="2">
        <v>133.47999999999999</v>
      </c>
      <c r="M8" s="2">
        <v>410.74</v>
      </c>
      <c r="N8" s="2">
        <v>142.05000000000001</v>
      </c>
      <c r="O8" s="2">
        <v>426.93</v>
      </c>
      <c r="P8" s="4"/>
      <c r="Q8" s="2"/>
      <c r="T8" s="3">
        <v>60</v>
      </c>
      <c r="U8" s="3">
        <f>$X$2*T8</f>
        <v>120</v>
      </c>
      <c r="V8" s="3">
        <f>$X$3*T8</f>
        <v>180</v>
      </c>
    </row>
    <row r="9" spans="1:24">
      <c r="A9" s="2" t="s">
        <v>8</v>
      </c>
      <c r="B9" s="2">
        <v>9.75</v>
      </c>
      <c r="C9" s="2">
        <v>0</v>
      </c>
      <c r="D9" s="2">
        <v>4.97</v>
      </c>
      <c r="E9" s="2">
        <v>0</v>
      </c>
      <c r="F9" s="4">
        <v>101.28</v>
      </c>
      <c r="G9" s="4">
        <v>238.71</v>
      </c>
      <c r="H9" s="2">
        <v>140.19999999999999</v>
      </c>
      <c r="I9" s="2">
        <v>460.25</v>
      </c>
      <c r="J9" s="2">
        <v>140.28</v>
      </c>
      <c r="K9" s="2">
        <v>492.18</v>
      </c>
      <c r="L9" s="2">
        <v>140.86000000000001</v>
      </c>
      <c r="M9" s="2">
        <v>505.6</v>
      </c>
      <c r="N9" s="2">
        <v>139.9</v>
      </c>
      <c r="O9" s="2">
        <v>519.01</v>
      </c>
      <c r="P9" s="4"/>
      <c r="Q9" s="2"/>
      <c r="T9" s="3">
        <v>70</v>
      </c>
      <c r="U9" s="3">
        <f>$X$2*T9</f>
        <v>140</v>
      </c>
      <c r="V9" s="3">
        <f>$X$3*T9</f>
        <v>210</v>
      </c>
    </row>
    <row r="10" spans="1:24">
      <c r="A10" s="2" t="s">
        <v>9</v>
      </c>
      <c r="B10" s="2">
        <v>7.31</v>
      </c>
      <c r="C10" s="2">
        <v>0</v>
      </c>
      <c r="D10" s="2">
        <v>3.73</v>
      </c>
      <c r="E10" s="2">
        <v>0</v>
      </c>
      <c r="F10" s="4">
        <v>149.77000000000001</v>
      </c>
      <c r="G10" s="4">
        <v>310.39999999999998</v>
      </c>
      <c r="H10" s="10">
        <v>194.82</v>
      </c>
      <c r="I10" s="10">
        <v>188.4</v>
      </c>
      <c r="J10" s="2">
        <v>200.99</v>
      </c>
      <c r="K10" s="2">
        <v>693.56</v>
      </c>
      <c r="L10" s="2">
        <v>196.33</v>
      </c>
      <c r="M10" s="2">
        <v>717.03</v>
      </c>
      <c r="N10" s="2">
        <v>196.46</v>
      </c>
      <c r="O10" s="2">
        <v>706.46</v>
      </c>
      <c r="P10" s="4"/>
      <c r="Q10" s="2"/>
      <c r="T10" s="3">
        <v>80</v>
      </c>
      <c r="U10" s="3">
        <f>$X$2*T10</f>
        <v>160</v>
      </c>
      <c r="V10" s="3">
        <f>$X$3*T10</f>
        <v>240</v>
      </c>
    </row>
    <row r="11" spans="1:24">
      <c r="A11" s="2" t="s">
        <v>10</v>
      </c>
      <c r="B11" s="2">
        <v>8.91</v>
      </c>
      <c r="C11" s="2">
        <v>0</v>
      </c>
      <c r="D11" s="2">
        <v>5.46</v>
      </c>
      <c r="E11" s="2">
        <v>0</v>
      </c>
      <c r="F11" s="4">
        <v>120.02</v>
      </c>
      <c r="G11" s="4">
        <v>258.02999999999997</v>
      </c>
      <c r="H11" s="2">
        <v>151.94</v>
      </c>
      <c r="I11" s="2">
        <v>489.13</v>
      </c>
      <c r="J11" s="2">
        <v>153.28</v>
      </c>
      <c r="K11" s="2">
        <v>515.30999999999995</v>
      </c>
      <c r="L11" s="2">
        <v>154.18</v>
      </c>
      <c r="M11" s="2">
        <v>526.28</v>
      </c>
      <c r="N11" s="2">
        <v>159.78</v>
      </c>
      <c r="O11" s="2">
        <v>525.88</v>
      </c>
      <c r="P11" s="4"/>
      <c r="Q11" s="2"/>
      <c r="T11" s="3">
        <v>90</v>
      </c>
      <c r="U11" s="3">
        <f>$X$2*T11</f>
        <v>180</v>
      </c>
      <c r="V11" s="3">
        <f>$X$3*T11</f>
        <v>270</v>
      </c>
    </row>
    <row r="12" spans="1:24">
      <c r="A12" s="2" t="s">
        <v>11</v>
      </c>
      <c r="B12" s="2">
        <v>9.16</v>
      </c>
      <c r="C12" s="2">
        <v>0</v>
      </c>
      <c r="D12" s="2">
        <v>2.62</v>
      </c>
      <c r="E12" s="2">
        <v>0</v>
      </c>
      <c r="F12" s="4">
        <v>119.63</v>
      </c>
      <c r="G12" s="4">
        <v>223.06</v>
      </c>
      <c r="H12" s="2">
        <v>136.59</v>
      </c>
      <c r="I12" s="2">
        <v>331.92</v>
      </c>
      <c r="J12" s="2">
        <v>138.63999999999999</v>
      </c>
      <c r="K12" s="2">
        <v>345.95</v>
      </c>
      <c r="L12" s="2">
        <v>139.53</v>
      </c>
      <c r="M12" s="2">
        <v>354.3</v>
      </c>
      <c r="N12" s="2">
        <v>147.57</v>
      </c>
      <c r="O12" s="2">
        <v>371.01</v>
      </c>
      <c r="P12" s="4"/>
      <c r="Q12" s="2"/>
      <c r="T12" s="3">
        <v>100</v>
      </c>
      <c r="U12" s="3">
        <f>$X$2*T12</f>
        <v>200</v>
      </c>
      <c r="V12" s="3">
        <f>$X$3*T12</f>
        <v>300</v>
      </c>
    </row>
    <row r="13" spans="1:24">
      <c r="A13" s="2" t="s">
        <v>12</v>
      </c>
      <c r="B13" s="2">
        <v>10.34</v>
      </c>
      <c r="C13" s="2">
        <v>0</v>
      </c>
      <c r="D13" s="2">
        <v>4.9000000000000004</v>
      </c>
      <c r="E13" s="2">
        <v>0</v>
      </c>
      <c r="F13" s="4">
        <v>107.24</v>
      </c>
      <c r="G13" s="4">
        <v>204.53</v>
      </c>
      <c r="H13" s="2">
        <v>153.32</v>
      </c>
      <c r="I13" s="2">
        <v>393.76</v>
      </c>
      <c r="J13" s="2">
        <v>156.43</v>
      </c>
      <c r="K13" s="2">
        <v>376.27</v>
      </c>
      <c r="L13" s="2">
        <v>150.22</v>
      </c>
      <c r="M13" s="2">
        <v>390.48</v>
      </c>
      <c r="N13" s="2">
        <v>148.33000000000001</v>
      </c>
      <c r="O13" s="2">
        <v>397.68</v>
      </c>
      <c r="P13" s="4"/>
      <c r="Q13" s="2"/>
      <c r="T13" s="3">
        <v>110</v>
      </c>
      <c r="U13" s="3">
        <f>$X$2*T13</f>
        <v>220</v>
      </c>
      <c r="V13" s="3">
        <f>$X$3*T13</f>
        <v>330</v>
      </c>
    </row>
    <row r="14" spans="1:24">
      <c r="A14" s="2" t="s">
        <v>13</v>
      </c>
      <c r="B14" s="2">
        <v>8.74</v>
      </c>
      <c r="C14" s="2">
        <v>0</v>
      </c>
      <c r="D14" s="2">
        <v>4.2</v>
      </c>
      <c r="E14" s="2">
        <v>0</v>
      </c>
      <c r="F14" s="4">
        <v>107.78</v>
      </c>
      <c r="G14" s="4">
        <v>242.68</v>
      </c>
      <c r="H14" s="10">
        <v>135.97999999999999</v>
      </c>
      <c r="I14" s="10">
        <v>464.23</v>
      </c>
      <c r="J14" s="11">
        <v>138.43</v>
      </c>
      <c r="K14" s="11">
        <v>424.77</v>
      </c>
      <c r="L14" s="2">
        <v>140.04</v>
      </c>
      <c r="M14" s="2">
        <v>473.43</v>
      </c>
      <c r="N14" s="2">
        <v>132.25</v>
      </c>
      <c r="O14" s="2">
        <v>448.77</v>
      </c>
      <c r="P14" s="4"/>
      <c r="Q14" s="2"/>
      <c r="T14" s="3">
        <v>120</v>
      </c>
      <c r="U14" s="3">
        <f>$X$2*T14</f>
        <v>240</v>
      </c>
      <c r="V14" s="3">
        <f>$X$3*T14</f>
        <v>360</v>
      </c>
    </row>
    <row r="15" spans="1:24">
      <c r="A15" s="2" t="s">
        <v>14</v>
      </c>
      <c r="B15" s="2">
        <v>9.89</v>
      </c>
      <c r="C15" s="2">
        <v>0</v>
      </c>
      <c r="D15" s="2">
        <v>5.14</v>
      </c>
      <c r="E15" s="2">
        <v>0</v>
      </c>
      <c r="F15" s="4">
        <v>97.77</v>
      </c>
      <c r="G15" s="4">
        <v>259.01</v>
      </c>
      <c r="H15" s="2">
        <v>125.62</v>
      </c>
      <c r="I15" s="2">
        <v>446.08</v>
      </c>
      <c r="J15" s="2">
        <v>126.07</v>
      </c>
      <c r="K15" s="2">
        <v>474.93</v>
      </c>
      <c r="L15" s="2">
        <v>123.3</v>
      </c>
      <c r="M15" s="2">
        <v>478.77</v>
      </c>
      <c r="N15" s="2">
        <v>118.33</v>
      </c>
      <c r="O15" s="2">
        <v>444.38</v>
      </c>
      <c r="P15" s="4"/>
      <c r="Q15" s="2"/>
      <c r="T15" s="3">
        <v>130</v>
      </c>
      <c r="U15" s="3">
        <f>$X$2*T15</f>
        <v>260</v>
      </c>
      <c r="V15" s="3">
        <f>$X$3*T15</f>
        <v>390</v>
      </c>
    </row>
    <row r="16" spans="1:24">
      <c r="A16" s="2" t="s">
        <v>15</v>
      </c>
      <c r="B16" s="2">
        <v>10.62</v>
      </c>
      <c r="C16" s="2">
        <v>0</v>
      </c>
      <c r="D16" s="2">
        <v>5.91</v>
      </c>
      <c r="E16" s="2">
        <v>0</v>
      </c>
      <c r="F16" s="4"/>
      <c r="G16" s="4"/>
      <c r="H16" s="2">
        <v>93.17</v>
      </c>
      <c r="I16" s="2">
        <v>263.92</v>
      </c>
      <c r="J16" s="2">
        <v>89.77</v>
      </c>
      <c r="K16" s="2">
        <v>275.25</v>
      </c>
      <c r="L16" s="2">
        <v>92.82</v>
      </c>
      <c r="M16" s="2">
        <v>273.39999999999998</v>
      </c>
      <c r="N16" s="2">
        <v>97.68</v>
      </c>
      <c r="O16" s="2">
        <v>278.93</v>
      </c>
      <c r="P16" s="4"/>
      <c r="Q16" s="2"/>
      <c r="T16" s="3">
        <v>140</v>
      </c>
      <c r="U16" s="3">
        <f>$X$2*T16</f>
        <v>280</v>
      </c>
      <c r="V16" s="3">
        <f>$X$3*T16</f>
        <v>420</v>
      </c>
    </row>
    <row r="17" spans="1:22">
      <c r="A17" s="2" t="s">
        <v>16</v>
      </c>
      <c r="B17" s="2">
        <v>9.6</v>
      </c>
      <c r="C17" s="2">
        <v>0</v>
      </c>
      <c r="D17" s="2">
        <v>5.89</v>
      </c>
      <c r="E17" s="2">
        <v>0</v>
      </c>
      <c r="F17" s="4">
        <v>84.4</v>
      </c>
      <c r="G17" s="4">
        <v>170.57</v>
      </c>
      <c r="H17" s="2">
        <v>114.41</v>
      </c>
      <c r="I17" s="2">
        <v>372.31</v>
      </c>
      <c r="J17" s="2">
        <v>107.62</v>
      </c>
      <c r="K17" s="2">
        <v>360.74</v>
      </c>
      <c r="L17" s="2">
        <v>119.05</v>
      </c>
      <c r="M17" s="2">
        <v>378.07</v>
      </c>
      <c r="N17" s="2">
        <v>111.34</v>
      </c>
      <c r="O17" s="2">
        <v>367.84</v>
      </c>
      <c r="P17" s="4"/>
      <c r="Q17" s="2"/>
      <c r="T17" s="3">
        <v>150</v>
      </c>
      <c r="U17" s="3">
        <f>$X$2*T17</f>
        <v>300</v>
      </c>
      <c r="V17" s="3">
        <f>$X$3*T17</f>
        <v>450</v>
      </c>
    </row>
    <row r="18" spans="1:22">
      <c r="A18" s="2" t="s">
        <v>17</v>
      </c>
      <c r="B18" s="2">
        <v>12.14</v>
      </c>
      <c r="C18" s="2">
        <v>0</v>
      </c>
      <c r="D18" s="2">
        <v>7.35</v>
      </c>
      <c r="E18" s="2">
        <v>0</v>
      </c>
      <c r="F18" s="4">
        <v>74.959999999999994</v>
      </c>
      <c r="G18" s="4">
        <v>143.88</v>
      </c>
      <c r="H18" s="2">
        <v>116.95</v>
      </c>
      <c r="I18" s="2">
        <v>311.01</v>
      </c>
      <c r="J18" s="2">
        <v>123.46</v>
      </c>
      <c r="K18" s="2">
        <v>340.16</v>
      </c>
      <c r="L18" s="2">
        <v>112.65</v>
      </c>
      <c r="M18" s="2">
        <v>336.74</v>
      </c>
      <c r="N18" s="2">
        <v>115.12</v>
      </c>
      <c r="O18" s="2">
        <v>351.74</v>
      </c>
      <c r="P18" s="4"/>
      <c r="Q18" s="2"/>
      <c r="T18" s="3">
        <v>160</v>
      </c>
      <c r="U18" s="3">
        <f>$X$2*T18</f>
        <v>320</v>
      </c>
      <c r="V18" s="3">
        <f>$X$3*T18</f>
        <v>480</v>
      </c>
    </row>
    <row r="19" spans="1:22">
      <c r="A19" s="2" t="s">
        <v>18</v>
      </c>
      <c r="B19" s="2">
        <v>6.95</v>
      </c>
      <c r="C19" s="2">
        <v>0</v>
      </c>
      <c r="D19" s="2">
        <v>1.98</v>
      </c>
      <c r="E19" s="2">
        <v>0</v>
      </c>
      <c r="F19" s="4">
        <v>153.54</v>
      </c>
      <c r="G19" s="4">
        <v>515.65</v>
      </c>
      <c r="H19" s="2">
        <v>159.88</v>
      </c>
      <c r="I19" s="2">
        <v>553.37</v>
      </c>
      <c r="J19" s="10">
        <v>161.19999999999999</v>
      </c>
      <c r="K19" s="10">
        <v>588.62</v>
      </c>
      <c r="L19" s="2">
        <v>162.56</v>
      </c>
      <c r="M19" s="2">
        <v>570.23</v>
      </c>
      <c r="N19" s="2">
        <v>168.81</v>
      </c>
      <c r="O19" s="2">
        <v>585.26</v>
      </c>
      <c r="P19" s="4"/>
      <c r="Q19" s="2"/>
    </row>
    <row r="20" spans="1:22">
      <c r="A20" s="2" t="s">
        <v>19</v>
      </c>
      <c r="B20" s="2">
        <v>7.99</v>
      </c>
      <c r="C20" s="2">
        <v>0</v>
      </c>
      <c r="D20" s="2">
        <v>4.84</v>
      </c>
      <c r="E20" s="2">
        <v>0</v>
      </c>
      <c r="F20" s="4">
        <v>118.34</v>
      </c>
      <c r="G20" s="4">
        <v>259.62</v>
      </c>
      <c r="H20" s="2">
        <v>158.76</v>
      </c>
      <c r="I20" s="2">
        <v>465.64</v>
      </c>
      <c r="J20" s="2">
        <v>155.9</v>
      </c>
      <c r="K20" s="2">
        <v>485.11</v>
      </c>
      <c r="L20" s="2">
        <v>158.63</v>
      </c>
      <c r="M20" s="2">
        <v>493.15</v>
      </c>
      <c r="N20" s="2">
        <v>163.24</v>
      </c>
      <c r="O20" s="2">
        <v>494.66</v>
      </c>
      <c r="P20" s="4"/>
      <c r="Q20" s="2"/>
    </row>
    <row r="21" spans="1:22">
      <c r="A21" s="2" t="s">
        <v>20</v>
      </c>
      <c r="B21" s="2">
        <v>11.46</v>
      </c>
      <c r="C21" s="2">
        <v>0</v>
      </c>
      <c r="D21" s="2">
        <v>6.35</v>
      </c>
      <c r="E21" s="2">
        <v>0</v>
      </c>
      <c r="F21" s="4">
        <v>80.760000000000005</v>
      </c>
      <c r="G21" s="4">
        <v>193.13</v>
      </c>
      <c r="H21" s="2">
        <v>82.81</v>
      </c>
      <c r="I21" s="2">
        <v>192.58</v>
      </c>
      <c r="J21" s="2">
        <v>107.16</v>
      </c>
      <c r="K21" s="2">
        <v>343.79</v>
      </c>
      <c r="L21" s="2">
        <v>107.92</v>
      </c>
      <c r="M21" s="2">
        <v>371.38</v>
      </c>
      <c r="N21" s="2">
        <v>110.14</v>
      </c>
      <c r="O21" s="2">
        <v>376.02</v>
      </c>
      <c r="P21" s="4"/>
      <c r="Q21" s="2"/>
    </row>
    <row r="22" spans="1:22">
      <c r="A22" s="2" t="s">
        <v>21</v>
      </c>
      <c r="B22" s="2">
        <v>8.0299999999999994</v>
      </c>
      <c r="C22" s="2">
        <v>0</v>
      </c>
      <c r="D22" s="2">
        <v>3.43</v>
      </c>
      <c r="E22" s="2">
        <v>0</v>
      </c>
      <c r="F22" s="4">
        <v>108.86</v>
      </c>
      <c r="G22" s="4">
        <v>281.18</v>
      </c>
      <c r="H22" s="2">
        <v>155.22</v>
      </c>
      <c r="I22" s="2">
        <v>460.6</v>
      </c>
      <c r="J22" s="2">
        <v>155.85</v>
      </c>
      <c r="K22" s="2">
        <v>355.34</v>
      </c>
      <c r="L22" s="2">
        <v>169.25</v>
      </c>
      <c r="M22" s="2">
        <v>534.88</v>
      </c>
      <c r="N22" s="2">
        <v>160.31</v>
      </c>
      <c r="O22" s="2">
        <v>509.64</v>
      </c>
      <c r="P22" s="2"/>
      <c r="Q22" s="2"/>
    </row>
    <row r="23" spans="1:22">
      <c r="A23" s="2" t="s">
        <v>22</v>
      </c>
      <c r="B23" s="2">
        <v>10.32</v>
      </c>
      <c r="C23" s="2">
        <v>0</v>
      </c>
      <c r="D23" s="2">
        <v>5.91</v>
      </c>
      <c r="E23" s="2">
        <v>0</v>
      </c>
      <c r="F23" s="4">
        <v>84.24</v>
      </c>
      <c r="G23" s="2">
        <v>179.39</v>
      </c>
      <c r="H23" s="2">
        <v>118.44</v>
      </c>
      <c r="I23" s="2">
        <v>367.04</v>
      </c>
      <c r="J23" s="2">
        <v>115.31</v>
      </c>
      <c r="K23" s="2">
        <v>371.79</v>
      </c>
      <c r="L23" s="2">
        <v>120.71</v>
      </c>
      <c r="M23" s="2">
        <v>385.58</v>
      </c>
      <c r="N23" s="2">
        <v>122.57</v>
      </c>
      <c r="O23" s="2">
        <v>397.64</v>
      </c>
      <c r="P23" s="2"/>
      <c r="Q23" s="2"/>
    </row>
    <row r="25" spans="1:22">
      <c r="A25" s="2" t="s">
        <v>27</v>
      </c>
      <c r="B25" s="2">
        <v>2</v>
      </c>
    </row>
    <row r="26" spans="1:22">
      <c r="A26" s="2" t="s">
        <v>28</v>
      </c>
      <c r="B26" s="2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W51"/>
  <sheetViews>
    <sheetView topLeftCell="A10" workbookViewId="0">
      <selection activeCell="M31" sqref="M31:N36"/>
    </sheetView>
  </sheetViews>
  <sheetFormatPr defaultRowHeight="15"/>
  <cols>
    <col min="1" max="1" width="9.28515625" style="2" customWidth="1"/>
    <col min="2" max="2" width="15.7109375" style="2" bestFit="1" customWidth="1"/>
    <col min="3" max="3" width="16.7109375" style="2" bestFit="1" customWidth="1"/>
    <col min="4" max="4" width="16.5703125" style="2" bestFit="1" customWidth="1"/>
    <col min="5" max="5" width="17.7109375" style="2" bestFit="1" customWidth="1"/>
    <col min="6" max="6" width="15.5703125" style="2" bestFit="1" customWidth="1"/>
    <col min="7" max="7" width="16.5703125" style="2" bestFit="1" customWidth="1"/>
    <col min="8" max="8" width="12" style="2" bestFit="1" customWidth="1"/>
    <col min="9" max="9" width="12.5703125" style="2" bestFit="1" customWidth="1"/>
    <col min="10" max="10" width="17.140625" style="2" bestFit="1" customWidth="1"/>
    <col min="11" max="11" width="18.28515625" style="2" bestFit="1" customWidth="1"/>
    <col min="12" max="12" width="17" style="2" bestFit="1" customWidth="1"/>
    <col min="13" max="13" width="13.42578125" style="2" bestFit="1" customWidth="1"/>
    <col min="14" max="15" width="9.140625" style="2"/>
    <col min="16" max="16" width="11" style="2" customWidth="1"/>
    <col min="17" max="17" width="11.5703125" style="2" bestFit="1" customWidth="1"/>
    <col min="18" max="18" width="12.5703125" style="2" bestFit="1" customWidth="1"/>
    <col min="19" max="19" width="11.5703125" style="2" bestFit="1" customWidth="1"/>
    <col min="20" max="16384" width="9.140625" style="2"/>
  </cols>
  <sheetData>
    <row r="1" spans="1:23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2" t="s">
        <v>38</v>
      </c>
      <c r="N1" s="2" t="s">
        <v>39</v>
      </c>
      <c r="O1" s="2" t="s">
        <v>48</v>
      </c>
    </row>
    <row r="2" spans="1:23">
      <c r="A2" s="2" t="s">
        <v>1</v>
      </c>
      <c r="B2" s="5">
        <f>Table1[[#This Row],[2 - Pre]]/Table1[[#This Row],[Rescale A_2]]</f>
        <v>3.2612080536912749</v>
      </c>
      <c r="C2" s="5">
        <f>Table1[[#This Row],[10 - pre]]/Table1[[#This Row],[Rescale A_10]]</f>
        <v>37.686666666666667</v>
      </c>
      <c r="D2" s="5">
        <f>Table1[[#This Row],[2 - Post 5min]]/Table1[[#This Row],[Rescale A_2]]</f>
        <v>7.4328859060402683</v>
      </c>
      <c r="E2" s="5">
        <f>Table1[[#This Row],[10 - Post 5min]]/Table1[[#This Row],[Rescale A_10]]</f>
        <v>72.380392156862754</v>
      </c>
      <c r="F2" s="5">
        <f>Table1[[#This Row],[2 - Post 10min]]/Table1[[#This Row],[Rescale A_2]]</f>
        <v>7.6583892617449658</v>
      </c>
      <c r="G2" s="5">
        <f>Table1[[#This Row],[10 - Post 10min]]/Table1[[#This Row],[Rescale A_10]]</f>
        <v>77.29607843137255</v>
      </c>
      <c r="H2" s="5">
        <f>Table1[[#This Row],[2 - Post 15min]]/Table1[[#This Row],[Rescale A_2]]</f>
        <v>4.4812080536912751</v>
      </c>
      <c r="I2" s="5">
        <f>Table1[[#This Row],[10 - Post 15min]]/Table1[[#This Row],[Rescale A_10]]</f>
        <v>77.552941176470597</v>
      </c>
      <c r="J2" s="5">
        <f>Table1[[#This Row],[2 - Post 20min]]/Table1[[#This Row],[Rescale A_2]]</f>
        <v>7.6</v>
      </c>
      <c r="K2" s="5">
        <f>Table1[[#This Row],[10 - Post 20min]]/Table1[[#This Row],[Rescale A_10]]</f>
        <v>78.103921568627456</v>
      </c>
      <c r="L2" s="5"/>
      <c r="M2" s="2">
        <v>1</v>
      </c>
      <c r="N2" s="2">
        <f>$T$2*M2</f>
        <v>4.74</v>
      </c>
      <c r="O2" s="2">
        <f>M2*$T$3</f>
        <v>6</v>
      </c>
      <c r="S2" s="7" t="s">
        <v>30</v>
      </c>
      <c r="T2" s="8">
        <v>4.74</v>
      </c>
    </row>
    <row r="3" spans="1:23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A_2]]</f>
        <v>15.266443701226308</v>
      </c>
      <c r="E3" s="5">
        <f>Table1[[#This Row],[10 - Post 5min]]/Table1[[#This Row],[Rescale A_10]]</f>
        <v>82.237735849056605</v>
      </c>
      <c r="F3" s="5">
        <f>Table1[[#This Row],[2 - Post 10min]]/Table1[[#This Row],[Rescale A_2]]</f>
        <v>15.865105908584168</v>
      </c>
      <c r="G3" s="5">
        <f>Table1[[#This Row],[10 - Post 10min]]/Table1[[#This Row],[Rescale A_10]]</f>
        <v>89.647169811320751</v>
      </c>
      <c r="H3" s="5">
        <f>Table1[[#This Row],[2 - Post 15min]]/Table1[[#This Row],[Rescale A_2]]</f>
        <v>15.683389074693423</v>
      </c>
      <c r="I3" s="5">
        <f>Table1[[#This Row],[10 - Post 15min]]/Table1[[#This Row],[Rescale A_10]]</f>
        <v>91.649056603773587</v>
      </c>
      <c r="J3" s="5">
        <f>Table1[[#This Row],[2 - Post 20min]]/Table1[[#This Row],[Rescale A_2]]</f>
        <v>16.01560758082497</v>
      </c>
      <c r="K3" s="5">
        <f>Table1[[#This Row],[10 - Post 20min]]/Table1[[#This Row],[Rescale A_10]]</f>
        <v>90.164150943396237</v>
      </c>
      <c r="L3" s="5"/>
      <c r="M3" s="2">
        <v>2</v>
      </c>
      <c r="N3" s="2">
        <f t="shared" ref="N3:N20" si="0">$T$2*M3</f>
        <v>9.48</v>
      </c>
      <c r="O3" s="2">
        <f t="shared" ref="O3:O20" si="1">M3*$T$3</f>
        <v>12</v>
      </c>
      <c r="S3" s="7" t="s">
        <v>31</v>
      </c>
      <c r="T3" s="8">
        <v>6</v>
      </c>
    </row>
    <row r="4" spans="1:23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A_2]]</f>
        <v>11.337813620071685</v>
      </c>
      <c r="E4" s="5">
        <f>Table1[[#This Row],[10 - Post 5min]]/Table1[[#This Row],[Rescale A_10]]</f>
        <v>43.552419354838712</v>
      </c>
      <c r="F4" s="5">
        <f>Table1[[#This Row],[2 - Post 10min]]/Table1[[#This Row],[Rescale A_2]]</f>
        <v>11.36021505376344</v>
      </c>
      <c r="G4" s="5">
        <f>Table1[[#This Row],[10 - Post 10min]]/Table1[[#This Row],[Rescale A_10]]</f>
        <v>79.554435483870961</v>
      </c>
      <c r="H4" s="5">
        <f>Table1[[#This Row],[2 - Post 15min]]/Table1[[#This Row],[Rescale A_2]]</f>
        <v>11.350358422939069</v>
      </c>
      <c r="I4" s="5">
        <f>Table1[[#This Row],[10 - Post 15min]]/Table1[[#This Row],[Rescale A_10]]</f>
        <v>80.243951612903231</v>
      </c>
      <c r="J4" s="5">
        <f>Table1[[#This Row],[2 - Post 20min]]/Table1[[#This Row],[Rescale A_2]]</f>
        <v>11.753584229390679</v>
      </c>
      <c r="K4" s="5">
        <f>Table1[[#This Row],[10 - Post 20min]]/Table1[[#This Row],[Rescale A_10]]</f>
        <v>79.977822580645167</v>
      </c>
      <c r="L4" s="5"/>
      <c r="M4" s="2">
        <v>3</v>
      </c>
      <c r="N4" s="2">
        <f t="shared" si="0"/>
        <v>14.22</v>
      </c>
      <c r="O4" s="2">
        <f t="shared" si="1"/>
        <v>18</v>
      </c>
      <c r="S4" s="3"/>
      <c r="T4" s="3"/>
    </row>
    <row r="5" spans="1:23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A_2]]</f>
        <v>11.476190476190476</v>
      </c>
      <c r="E5" s="5">
        <f>Table1[[#This Row],[10 - Post 5min]]/Table1[[#This Row],[Rescale A_10]]</f>
        <v>75.901006711409394</v>
      </c>
      <c r="F5" s="5">
        <f>Table1[[#This Row],[2 - Post 10min]]/Table1[[#This Row],[Rescale A_2]]</f>
        <v>11.418498168498168</v>
      </c>
      <c r="G5" s="5">
        <f>Table1[[#This Row],[10 - Post 10min]]/Table1[[#This Row],[Rescale A_10]]</f>
        <v>72.340604026845639</v>
      </c>
      <c r="H5" s="5">
        <f>Table1[[#This Row],[2 - Post 15min]]/Table1[[#This Row],[Rescale A_2]]</f>
        <v>11.175824175824177</v>
      </c>
      <c r="I5" s="5">
        <f>Table1[[#This Row],[10 - Post 15min]]/Table1[[#This Row],[Rescale A_10]]</f>
        <v>78.057046979865774</v>
      </c>
      <c r="J5" s="5">
        <f>Table1[[#This Row],[2 - Post 20min]]/Table1[[#This Row],[Rescale A_2]]</f>
        <v>11.187728937728938</v>
      </c>
      <c r="K5" s="5">
        <f>Table1[[#This Row],[10 - Post 20min]]/Table1[[#This Row],[Rescale A_10]]</f>
        <v>60.191275167785236</v>
      </c>
      <c r="L5" s="5"/>
      <c r="M5" s="2">
        <v>4</v>
      </c>
      <c r="N5" s="2">
        <f t="shared" si="0"/>
        <v>18.96</v>
      </c>
      <c r="O5" s="2">
        <f t="shared" si="1"/>
        <v>24</v>
      </c>
      <c r="S5" s="3"/>
      <c r="T5" s="3"/>
    </row>
    <row r="6" spans="1:23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A_2]]</f>
        <v>9.2803234501347713</v>
      </c>
      <c r="E6" s="5">
        <f>Table1[[#This Row],[10 - Post 5min]]/Table1[[#This Row],[Rescale A_10]]</f>
        <v>67.254201680672267</v>
      </c>
      <c r="F6" s="5">
        <f>Table1[[#This Row],[2 - Post 10min]]/Table1[[#This Row],[Rescale A_2]]</f>
        <v>9.3629829290206636</v>
      </c>
      <c r="G6" s="5">
        <f>Table1[[#This Row],[10 - Post 10min]]/Table1[[#This Row],[Rescale A_10]]</f>
        <v>70.508403361344548</v>
      </c>
      <c r="H6" s="5">
        <f>Table1[[#This Row],[2 - Post 15min]]/Table1[[#This Row],[Rescale A_2]]</f>
        <v>9.752920035938903</v>
      </c>
      <c r="I6" s="5">
        <f>Table1[[#This Row],[10 - Post 15min]]/Table1[[#This Row],[Rescale A_10]]</f>
        <v>75.623949579831944</v>
      </c>
      <c r="J6" s="5">
        <f>Table1[[#This Row],[2 - Post 20min]]/Table1[[#This Row],[Rescale A_2]]</f>
        <v>9.219227313566936</v>
      </c>
      <c r="K6" s="5">
        <f>Table1[[#This Row],[10 - Post 20min]]/Table1[[#This Row],[Rescale A_10]]</f>
        <v>69.491596638655466</v>
      </c>
      <c r="L6" s="5"/>
      <c r="M6" s="2">
        <v>5</v>
      </c>
      <c r="N6" s="2">
        <f t="shared" si="0"/>
        <v>23.700000000000003</v>
      </c>
      <c r="O6" s="2">
        <f t="shared" si="1"/>
        <v>30</v>
      </c>
      <c r="S6" s="3"/>
      <c r="T6" s="3"/>
    </row>
    <row r="7" spans="1:23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A_2]]</f>
        <v>24.707350901525658</v>
      </c>
      <c r="E7" s="5">
        <f>Table1[[#This Row],[10 - Post 5min]]/Table1[[#This Row],[Rescale A_10]]</f>
        <v>115.48387096774194</v>
      </c>
      <c r="F7" s="5">
        <f>Table1[[#This Row],[2 - Post 10min]]/Table1[[#This Row],[Rescale A_2]]</f>
        <v>24.940360610263522</v>
      </c>
      <c r="G7" s="5">
        <f>Table1[[#This Row],[10 - Post 10min]]/Table1[[#This Row],[Rescale A_10]]</f>
        <v>117.62672811059909</v>
      </c>
      <c r="H7" s="5">
        <f>Table1[[#This Row],[2 - Post 15min]]/Table1[[#This Row],[Rescale A_2]]</f>
        <v>23.615811373092928</v>
      </c>
      <c r="I7" s="5">
        <f>Table1[[#This Row],[10 - Post 15min]]/Table1[[#This Row],[Rescale A_10]]</f>
        <v>119.22119815668202</v>
      </c>
      <c r="J7" s="5">
        <f>Table1[[#This Row],[2 - Post 20min]]/Table1[[#This Row],[Rescale A_2]]</f>
        <v>25.650485436893202</v>
      </c>
      <c r="K7" s="5">
        <f>Table1[[#This Row],[10 - Post 20min]]/Table1[[#This Row],[Rescale A_10]]</f>
        <v>118.73271889400921</v>
      </c>
      <c r="L7" s="5"/>
      <c r="M7" s="2">
        <v>6</v>
      </c>
      <c r="N7" s="2">
        <f t="shared" si="0"/>
        <v>28.44</v>
      </c>
      <c r="O7" s="2">
        <f t="shared" si="1"/>
        <v>36</v>
      </c>
      <c r="S7" s="3"/>
      <c r="T7" s="3"/>
    </row>
    <row r="8" spans="1:23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A_2]]</f>
        <v>17.33080808080808</v>
      </c>
      <c r="E8" s="5">
        <f>Table1[[#This Row],[10 - Post 5min]]/Table1[[#This Row],[Rescale A_10]]</f>
        <v>68.182608695652178</v>
      </c>
      <c r="F8" s="5">
        <f>Table1[[#This Row],[2 - Post 10min]]/Table1[[#This Row],[Rescale A_2]]</f>
        <v>16.763888888888889</v>
      </c>
      <c r="G8" s="5">
        <f>Table1[[#This Row],[10 - Post 10min]]/Table1[[#This Row],[Rescale A_10]]</f>
        <v>70.577391304347827</v>
      </c>
      <c r="H8" s="5">
        <f>Table1[[#This Row],[2 - Post 15min]]/Table1[[#This Row],[Rescale A_2]]</f>
        <v>16.853535353535353</v>
      </c>
      <c r="I8" s="5">
        <f>Table1[[#This Row],[10 - Post 15min]]/Table1[[#This Row],[Rescale A_10]]</f>
        <v>71.433043478260871</v>
      </c>
      <c r="J8" s="5">
        <f>Table1[[#This Row],[2 - Post 20min]]/Table1[[#This Row],[Rescale A_2]]</f>
        <v>17.935606060606062</v>
      </c>
      <c r="K8" s="5">
        <f>Table1[[#This Row],[10 - Post 20min]]/Table1[[#This Row],[Rescale A_10]]</f>
        <v>74.248695652173907</v>
      </c>
      <c r="L8" s="5"/>
      <c r="M8" s="2">
        <v>7</v>
      </c>
      <c r="N8" s="2">
        <f t="shared" si="0"/>
        <v>33.18</v>
      </c>
      <c r="O8" s="2">
        <f t="shared" si="1"/>
        <v>42</v>
      </c>
      <c r="S8" s="3"/>
      <c r="T8" s="3"/>
    </row>
    <row r="9" spans="1:23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A_2]]</f>
        <v>14.379487179487178</v>
      </c>
      <c r="E9" s="5">
        <f>Table1[[#This Row],[10 - Post 5min]]/Table1[[#This Row],[Rescale A_10]]</f>
        <v>92.605633802816911</v>
      </c>
      <c r="F9" s="5">
        <f>Table1[[#This Row],[2 - Post 10min]]/Table1[[#This Row],[Rescale A_2]]</f>
        <v>14.387692307692308</v>
      </c>
      <c r="G9" s="5">
        <f>Table1[[#This Row],[10 - Post 10min]]/Table1[[#This Row],[Rescale A_10]]</f>
        <v>99.030181086519121</v>
      </c>
      <c r="H9" s="5">
        <f>Table1[[#This Row],[2 - Post 15min]]/Table1[[#This Row],[Rescale A_2]]</f>
        <v>14.447179487179488</v>
      </c>
      <c r="I9" s="5">
        <f>Table1[[#This Row],[10 - Post 15min]]/Table1[[#This Row],[Rescale A_10]]</f>
        <v>101.73038229376259</v>
      </c>
      <c r="J9" s="5">
        <f>Table1[[#This Row],[2 - Post 20min]]/Table1[[#This Row],[Rescale A_2]]</f>
        <v>14.348717948717949</v>
      </c>
      <c r="K9" s="5">
        <f>Table1[[#This Row],[10 - Post 20min]]/Table1[[#This Row],[Rescale A_10]]</f>
        <v>104.42857142857143</v>
      </c>
      <c r="L9" s="5"/>
      <c r="M9" s="2">
        <v>8</v>
      </c>
      <c r="N9" s="2">
        <f t="shared" si="0"/>
        <v>37.92</v>
      </c>
      <c r="O9" s="2">
        <f t="shared" si="1"/>
        <v>48</v>
      </c>
      <c r="S9" s="3"/>
      <c r="T9" s="3"/>
    </row>
    <row r="10" spans="1:23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A_2]]</f>
        <v>26.651162790697676</v>
      </c>
      <c r="E10" s="5">
        <f>Table1[[#This Row],[10 - Post 5min]]/Table1[[#This Row],[Rescale A_10]]</f>
        <v>50.509383378016089</v>
      </c>
      <c r="F10" s="5">
        <f>Table1[[#This Row],[2 - Post 10min]]/Table1[[#This Row],[Rescale A_2]]</f>
        <v>27.495212038303695</v>
      </c>
      <c r="G10" s="5">
        <f>Table1[[#This Row],[10 - Post 10min]]/Table1[[#This Row],[Rescale A_10]]</f>
        <v>185.94101876675603</v>
      </c>
      <c r="H10" s="5">
        <f>Table1[[#This Row],[2 - Post 15min]]/Table1[[#This Row],[Rescale A_2]]</f>
        <v>26.857729138166899</v>
      </c>
      <c r="I10" s="5">
        <f>Table1[[#This Row],[10 - Post 15min]]/Table1[[#This Row],[Rescale A_10]]</f>
        <v>192.2332439678284</v>
      </c>
      <c r="J10" s="5">
        <f>Table1[[#This Row],[2 - Post 20min]]/Table1[[#This Row],[Rescale A_2]]</f>
        <v>26.875512995896035</v>
      </c>
      <c r="K10" s="5">
        <f>Table1[[#This Row],[10 - Post 20min]]/Table1[[#This Row],[Rescale A_10]]</f>
        <v>189.39946380697052</v>
      </c>
      <c r="L10" s="5"/>
      <c r="M10" s="2">
        <v>9</v>
      </c>
      <c r="N10" s="2">
        <f t="shared" si="0"/>
        <v>42.660000000000004</v>
      </c>
      <c r="O10" s="2">
        <f t="shared" si="1"/>
        <v>54</v>
      </c>
      <c r="S10" s="3"/>
      <c r="T10" s="3"/>
    </row>
    <row r="11" spans="1:23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A_2]]</f>
        <v>17.052749719416386</v>
      </c>
      <c r="E11" s="5">
        <f>Table1[[#This Row],[10 - Post 5min]]/Table1[[#This Row],[Rescale A_10]]</f>
        <v>89.58424908424908</v>
      </c>
      <c r="F11" s="5">
        <f>Table1[[#This Row],[2 - Post 10min]]/Table1[[#This Row],[Rescale A_2]]</f>
        <v>17.20314253647587</v>
      </c>
      <c r="G11" s="5">
        <f>Table1[[#This Row],[10 - Post 10min]]/Table1[[#This Row],[Rescale A_10]]</f>
        <v>94.379120879120876</v>
      </c>
      <c r="H11" s="5">
        <f>Table1[[#This Row],[2 - Post 15min]]/Table1[[#This Row],[Rescale A_2]]</f>
        <v>17.30415263748597</v>
      </c>
      <c r="I11" s="5">
        <f>Table1[[#This Row],[10 - Post 15min]]/Table1[[#This Row],[Rescale A_10]]</f>
        <v>96.38827838827838</v>
      </c>
      <c r="J11" s="5">
        <f>Table1[[#This Row],[2 - Post 20min]]/Table1[[#This Row],[Rescale A_2]]</f>
        <v>17.932659932659931</v>
      </c>
      <c r="K11" s="5">
        <f>Table1[[#This Row],[10 - Post 20min]]/Table1[[#This Row],[Rescale A_10]]</f>
        <v>96.315018315018321</v>
      </c>
      <c r="L11" s="5"/>
      <c r="M11" s="2">
        <v>10</v>
      </c>
      <c r="N11" s="2">
        <f t="shared" si="0"/>
        <v>47.400000000000006</v>
      </c>
      <c r="O11" s="2">
        <f t="shared" si="1"/>
        <v>60</v>
      </c>
      <c r="S11" s="3"/>
      <c r="T11" s="3"/>
    </row>
    <row r="12" spans="1:23">
      <c r="A12" s="2" t="s">
        <v>11</v>
      </c>
      <c r="B12" s="5">
        <f>Table1[[#This Row],[2 - Pre]]/Table1[[#This Row],[Rescale A_2]]</f>
        <v>13.060043668122271</v>
      </c>
      <c r="C12" s="5">
        <f>Table1[[#This Row],[10 - pre]]/Table1[[#This Row],[Rescale A_10]]</f>
        <v>85.137404580152676</v>
      </c>
      <c r="D12" s="5">
        <f>Table1[[#This Row],[2 - Post 5min]]/Table1[[#This Row],[Rescale A_2]]</f>
        <v>14.911572052401747</v>
      </c>
      <c r="E12" s="5">
        <f>Table1[[#This Row],[10 - Post 5min]]/Table1[[#This Row],[Rescale A_10]]</f>
        <v>126.68702290076337</v>
      </c>
      <c r="F12" s="5">
        <f>Table1[[#This Row],[2 - Post 10min]]/Table1[[#This Row],[Rescale A_2]]</f>
        <v>15.1353711790393</v>
      </c>
      <c r="G12" s="5">
        <f>Table1[[#This Row],[10 - Post 10min]]/Table1[[#This Row],[Rescale A_10]]</f>
        <v>132.04198473282443</v>
      </c>
      <c r="H12" s="5">
        <f>Table1[[#This Row],[2 - Post 15min]]/Table1[[#This Row],[Rescale A_2]]</f>
        <v>15.232532751091703</v>
      </c>
      <c r="I12" s="5">
        <f>Table1[[#This Row],[10 - Post 15min]]/Table1[[#This Row],[Rescale A_10]]</f>
        <v>135.2290076335878</v>
      </c>
      <c r="J12" s="5">
        <f>Table1[[#This Row],[2 - Post 20min]]/Table1[[#This Row],[Rescale A_2]]</f>
        <v>16.110262008733624</v>
      </c>
      <c r="K12" s="5">
        <f>Table1[[#This Row],[10 - Post 20min]]/Table1[[#This Row],[Rescale A_10]]</f>
        <v>141.60687022900763</v>
      </c>
      <c r="L12" s="5"/>
      <c r="M12" s="2">
        <v>11</v>
      </c>
      <c r="N12" s="2">
        <f t="shared" si="0"/>
        <v>52.14</v>
      </c>
      <c r="O12" s="2">
        <f t="shared" si="1"/>
        <v>66</v>
      </c>
      <c r="S12" s="3"/>
      <c r="T12" s="3"/>
    </row>
    <row r="13" spans="1:23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A_2]]</f>
        <v>14.827852998065763</v>
      </c>
      <c r="E13" s="5">
        <f>Table1[[#This Row],[10 - Post 5min]]/Table1[[#This Row],[Rescale A_10]]</f>
        <v>80.359183673469374</v>
      </c>
      <c r="F13" s="5">
        <f>Table1[[#This Row],[2 - Post 10min]]/Table1[[#This Row],[Rescale A_2]]</f>
        <v>15.12862669245648</v>
      </c>
      <c r="G13" s="5">
        <f>Table1[[#This Row],[10 - Post 10min]]/Table1[[#This Row],[Rescale A_10]]</f>
        <v>76.789795918367332</v>
      </c>
      <c r="H13" s="5">
        <f>Table1[[#This Row],[2 - Post 15min]]/Table1[[#This Row],[Rescale A_2]]</f>
        <v>14.528046421663444</v>
      </c>
      <c r="I13" s="5">
        <f>Table1[[#This Row],[10 - Post 15min]]/Table1[[#This Row],[Rescale A_10]]</f>
        <v>79.689795918367338</v>
      </c>
      <c r="J13" s="5">
        <f>Table1[[#This Row],[2 - Post 20min]]/Table1[[#This Row],[Rescale A_2]]</f>
        <v>14.345261121856868</v>
      </c>
      <c r="K13" s="5">
        <f>Table1[[#This Row],[10 - Post 20min]]/Table1[[#This Row],[Rescale A_10]]</f>
        <v>81.159183673469386</v>
      </c>
      <c r="L13" s="5"/>
      <c r="M13" s="2">
        <v>12</v>
      </c>
      <c r="N13" s="2">
        <f t="shared" si="0"/>
        <v>56.88</v>
      </c>
      <c r="O13" s="2">
        <f t="shared" si="1"/>
        <v>72</v>
      </c>
      <c r="S13" s="3"/>
      <c r="T13" s="2" t="s">
        <v>32</v>
      </c>
      <c r="U13" s="2" t="s">
        <v>33</v>
      </c>
      <c r="V13" s="2" t="s">
        <v>34</v>
      </c>
      <c r="W13" s="2" t="s">
        <v>35</v>
      </c>
    </row>
    <row r="14" spans="1:23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A_2]]</f>
        <v>15.558352402745994</v>
      </c>
      <c r="E14" s="5">
        <f>Table1[[#This Row],[10 - Post 5min]]/Table1[[#This Row],[Rescale A_10]]</f>
        <v>110.53095238095239</v>
      </c>
      <c r="F14" s="5">
        <f>Table1[[#This Row],[2 - Post 10min]]/Table1[[#This Row],[Rescale A_2]]</f>
        <v>15.83867276887872</v>
      </c>
      <c r="G14" s="5">
        <f>Table1[[#This Row],[10 - Post 10min]]/Table1[[#This Row],[Rescale A_10]]</f>
        <v>101.13571428571427</v>
      </c>
      <c r="H14" s="5">
        <f>Table1[[#This Row],[2 - Post 15min]]/Table1[[#This Row],[Rescale A_2]]</f>
        <v>16.022883295194507</v>
      </c>
      <c r="I14" s="5">
        <f>Table1[[#This Row],[10 - Post 15min]]/Table1[[#This Row],[Rescale A_10]]</f>
        <v>112.72142857142858</v>
      </c>
      <c r="J14" s="5">
        <f>Table1[[#This Row],[2 - Post 20min]]/Table1[[#This Row],[Rescale A_2]]</f>
        <v>15.131578947368421</v>
      </c>
      <c r="K14" s="5">
        <f>Table1[[#This Row],[10 - Post 20min]]/Table1[[#This Row],[Rescale A_10]]</f>
        <v>106.85</v>
      </c>
      <c r="L14" s="5"/>
      <c r="M14" s="2">
        <v>14</v>
      </c>
      <c r="N14" s="2">
        <f t="shared" si="0"/>
        <v>66.36</v>
      </c>
      <c r="O14" s="2">
        <f t="shared" si="1"/>
        <v>84</v>
      </c>
      <c r="S14" s="3"/>
      <c r="T14" s="2">
        <v>2</v>
      </c>
      <c r="U14" s="2">
        <f>SIN(T14*PI()/180)</f>
        <v>3.4899496702500969E-2</v>
      </c>
      <c r="V14" s="2">
        <f>COS(T14*PI()/180)</f>
        <v>0.99939082701909576</v>
      </c>
      <c r="W14" s="2">
        <f>TAN(T14*PI()/180)/2</f>
        <v>1.7460384745873865E-2</v>
      </c>
    </row>
    <row r="15" spans="1:23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A_2]]</f>
        <v>12.701718907987866</v>
      </c>
      <c r="E15" s="5">
        <f>Table1[[#This Row],[10 - Post 5min]]/Table1[[#This Row],[Rescale A_10]]</f>
        <v>86.785992217898837</v>
      </c>
      <c r="F15" s="5">
        <f>Table1[[#This Row],[2 - Post 10min]]/Table1[[#This Row],[Rescale A_2]]</f>
        <v>12.747219413549038</v>
      </c>
      <c r="G15" s="5">
        <f>Table1[[#This Row],[10 - Post 10min]]/Table1[[#This Row],[Rescale A_10]]</f>
        <v>92.39883268482491</v>
      </c>
      <c r="H15" s="5">
        <f>Table1[[#This Row],[2 - Post 15min]]/Table1[[#This Row],[Rescale A_2]]</f>
        <v>12.467138523761374</v>
      </c>
      <c r="I15" s="5">
        <f>Table1[[#This Row],[10 - Post 15min]]/Table1[[#This Row],[Rescale A_10]]</f>
        <v>93.145914396887164</v>
      </c>
      <c r="J15" s="5">
        <f>Table1[[#This Row],[2 - Post 20min]]/Table1[[#This Row],[Rescale A_2]]</f>
        <v>11.964610717896864</v>
      </c>
      <c r="K15" s="5">
        <f>Table1[[#This Row],[10 - Post 20min]]/Table1[[#This Row],[Rescale A_10]]</f>
        <v>86.45525291828794</v>
      </c>
      <c r="L15" s="5"/>
      <c r="M15" s="2">
        <v>15</v>
      </c>
      <c r="N15" s="2">
        <f t="shared" si="0"/>
        <v>71.100000000000009</v>
      </c>
      <c r="O15" s="2">
        <f t="shared" si="1"/>
        <v>90</v>
      </c>
      <c r="S15" s="3"/>
      <c r="T15" s="2">
        <v>10</v>
      </c>
      <c r="U15" s="2">
        <f>SIN(T15*PI()/180)</f>
        <v>0.17364817766693033</v>
      </c>
      <c r="V15" s="2">
        <f>COS(T15*PI()/180)</f>
        <v>0.98480775301220802</v>
      </c>
      <c r="W15" s="2">
        <f>TAN(T15*PI()/180)/2</f>
        <v>8.8163490354232488E-2</v>
      </c>
    </row>
    <row r="16" spans="1:23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A_2]]</f>
        <v>8.7730696798493408</v>
      </c>
      <c r="E16" s="5">
        <f>Table1[[#This Row],[10 - Post 5min]]/Table1[[#This Row],[Rescale A_10]]</f>
        <v>44.656514382402712</v>
      </c>
      <c r="F16" s="5">
        <f>Table1[[#This Row],[2 - Post 10min]]/Table1[[#This Row],[Rescale A_2]]</f>
        <v>8.4529190207156315</v>
      </c>
      <c r="G16" s="5">
        <f>Table1[[#This Row],[10 - Post 10min]]/Table1[[#This Row],[Rescale A_10]]</f>
        <v>46.573604060913702</v>
      </c>
      <c r="H16" s="5">
        <f>Table1[[#This Row],[2 - Post 15min]]/Table1[[#This Row],[Rescale A_2]]</f>
        <v>8.740112994350282</v>
      </c>
      <c r="I16" s="5">
        <f>Table1[[#This Row],[10 - Post 15min]]/Table1[[#This Row],[Rescale A_10]]</f>
        <v>46.260575296108286</v>
      </c>
      <c r="J16" s="5">
        <f>Table1[[#This Row],[2 - Post 20min]]/Table1[[#This Row],[Rescale A_2]]</f>
        <v>9.1977401129943512</v>
      </c>
      <c r="K16" s="5">
        <f>Table1[[#This Row],[10 - Post 20min]]/Table1[[#This Row],[Rescale A_10]]</f>
        <v>47.196277495769884</v>
      </c>
      <c r="L16" s="5"/>
      <c r="M16" s="2">
        <v>16</v>
      </c>
      <c r="N16" s="2">
        <f t="shared" si="0"/>
        <v>75.84</v>
      </c>
      <c r="O16" s="2">
        <f t="shared" si="1"/>
        <v>96</v>
      </c>
      <c r="S16" s="3"/>
    </row>
    <row r="17" spans="1:21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A_2]]</f>
        <v>11.917708333333334</v>
      </c>
      <c r="E17" s="5">
        <f>Table1[[#This Row],[10 - Post 5min]]/Table1[[#This Row],[Rescale A_10]]</f>
        <v>63.21052631578948</v>
      </c>
      <c r="F17" s="5">
        <f>Table1[[#This Row],[2 - Post 10min]]/Table1[[#This Row],[Rescale A_2]]</f>
        <v>11.210416666666667</v>
      </c>
      <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12.401041666666666</v>
      </c>
      <c r="I17" s="5">
        <f>Table1[[#This Row],[10 - Post 15min]]/Table1[[#This Row],[Rescale A_10]]</f>
        <v>64.188455008488972</v>
      </c>
      <c r="J17" s="5">
        <f>Table1[[#This Row],[2 - Post 20min]]/Table1[[#This Row],[Rescale A_2]]</f>
        <v>11.597916666666668</v>
      </c>
      <c r="K17" s="5">
        <f>Table1[[#This Row],[10 - Post 20min]]/Table1[[#This Row],[Rescale A_10]]</f>
        <v>62.451612903225808</v>
      </c>
      <c r="L17" s="5"/>
      <c r="M17" s="2">
        <v>17</v>
      </c>
      <c r="N17" s="2">
        <f t="shared" si="0"/>
        <v>80.58</v>
      </c>
      <c r="O17" s="2">
        <f t="shared" si="1"/>
        <v>102</v>
      </c>
      <c r="S17" s="3"/>
      <c r="T17" s="2" t="s">
        <v>29</v>
      </c>
      <c r="U17" s="2">
        <v>0.16200000000000001</v>
      </c>
    </row>
    <row r="18" spans="1:21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A_2]]</f>
        <v>9.6334431630971995</v>
      </c>
      <c r="E18" s="5">
        <f>Table1[[#This Row],[10 - Post 5min]]/Table1[[#This Row],[Rescale A_10]]</f>
        <v>42.314285714285717</v>
      </c>
      <c r="F18" s="5">
        <f>Table1[[#This Row],[2 - Post 10min]]/Table1[[#This Row],[Rescale A_2]]</f>
        <v>10.16968698517298</v>
      </c>
      <c r="G18" s="5">
        <f>Table1[[#This Row],[10 - Post 10min]]/Table1[[#This Row],[Rescale A_10]]</f>
        <v>46.28027210884354</v>
      </c>
      <c r="H18" s="5">
        <f>Table1[[#This Row],[2 - Post 15min]]/Table1[[#This Row],[Rescale A_2]]</f>
        <v>9.2792421746293243</v>
      </c>
      <c r="I18" s="5">
        <f>Table1[[#This Row],[10 - Post 15min]]/Table1[[#This Row],[Rescale A_10]]</f>
        <v>45.814965986394562</v>
      </c>
      <c r="J18" s="5">
        <f>Table1[[#This Row],[2 - Post 20min]]/Table1[[#This Row],[Rescale A_2]]</f>
        <v>9.4827018121911042</v>
      </c>
      <c r="K18" s="5">
        <f>Table1[[#This Row],[10 - Post 20min]]/Table1[[#This Row],[Rescale A_10]]</f>
        <v>47.855782312925172</v>
      </c>
      <c r="L18" s="5"/>
      <c r="M18" s="2">
        <v>18</v>
      </c>
      <c r="N18" s="2">
        <f t="shared" si="0"/>
        <v>85.320000000000007</v>
      </c>
      <c r="O18" s="2">
        <f t="shared" si="1"/>
        <v>108</v>
      </c>
      <c r="S18" s="3"/>
    </row>
    <row r="19" spans="1:21">
      <c r="A19" s="2" t="s">
        <v>18</v>
      </c>
      <c r="B19" s="5">
        <f>Table1[[#This Row],[2 - Pre]]/Table1[[#This Row],[Rescale A_2]]</f>
        <v>22.092086330935249</v>
      </c>
      <c r="C19" s="5">
        <f>Table1[[#This Row],[10 - pre]]/Table1[[#This Row],[Rescale A_10]]</f>
        <v>260.4292929292929</v>
      </c>
      <c r="D19" s="5">
        <f>Table1[[#This Row],[2 - Post 5min]]/Table1[[#This Row],[Rescale A_2]]</f>
        <v>23.004316546762588</v>
      </c>
      <c r="E19" s="5">
        <f>Table1[[#This Row],[10 - Post 5min]]/Table1[[#This Row],[Rescale A_10]]</f>
        <v>279.47979797979798</v>
      </c>
      <c r="F19" s="5">
        <f>Table1[[#This Row],[2 - Post 10min]]/Table1[[#This Row],[Rescale A_2]]</f>
        <v>23.194244604316545</v>
      </c>
      <c r="G19" s="5">
        <f>Table1[[#This Row],[10 - Post 10min]]/Table1[[#This Row],[Rescale A_10]]</f>
        <v>297.28282828282829</v>
      </c>
      <c r="H19" s="5">
        <f>Table1[[#This Row],[2 - Post 15min]]/Table1[[#This Row],[Rescale A_2]]</f>
        <v>23.389928057553956</v>
      </c>
      <c r="I19" s="5">
        <f>Table1[[#This Row],[10 - Post 15min]]/Table1[[#This Row],[Rescale A_10]]</f>
        <v>287.99494949494948</v>
      </c>
      <c r="J19" s="5">
        <f>Table1[[#This Row],[2 - Post 20min]]/Table1[[#This Row],[Rescale A_2]]</f>
        <v>24.289208633093526</v>
      </c>
      <c r="K19" s="5">
        <f>Table1[[#This Row],[10 - Post 20min]]/Table1[[#This Row],[Rescale A_10]]</f>
        <v>295.5858585858586</v>
      </c>
      <c r="L19" s="5"/>
      <c r="M19" s="2">
        <v>19</v>
      </c>
      <c r="N19" s="2">
        <f t="shared" si="0"/>
        <v>90.06</v>
      </c>
      <c r="O19" s="2">
        <f t="shared" si="1"/>
        <v>114</v>
      </c>
      <c r="S19" s="3"/>
    </row>
    <row r="20" spans="1:21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A_2]]</f>
        <v>19.869837296620773</v>
      </c>
      <c r="E20" s="5">
        <f>Table1[[#This Row],[10 - Post 5min]]/Table1[[#This Row],[Rescale A_10]]</f>
        <v>96.206611570247929</v>
      </c>
      <c r="F20" s="5">
        <f>Table1[[#This Row],[2 - Post 10min]]/Table1[[#This Row],[Rescale A_2]]</f>
        <v>19.511889862327909</v>
      </c>
      <c r="G20" s="5">
        <f>Table1[[#This Row],[10 - Post 10min]]/Table1[[#This Row],[Rescale A_10]]</f>
        <v>100.22933884297521</v>
      </c>
      <c r="H20" s="5">
        <f>Table1[[#This Row],[2 - Post 15min]]/Table1[[#This Row],[Rescale A_2]]</f>
        <v>19.853566958698373</v>
      </c>
      <c r="I20" s="5">
        <f>Table1[[#This Row],[10 - Post 15min]]/Table1[[#This Row],[Rescale A_10]]</f>
        <v>101.89049586776859</v>
      </c>
      <c r="J20" s="5">
        <f>Table1[[#This Row],[2 - Post 20min]]/Table1[[#This Row],[Rescale A_2]]</f>
        <v>20.430538172715895</v>
      </c>
      <c r="K20" s="5">
        <f>Table1[[#This Row],[10 - Post 20min]]/Table1[[#This Row],[Rescale A_10]]</f>
        <v>102.20247933884298</v>
      </c>
      <c r="L20" s="5"/>
      <c r="M20" s="2">
        <v>20</v>
      </c>
      <c r="N20" s="2">
        <f t="shared" si="0"/>
        <v>94.800000000000011</v>
      </c>
      <c r="O20" s="2">
        <f t="shared" si="1"/>
        <v>120</v>
      </c>
      <c r="S20" s="3"/>
    </row>
    <row r="21" spans="1:21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A_2]]</f>
        <v>7.2260034904013954</v>
      </c>
      <c r="E21" s="5">
        <f>Table1[[#This Row],[10 - Post 5min]]/Table1[[#This Row],[Rescale A_10]]</f>
        <v>30.327559055118115</v>
      </c>
      <c r="F21" s="5">
        <f>Table1[[#This Row],[2 - Post 10min]]/Table1[[#This Row],[Rescale A_2]]</f>
        <v>9.3507853403141343</v>
      </c>
      <c r="G21" s="5">
        <f>Table1[[#This Row],[10 - Post 10min]]/Table1[[#This Row],[Rescale A_10]]</f>
        <v>54.140157480314969</v>
      </c>
      <c r="H21" s="5">
        <f>Table1[[#This Row],[2 - Post 15min]]/Table1[[#This Row],[Rescale A_2]]</f>
        <v>9.4171029668411865</v>
      </c>
      <c r="I21" s="5">
        <f>Table1[[#This Row],[10 - Post 15min]]/Table1[[#This Row],[Rescale A_10]]</f>
        <v>58.485039370078745</v>
      </c>
      <c r="J21" s="5">
        <f>Table1[[#This Row],[2 - Post 20min]]/Table1[[#This Row],[Rescale A_2]]</f>
        <v>9.6108202443280977</v>
      </c>
      <c r="K21" s="5">
        <f>Table1[[#This Row],[10 - Post 20min]]/Table1[[#This Row],[Rescale A_10]]</f>
        <v>59.215748031496062</v>
      </c>
      <c r="L21" s="5"/>
      <c r="M21" s="2">
        <v>21</v>
      </c>
      <c r="N21" s="2">
        <f>$T$2*M21</f>
        <v>99.54</v>
      </c>
      <c r="O21" s="2">
        <f>M21*$T$3</f>
        <v>126</v>
      </c>
      <c r="S21" s="3"/>
    </row>
    <row r="22" spans="1:21">
      <c r="A22" s="2" t="s">
        <v>21</v>
      </c>
      <c r="B22" s="5">
        <f>Table1[[#This Row],[2 - Pre]]/Table1[[#This Row],[Rescale A_2]]</f>
        <v>13.556662515566627</v>
      </c>
      <c r="C22" s="5">
        <f>Table1[[#This Row],[10 - pre]]/Table1[[#This Row],[Rescale A_10]]</f>
        <v>81.976676384839649</v>
      </c>
      <c r="D22" s="5">
        <f>Table1[[#This Row],[2 - Post 5min]]/Table1[[#This Row],[Rescale A_2]]</f>
        <v>19.330012453300125</v>
      </c>
      <c r="E22" s="5">
        <f>Table1[[#This Row],[10 - Post 5min]]/Table1[[#This Row],[Rescale A_10]]</f>
        <v>134.28571428571428</v>
      </c>
      <c r="F22" s="5">
        <f>Table1[[#This Row],[2 - Post 10min]]/Table1[[#This Row],[Rescale A_2]]</f>
        <v>19.408468244084684</v>
      </c>
      <c r="G22" s="5">
        <f>Table1[[#This Row],[10 - Post 10min]]/Table1[[#This Row],[Rescale A_10]]</f>
        <v>103.59766763848395</v>
      </c>
      <c r="H22" s="5">
        <f>Table1[[#This Row],[2 - Post 15min]]/Table1[[#This Row],[Rescale A_2]]</f>
        <v>21.077210460772108</v>
      </c>
      <c r="I22" s="5">
        <f>Table1[[#This Row],[10 - Post 15min]]/Table1[[#This Row],[Rescale A_10]]</f>
        <v>155.94169096209913</v>
      </c>
      <c r="J22" s="5">
        <f>Table1[[#This Row],[2 - Post 20min]]/Table1[[#This Row],[Rescale A_2]]</f>
        <v>19.963885429638857</v>
      </c>
      <c r="K22" s="5">
        <f>Table1[[#This Row],[10 - Post 20min]]/Table1[[#This Row],[Rescale A_10]]</f>
        <v>148.58309037900872</v>
      </c>
      <c r="L22" s="5"/>
      <c r="M22" s="2">
        <v>22</v>
      </c>
      <c r="N22" s="2">
        <f>$T$2*M22</f>
        <v>104.28</v>
      </c>
      <c r="O22" s="2">
        <f>M22*$T$3</f>
        <v>132</v>
      </c>
      <c r="S22" s="3"/>
      <c r="T22" s="2">
        <f>U15/U14</f>
        <v>4.9756642380027891</v>
      </c>
      <c r="U22" s="2">
        <f>T22/T2</f>
        <v>1.0497181936714743</v>
      </c>
    </row>
    <row r="23" spans="1:21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A_2]]</f>
        <v>11.476744186046512</v>
      </c>
      <c r="E23" s="5">
        <f>Table1[[#This Row],[10 - Post 5min]]/Table1[[#This Row],[Rescale A_10]]</f>
        <v>62.104906937394247</v>
      </c>
      <c r="F23" s="5">
        <f>Table1[[#This Row],[2 - Post 10min]]/Table1[[#This Row],[Rescale A_2]]</f>
        <v>11.1734496124031</v>
      </c>
      <c r="G23" s="5">
        <f>Table1[[#This Row],[10 - Post 10min]]/Table1[[#This Row],[Rescale A_10]]</f>
        <v>62.90862944162437</v>
      </c>
      <c r="H23" s="5">
        <f>Table1[[#This Row],[2 - Post 15min]]/Table1[[#This Row],[Rescale A_2]]</f>
        <v>11.696705426356589</v>
      </c>
      <c r="I23" s="5">
        <f>Table1[[#This Row],[10 - Post 15min]]/Table1[[#This Row],[Rescale A_10]]</f>
        <v>65.241962774957699</v>
      </c>
      <c r="J23" s="5">
        <f>Table1[[#This Row],[2 - Post 20min]]/Table1[[#This Row],[Rescale A_2]]</f>
        <v>11.876937984496124</v>
      </c>
      <c r="K23" s="5">
        <f>Table1[[#This Row],[10 - Post 20min]]/Table1[[#This Row],[Rescale A_10]]</f>
        <v>67.282571912013537</v>
      </c>
      <c r="L23" s="5"/>
      <c r="M23" s="2">
        <v>23</v>
      </c>
      <c r="N23" s="2">
        <f t="shared" ref="N23:N26" si="2">$T$2*M23</f>
        <v>109.02000000000001</v>
      </c>
      <c r="O23" s="2">
        <f t="shared" ref="O23:O26" si="3">M23*$T$3</f>
        <v>138</v>
      </c>
      <c r="S23" s="3"/>
    </row>
    <row r="24" spans="1:21">
      <c r="M24" s="2">
        <v>24</v>
      </c>
      <c r="N24" s="2">
        <f t="shared" si="2"/>
        <v>113.76</v>
      </c>
      <c r="O24" s="2">
        <f t="shared" si="3"/>
        <v>144</v>
      </c>
    </row>
    <row r="25" spans="1:21">
      <c r="M25" s="2">
        <v>25</v>
      </c>
      <c r="N25" s="2">
        <f t="shared" si="2"/>
        <v>118.5</v>
      </c>
      <c r="O25" s="2">
        <f t="shared" si="3"/>
        <v>150</v>
      </c>
    </row>
    <row r="26" spans="1:21">
      <c r="M26" s="2">
        <v>26</v>
      </c>
      <c r="N26" s="2">
        <f t="shared" si="2"/>
        <v>123.24000000000001</v>
      </c>
      <c r="O26" s="2">
        <f t="shared" si="3"/>
        <v>156</v>
      </c>
    </row>
    <row r="27" spans="1:21">
      <c r="K27" s="5"/>
      <c r="L27" s="5"/>
      <c r="M27" s="4">
        <v>30</v>
      </c>
      <c r="N27" s="4">
        <f>$T$2*M27</f>
        <v>142.20000000000002</v>
      </c>
      <c r="O27" s="4">
        <f>M27*$T$3</f>
        <v>180</v>
      </c>
    </row>
    <row r="28" spans="1:21">
      <c r="K28" s="5"/>
      <c r="L28" s="5"/>
      <c r="P28" s="9"/>
      <c r="Q28" s="9"/>
      <c r="R28" s="9"/>
      <c r="S28" s="9"/>
      <c r="U28" s="9"/>
    </row>
    <row r="29" spans="1:21">
      <c r="K29" s="5"/>
      <c r="L29" s="5"/>
      <c r="P29" s="9"/>
      <c r="Q29" s="9"/>
      <c r="R29" s="9"/>
      <c r="S29" s="9"/>
      <c r="U29" s="9"/>
    </row>
    <row r="30" spans="1:21">
      <c r="K30" s="5"/>
      <c r="L30" s="5"/>
      <c r="P30" s="9"/>
      <c r="Q30" s="9"/>
      <c r="R30" s="9"/>
      <c r="S30" s="9"/>
      <c r="U30" s="9"/>
    </row>
    <row r="31" spans="1:21">
      <c r="K31" s="5"/>
      <c r="L31" s="5"/>
      <c r="M31" s="2" t="s">
        <v>59</v>
      </c>
      <c r="N31" s="2" t="s">
        <v>60</v>
      </c>
      <c r="P31" s="9"/>
      <c r="Q31" s="9"/>
      <c r="R31" s="9"/>
      <c r="S31" s="9"/>
      <c r="U31" s="9"/>
    </row>
    <row r="32" spans="1:21">
      <c r="K32" s="5"/>
      <c r="L32" s="5"/>
      <c r="M32" s="2" t="s">
        <v>61</v>
      </c>
      <c r="N32" s="2">
        <f>SLOPE(Table4[10 - pre],Table4[2 - Pre])</f>
        <v>7.4236375471311087</v>
      </c>
      <c r="P32" s="9"/>
      <c r="Q32" s="9"/>
      <c r="R32" s="9"/>
      <c r="S32" s="9"/>
      <c r="U32" s="9"/>
    </row>
    <row r="33" spans="11:21">
      <c r="K33" s="5"/>
      <c r="L33" s="5"/>
      <c r="M33" s="2" t="s">
        <v>62</v>
      </c>
      <c r="N33" s="2">
        <f>SLOPE(Table4[10 - Post 5min],Table4[2 - Post 5min])</f>
        <v>5.0884279756862902</v>
      </c>
      <c r="P33" s="9"/>
      <c r="Q33" s="9"/>
      <c r="R33" s="9"/>
      <c r="S33" s="9"/>
      <c r="U33" s="9"/>
    </row>
    <row r="34" spans="11:21">
      <c r="K34" s="5"/>
      <c r="L34" s="5"/>
      <c r="M34" s="2" t="s">
        <v>63</v>
      </c>
      <c r="N34" s="2">
        <f>SLOPE(Table4[10 - Post 10min],Table4[2 - Post 10min])</f>
        <v>7.2892652918795342</v>
      </c>
      <c r="P34" s="9"/>
      <c r="Q34" s="9"/>
      <c r="R34" s="9"/>
      <c r="S34" s="9"/>
      <c r="U34" s="9"/>
    </row>
    <row r="35" spans="11:21">
      <c r="K35" s="5"/>
      <c r="L35" s="5"/>
      <c r="M35" s="2" t="s">
        <v>65</v>
      </c>
      <c r="N35" s="2">
        <f>SLOPE(Table4[10 - Post 15min],Table4[2 - Post 15min])</f>
        <v>7.3625310187793556</v>
      </c>
      <c r="P35" s="9"/>
      <c r="Q35" s="9"/>
      <c r="R35" s="9"/>
      <c r="S35" s="9"/>
      <c r="U35" s="9"/>
    </row>
    <row r="36" spans="11:21">
      <c r="K36" s="5"/>
      <c r="L36" s="5"/>
      <c r="M36" s="2" t="s">
        <v>64</v>
      </c>
      <c r="N36" s="2">
        <f>SLOPE(Table4[10 - Post 20min],Table4[2 - Post 20min])</f>
        <v>7.5634274039045106</v>
      </c>
      <c r="P36" s="9"/>
      <c r="Q36" s="9"/>
      <c r="R36" s="9"/>
      <c r="S36" s="9"/>
      <c r="U36" s="9"/>
    </row>
    <row r="37" spans="11:21">
      <c r="K37" s="5"/>
      <c r="L37" s="5"/>
      <c r="P37" s="9"/>
      <c r="Q37" s="9"/>
      <c r="R37" s="9"/>
      <c r="S37" s="9"/>
      <c r="U37" s="9"/>
    </row>
    <row r="38" spans="11:21">
      <c r="K38" s="5"/>
      <c r="L38" s="5"/>
      <c r="P38" s="9"/>
      <c r="Q38" s="9"/>
      <c r="R38" s="9"/>
      <c r="S38" s="9"/>
      <c r="U38" s="9"/>
    </row>
    <row r="39" spans="11:21">
      <c r="K39" s="5"/>
      <c r="L39" s="5"/>
      <c r="P39" s="9"/>
      <c r="Q39" s="9"/>
      <c r="R39" s="9"/>
      <c r="S39" s="9"/>
      <c r="U39" s="9"/>
    </row>
    <row r="40" spans="11:21">
      <c r="K40" s="5"/>
      <c r="L40" s="5"/>
      <c r="P40" s="9"/>
      <c r="Q40" s="9"/>
      <c r="R40" s="9"/>
      <c r="S40" s="9"/>
      <c r="U40" s="9"/>
    </row>
    <row r="41" spans="11:21">
      <c r="K41" s="5"/>
      <c r="L41" s="5"/>
      <c r="P41" s="9"/>
      <c r="Q41" s="9"/>
      <c r="R41" s="9"/>
      <c r="S41" s="9"/>
      <c r="U41" s="9"/>
    </row>
    <row r="42" spans="11:21">
      <c r="K42" s="5"/>
      <c r="L42" s="5"/>
      <c r="P42" s="9"/>
      <c r="Q42" s="9"/>
      <c r="R42" s="9"/>
      <c r="S42" s="9"/>
      <c r="U42" s="9"/>
    </row>
    <row r="43" spans="11:21">
      <c r="K43" s="5"/>
      <c r="L43" s="5"/>
      <c r="P43" s="9"/>
      <c r="Q43" s="9"/>
      <c r="R43" s="9"/>
      <c r="S43" s="9"/>
      <c r="U43" s="9"/>
    </row>
    <row r="44" spans="11:21">
      <c r="K44" s="5"/>
      <c r="L44" s="5"/>
      <c r="P44" s="9"/>
      <c r="Q44" s="9"/>
      <c r="R44" s="9"/>
      <c r="S44" s="9"/>
      <c r="U44" s="9"/>
    </row>
    <row r="45" spans="11:21">
      <c r="K45" s="5"/>
      <c r="L45" s="5"/>
      <c r="P45" s="9"/>
      <c r="Q45" s="9"/>
      <c r="R45" s="9"/>
      <c r="S45" s="9"/>
      <c r="U45" s="9"/>
    </row>
    <row r="46" spans="11:21">
      <c r="K46" s="5"/>
      <c r="L46" s="5"/>
      <c r="P46" s="9"/>
      <c r="Q46" s="9"/>
      <c r="R46" s="9"/>
      <c r="S46" s="9"/>
      <c r="U46" s="9"/>
    </row>
    <row r="47" spans="11:21">
      <c r="K47" s="5"/>
      <c r="L47" s="5"/>
      <c r="P47" s="9"/>
      <c r="Q47" s="9"/>
      <c r="R47" s="9"/>
      <c r="S47" s="9"/>
      <c r="U47" s="9"/>
    </row>
    <row r="50" spans="13:18">
      <c r="M50" s="7"/>
      <c r="R50" s="7"/>
    </row>
    <row r="51" spans="13:18">
      <c r="M51" s="7"/>
      <c r="R51" s="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U51"/>
  <sheetViews>
    <sheetView tabSelected="1" workbookViewId="0">
      <selection activeCell="R22" sqref="R22"/>
    </sheetView>
  </sheetViews>
  <sheetFormatPr defaultRowHeight="15"/>
  <cols>
    <col min="1" max="1" width="9.28515625" style="2" customWidth="1"/>
    <col min="2" max="2" width="15.7109375" style="2" bestFit="1" customWidth="1"/>
    <col min="3" max="3" width="16.7109375" style="2" bestFit="1" customWidth="1"/>
    <col min="4" max="4" width="16.5703125" style="2" bestFit="1" customWidth="1"/>
    <col min="5" max="5" width="17.7109375" style="2" bestFit="1" customWidth="1"/>
    <col min="6" max="6" width="15.5703125" style="2" bestFit="1" customWidth="1"/>
    <col min="7" max="7" width="16.5703125" style="2" bestFit="1" customWidth="1"/>
    <col min="8" max="8" width="12" style="2" bestFit="1" customWidth="1"/>
    <col min="9" max="9" width="12.5703125" style="2" bestFit="1" customWidth="1"/>
    <col min="10" max="10" width="17.140625" style="2" bestFit="1" customWidth="1"/>
    <col min="11" max="11" width="18.28515625" style="2" bestFit="1" customWidth="1"/>
    <col min="12" max="12" width="17" style="2" bestFit="1" customWidth="1"/>
    <col min="13" max="13" width="13.42578125" style="2" bestFit="1" customWidth="1"/>
    <col min="14" max="15" width="9.140625" style="2"/>
    <col min="16" max="16" width="11" style="2" customWidth="1"/>
    <col min="17" max="17" width="11.5703125" style="2" bestFit="1" customWidth="1"/>
    <col min="18" max="18" width="12.5703125" style="2" bestFit="1" customWidth="1"/>
    <col min="19" max="19" width="11.5703125" style="2" bestFit="1" customWidth="1"/>
    <col min="20" max="16384" width="9.140625" style="2"/>
  </cols>
  <sheetData>
    <row r="1" spans="1:18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2" t="s">
        <v>38</v>
      </c>
      <c r="N1" s="2" t="s">
        <v>39</v>
      </c>
      <c r="O1" s="2" t="s">
        <v>48</v>
      </c>
    </row>
    <row r="2" spans="1:18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>
        <v>1</v>
      </c>
      <c r="N2" s="2">
        <f>$N$39*M2</f>
        <v>4.74</v>
      </c>
      <c r="O2" s="2">
        <f>M2*$N$40</f>
        <v>6</v>
      </c>
    </row>
    <row r="3" spans="1:18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A_2]]</f>
        <v>15.266443701226308</v>
      </c>
      <c r="E3" s="5">
        <f>Table1[[#This Row],[10 - Post 5min]]/Table1[[#This Row],[Rescale A_10]]</f>
        <v>82.237735849056605</v>
      </c>
      <c r="F3" s="5">
        <f>Table1[[#This Row],[2 - Post 10min]]/Table1[[#This Row],[Rescale A_2]]</f>
        <v>15.865105908584168</v>
      </c>
      <c r="G3" s="5">
        <f>Table1[[#This Row],[10 - Post 10min]]/Table1[[#This Row],[Rescale A_10]]</f>
        <v>89.647169811320751</v>
      </c>
      <c r="H3" s="5">
        <f>Table1[[#This Row],[2 - Post 15min]]/Table1[[#This Row],[Rescale A_2]]</f>
        <v>15.683389074693423</v>
      </c>
      <c r="I3" s="5">
        <f>Table1[[#This Row],[10 - Post 15min]]/Table1[[#This Row],[Rescale A_10]]</f>
        <v>91.649056603773587</v>
      </c>
      <c r="J3" s="5">
        <f>Table1[[#This Row],[2 - Post 20min]]/Table1[[#This Row],[Rescale A_2]]</f>
        <v>16.01560758082497</v>
      </c>
      <c r="K3" s="5">
        <f>Table1[[#This Row],[10 - Post 20min]]/Table1[[#This Row],[Rescale A_10]]</f>
        <v>90.164150943396237</v>
      </c>
      <c r="L3" s="5"/>
      <c r="M3" s="2">
        <v>2</v>
      </c>
      <c r="N3" s="2">
        <f>$N$39*M3</f>
        <v>9.48</v>
      </c>
      <c r="O3" s="2">
        <f>M3*$N$40</f>
        <v>12</v>
      </c>
    </row>
    <row r="4" spans="1:18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A_2]]</f>
        <v>11.337813620071685</v>
      </c>
      <c r="E4" s="5">
        <f>Table1[[#This Row],[10 - Post 5min]]/Table1[[#This Row],[Rescale A_10]]</f>
        <v>43.552419354838712</v>
      </c>
      <c r="F4" s="5">
        <f>Table1[[#This Row],[2 - Post 10min]]/Table1[[#This Row],[Rescale A_2]]</f>
        <v>11.36021505376344</v>
      </c>
      <c r="G4" s="5">
        <f>Table1[[#This Row],[10 - Post 10min]]/Table1[[#This Row],[Rescale A_10]]</f>
        <v>79.554435483870961</v>
      </c>
      <c r="H4" s="5">
        <f>Table1[[#This Row],[2 - Post 15min]]/Table1[[#This Row],[Rescale A_2]]</f>
        <v>11.350358422939069</v>
      </c>
      <c r="I4" s="5">
        <f>Table1[[#This Row],[10 - Post 15min]]/Table1[[#This Row],[Rescale A_10]]</f>
        <v>80.243951612903231</v>
      </c>
      <c r="J4" s="5">
        <f>Table1[[#This Row],[2 - Post 20min]]/Table1[[#This Row],[Rescale A_2]]</f>
        <v>11.753584229390679</v>
      </c>
      <c r="K4" s="5">
        <f>Table1[[#This Row],[10 - Post 20min]]/Table1[[#This Row],[Rescale A_10]]</f>
        <v>79.977822580645167</v>
      </c>
      <c r="L4" s="5"/>
      <c r="M4" s="2">
        <v>3</v>
      </c>
      <c r="N4" s="2">
        <f>$N$39*M4</f>
        <v>14.22</v>
      </c>
      <c r="O4" s="2">
        <f>M4*$N$40</f>
        <v>18</v>
      </c>
    </row>
    <row r="5" spans="1:18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A_2]]</f>
        <v>11.476190476190476</v>
      </c>
      <c r="E5" s="5">
        <f>Table1[[#This Row],[10 - Post 5min]]/Table1[[#This Row],[Rescale A_10]]</f>
        <v>75.901006711409394</v>
      </c>
      <c r="F5" s="5">
        <f>Table1[[#This Row],[2 - Post 10min]]/Table1[[#This Row],[Rescale A_2]]</f>
        <v>11.418498168498168</v>
      </c>
      <c r="G5" s="5">
        <f>Table1[[#This Row],[10 - Post 10min]]/Table1[[#This Row],[Rescale A_10]]</f>
        <v>72.340604026845639</v>
      </c>
      <c r="H5" s="5">
        <f>Table1[[#This Row],[2 - Post 15min]]/Table1[[#This Row],[Rescale A_2]]</f>
        <v>11.175824175824177</v>
      </c>
      <c r="I5" s="5">
        <f>Table1[[#This Row],[10 - Post 15min]]/Table1[[#This Row],[Rescale A_10]]</f>
        <v>78.057046979865774</v>
      </c>
      <c r="J5" s="5">
        <f>Table1[[#This Row],[2 - Post 20min]]/Table1[[#This Row],[Rescale A_2]]</f>
        <v>11.187728937728938</v>
      </c>
      <c r="K5" s="5">
        <f>Table1[[#This Row],[10 - Post 20min]]/Table1[[#This Row],[Rescale A_10]]</f>
        <v>60.191275167785236</v>
      </c>
      <c r="L5" s="5"/>
      <c r="M5" s="2">
        <v>4</v>
      </c>
      <c r="N5" s="2">
        <f>$N$39*M5</f>
        <v>18.96</v>
      </c>
      <c r="O5" s="2">
        <f>M5*$N$40</f>
        <v>24</v>
      </c>
      <c r="Q5" s="3"/>
      <c r="R5" s="3"/>
    </row>
    <row r="6" spans="1:18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A_2]]</f>
        <v>9.2803234501347713</v>
      </c>
      <c r="E6" s="5">
        <f>Table1[[#This Row],[10 - Post 5min]]/Table1[[#This Row],[Rescale A_10]]</f>
        <v>67.254201680672267</v>
      </c>
      <c r="F6" s="5">
        <f>Table1[[#This Row],[2 - Post 10min]]/Table1[[#This Row],[Rescale A_2]]</f>
        <v>9.3629829290206636</v>
      </c>
      <c r="G6" s="5">
        <f>Table1[[#This Row],[10 - Post 10min]]/Table1[[#This Row],[Rescale A_10]]</f>
        <v>70.508403361344548</v>
      </c>
      <c r="H6" s="5">
        <f>Table1[[#This Row],[2 - Post 15min]]/Table1[[#This Row],[Rescale A_2]]</f>
        <v>9.752920035938903</v>
      </c>
      <c r="I6" s="5">
        <f>Table1[[#This Row],[10 - Post 15min]]/Table1[[#This Row],[Rescale A_10]]</f>
        <v>75.623949579831944</v>
      </c>
      <c r="J6" s="5">
        <f>Table1[[#This Row],[2 - Post 20min]]/Table1[[#This Row],[Rescale A_2]]</f>
        <v>9.219227313566936</v>
      </c>
      <c r="K6" s="5">
        <f>Table1[[#This Row],[10 - Post 20min]]/Table1[[#This Row],[Rescale A_10]]</f>
        <v>69.491596638655466</v>
      </c>
      <c r="L6" s="5"/>
      <c r="M6" s="2">
        <v>5</v>
      </c>
      <c r="N6" s="2">
        <f>$N$39*M6</f>
        <v>23.700000000000003</v>
      </c>
      <c r="O6" s="2">
        <f>M6*$N$40</f>
        <v>30</v>
      </c>
      <c r="Q6" s="3"/>
      <c r="R6" s="3"/>
    </row>
    <row r="7" spans="1:18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A_2]]</f>
        <v>24.707350901525658</v>
      </c>
      <c r="E7" s="5">
        <f>Table1[[#This Row],[10 - Post 5min]]/Table1[[#This Row],[Rescale A_10]]</f>
        <v>115.48387096774194</v>
      </c>
      <c r="F7" s="5">
        <f>Table1[[#This Row],[2 - Post 10min]]/Table1[[#This Row],[Rescale A_2]]</f>
        <v>24.940360610263522</v>
      </c>
      <c r="G7" s="5">
        <f>Table1[[#This Row],[10 - Post 10min]]/Table1[[#This Row],[Rescale A_10]]</f>
        <v>117.62672811059909</v>
      </c>
      <c r="H7" s="5">
        <f>Table1[[#This Row],[2 - Post 15min]]/Table1[[#This Row],[Rescale A_2]]</f>
        <v>23.615811373092928</v>
      </c>
      <c r="I7" s="5">
        <f>Table1[[#This Row],[10 - Post 15min]]/Table1[[#This Row],[Rescale A_10]]</f>
        <v>119.22119815668202</v>
      </c>
      <c r="J7" s="5">
        <f>Table1[[#This Row],[2 - Post 20min]]/Table1[[#This Row],[Rescale A_2]]</f>
        <v>25.650485436893202</v>
      </c>
      <c r="K7" s="5">
        <f>Table1[[#This Row],[10 - Post 20min]]/Table1[[#This Row],[Rescale A_10]]</f>
        <v>118.73271889400921</v>
      </c>
      <c r="L7" s="5"/>
      <c r="M7" s="2">
        <v>6</v>
      </c>
      <c r="N7" s="2">
        <f>$N$39*M7</f>
        <v>28.44</v>
      </c>
      <c r="O7" s="2">
        <f>M7*$N$40</f>
        <v>36</v>
      </c>
      <c r="Q7" s="3"/>
      <c r="R7" s="3"/>
    </row>
    <row r="8" spans="1:18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A_2]]</f>
        <v>17.33080808080808</v>
      </c>
      <c r="E8" s="5">
        <f>Table1[[#This Row],[10 - Post 5min]]/Table1[[#This Row],[Rescale A_10]]</f>
        <v>68.182608695652178</v>
      </c>
      <c r="F8" s="5">
        <f>Table1[[#This Row],[2 - Post 10min]]/Table1[[#This Row],[Rescale A_2]]</f>
        <v>16.763888888888889</v>
      </c>
      <c r="G8" s="5">
        <f>Table1[[#This Row],[10 - Post 10min]]/Table1[[#This Row],[Rescale A_10]]</f>
        <v>70.577391304347827</v>
      </c>
      <c r="H8" s="5">
        <f>Table1[[#This Row],[2 - Post 15min]]/Table1[[#This Row],[Rescale A_2]]</f>
        <v>16.853535353535353</v>
      </c>
      <c r="I8" s="5">
        <f>Table1[[#This Row],[10 - Post 15min]]/Table1[[#This Row],[Rescale A_10]]</f>
        <v>71.433043478260871</v>
      </c>
      <c r="J8" s="5">
        <f>Table1[[#This Row],[2 - Post 20min]]/Table1[[#This Row],[Rescale A_2]]</f>
        <v>17.935606060606062</v>
      </c>
      <c r="K8" s="5">
        <f>Table1[[#This Row],[10 - Post 20min]]/Table1[[#This Row],[Rescale A_10]]</f>
        <v>74.248695652173907</v>
      </c>
      <c r="L8" s="5"/>
      <c r="M8" s="2">
        <v>7</v>
      </c>
      <c r="N8" s="2">
        <f>$N$39*M8</f>
        <v>33.18</v>
      </c>
      <c r="O8" s="2">
        <f>M8*$N$40</f>
        <v>42</v>
      </c>
      <c r="Q8" s="3"/>
      <c r="R8" s="3"/>
    </row>
    <row r="9" spans="1:18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A_2]]</f>
        <v>14.379487179487178</v>
      </c>
      <c r="E9" s="5">
        <f>Table1[[#This Row],[10 - Post 5min]]/Table1[[#This Row],[Rescale A_10]]</f>
        <v>92.605633802816911</v>
      </c>
      <c r="F9" s="5">
        <f>Table1[[#This Row],[2 - Post 10min]]/Table1[[#This Row],[Rescale A_2]]</f>
        <v>14.387692307692308</v>
      </c>
      <c r="G9" s="5">
        <f>Table1[[#This Row],[10 - Post 10min]]/Table1[[#This Row],[Rescale A_10]]</f>
        <v>99.030181086519121</v>
      </c>
      <c r="H9" s="5">
        <f>Table1[[#This Row],[2 - Post 15min]]/Table1[[#This Row],[Rescale A_2]]</f>
        <v>14.447179487179488</v>
      </c>
      <c r="I9" s="5">
        <f>Table1[[#This Row],[10 - Post 15min]]/Table1[[#This Row],[Rescale A_10]]</f>
        <v>101.73038229376259</v>
      </c>
      <c r="J9" s="5">
        <f>Table1[[#This Row],[2 - Post 20min]]/Table1[[#This Row],[Rescale A_2]]</f>
        <v>14.348717948717949</v>
      </c>
      <c r="K9" s="5">
        <f>Table1[[#This Row],[10 - Post 20min]]/Table1[[#This Row],[Rescale A_10]]</f>
        <v>104.42857142857143</v>
      </c>
      <c r="L9" s="5"/>
      <c r="M9" s="2">
        <v>8</v>
      </c>
      <c r="N9" s="2">
        <f>$N$39*M9</f>
        <v>37.92</v>
      </c>
      <c r="O9" s="2">
        <f>M9*$N$40</f>
        <v>48</v>
      </c>
      <c r="Q9" s="3"/>
      <c r="R9" s="3"/>
    </row>
    <row r="10" spans="1:18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/>
      <c r="E10" s="5"/>
      <c r="F10" s="5">
        <f>Table1[[#This Row],[2 - Post 10min]]/Table1[[#This Row],[Rescale A_2]]</f>
        <v>27.495212038303695</v>
      </c>
      <c r="G10" s="5">
        <f>Table1[[#This Row],[10 - Post 10min]]/Table1[[#This Row],[Rescale A_10]]</f>
        <v>185.94101876675603</v>
      </c>
      <c r="H10" s="5">
        <f>Table1[[#This Row],[2 - Post 15min]]/Table1[[#This Row],[Rescale A_2]]</f>
        <v>26.857729138166899</v>
      </c>
      <c r="I10" s="5">
        <f>Table1[[#This Row],[10 - Post 15min]]/Table1[[#This Row],[Rescale A_10]]</f>
        <v>192.2332439678284</v>
      </c>
      <c r="J10" s="5">
        <f>Table1[[#This Row],[2 - Post 20min]]/Table1[[#This Row],[Rescale A_2]]</f>
        <v>26.875512995896035</v>
      </c>
      <c r="K10" s="5">
        <f>Table1[[#This Row],[10 - Post 20min]]/Table1[[#This Row],[Rescale A_10]]</f>
        <v>189.39946380697052</v>
      </c>
      <c r="L10" s="5"/>
      <c r="M10" s="2">
        <v>9</v>
      </c>
      <c r="N10" s="2">
        <f>$N$39*M10</f>
        <v>42.660000000000004</v>
      </c>
      <c r="O10" s="2">
        <f>M10*$N$40</f>
        <v>54</v>
      </c>
      <c r="Q10" s="3"/>
      <c r="R10" s="3"/>
    </row>
    <row r="11" spans="1:18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A_2]]</f>
        <v>17.052749719416386</v>
      </c>
      <c r="E11" s="5">
        <f>Table1[[#This Row],[10 - Post 5min]]/Table1[[#This Row],[Rescale A_10]]</f>
        <v>89.58424908424908</v>
      </c>
      <c r="F11" s="5">
        <f>Table1[[#This Row],[2 - Post 10min]]/Table1[[#This Row],[Rescale A_2]]</f>
        <v>17.20314253647587</v>
      </c>
      <c r="G11" s="5">
        <f>Table1[[#This Row],[10 - Post 10min]]/Table1[[#This Row],[Rescale A_10]]</f>
        <v>94.379120879120876</v>
      </c>
      <c r="H11" s="5">
        <f>Table1[[#This Row],[2 - Post 15min]]/Table1[[#This Row],[Rescale A_2]]</f>
        <v>17.30415263748597</v>
      </c>
      <c r="I11" s="5">
        <f>Table1[[#This Row],[10 - Post 15min]]/Table1[[#This Row],[Rescale A_10]]</f>
        <v>96.38827838827838</v>
      </c>
      <c r="J11" s="5">
        <f>Table1[[#This Row],[2 - Post 20min]]/Table1[[#This Row],[Rescale A_2]]</f>
        <v>17.932659932659931</v>
      </c>
      <c r="K11" s="5">
        <f>Table1[[#This Row],[10 - Post 20min]]/Table1[[#This Row],[Rescale A_10]]</f>
        <v>96.315018315018321</v>
      </c>
      <c r="L11" s="5"/>
      <c r="M11" s="2">
        <v>10</v>
      </c>
      <c r="N11" s="2">
        <f>$N$39*M11</f>
        <v>47.400000000000006</v>
      </c>
      <c r="O11" s="2">
        <f>M11*$N$40</f>
        <v>60</v>
      </c>
      <c r="Q11" s="3"/>
      <c r="R11" s="3"/>
    </row>
    <row r="12" spans="1:18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">
        <v>11</v>
      </c>
      <c r="N12" s="2">
        <f>$N$39*M12</f>
        <v>52.14</v>
      </c>
      <c r="O12" s="2">
        <f>M12*$N$40</f>
        <v>66</v>
      </c>
      <c r="Q12" s="3"/>
      <c r="R12" s="3"/>
    </row>
    <row r="13" spans="1:18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A_2]]</f>
        <v>14.827852998065763</v>
      </c>
      <c r="E13" s="5">
        <f>Table1[[#This Row],[10 - Post 5min]]/Table1[[#This Row],[Rescale A_10]]</f>
        <v>80.359183673469374</v>
      </c>
      <c r="F13" s="5">
        <f>Table1[[#This Row],[2 - Post 10min]]/Table1[[#This Row],[Rescale A_2]]</f>
        <v>15.12862669245648</v>
      </c>
      <c r="G13" s="5">
        <f>Table1[[#This Row],[10 - Post 10min]]/Table1[[#This Row],[Rescale A_10]]</f>
        <v>76.789795918367332</v>
      </c>
      <c r="H13" s="5">
        <f>Table1[[#This Row],[2 - Post 15min]]/Table1[[#This Row],[Rescale A_2]]</f>
        <v>14.528046421663444</v>
      </c>
      <c r="I13" s="5">
        <f>Table1[[#This Row],[10 - Post 15min]]/Table1[[#This Row],[Rescale A_10]]</f>
        <v>79.689795918367338</v>
      </c>
      <c r="J13" s="5">
        <f>Table1[[#This Row],[2 - Post 20min]]/Table1[[#This Row],[Rescale A_2]]</f>
        <v>14.345261121856868</v>
      </c>
      <c r="K13" s="5">
        <f>Table1[[#This Row],[10 - Post 20min]]/Table1[[#This Row],[Rescale A_10]]</f>
        <v>81.159183673469386</v>
      </c>
      <c r="L13" s="5"/>
      <c r="M13" s="2">
        <v>12</v>
      </c>
      <c r="N13" s="2">
        <f>$N$39*M13</f>
        <v>56.88</v>
      </c>
      <c r="O13" s="2">
        <f>M13*$N$40</f>
        <v>72</v>
      </c>
      <c r="Q13" s="3"/>
    </row>
    <row r="14" spans="1:18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A_2]]</f>
        <v>15.558352402745994</v>
      </c>
      <c r="E14" s="5">
        <f>Table1[[#This Row],[10 - Post 5min]]/Table1[[#This Row],[Rescale A_10]]</f>
        <v>110.53095238095239</v>
      </c>
      <c r="F14" s="5">
        <f>Table1[[#This Row],[2 - Post 10min]]/Table1[[#This Row],[Rescale A_2]]</f>
        <v>15.83867276887872</v>
      </c>
      <c r="G14" s="5">
        <f>Table1[[#This Row],[10 - Post 10min]]/Table1[[#This Row],[Rescale A_10]]</f>
        <v>101.13571428571427</v>
      </c>
      <c r="H14" s="5">
        <f>Table1[[#This Row],[2 - Post 15min]]/Table1[[#This Row],[Rescale A_2]]</f>
        <v>16.022883295194507</v>
      </c>
      <c r="I14" s="5">
        <f>Table1[[#This Row],[10 - Post 15min]]/Table1[[#This Row],[Rescale A_10]]</f>
        <v>112.72142857142858</v>
      </c>
      <c r="J14" s="5">
        <f>Table1[[#This Row],[2 - Post 20min]]/Table1[[#This Row],[Rescale A_2]]</f>
        <v>15.131578947368421</v>
      </c>
      <c r="K14" s="5">
        <f>Table1[[#This Row],[10 - Post 20min]]/Table1[[#This Row],[Rescale A_10]]</f>
        <v>106.85</v>
      </c>
      <c r="L14" s="5"/>
      <c r="M14" s="2">
        <v>14</v>
      </c>
      <c r="N14" s="2">
        <f>$N$39*M14</f>
        <v>66.36</v>
      </c>
      <c r="O14" s="2">
        <f>M14*$N$40</f>
        <v>84</v>
      </c>
      <c r="Q14" s="3"/>
    </row>
    <row r="15" spans="1:18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A_2]]</f>
        <v>12.701718907987866</v>
      </c>
      <c r="E15" s="5">
        <f>Table1[[#This Row],[10 - Post 5min]]/Table1[[#This Row],[Rescale A_10]]</f>
        <v>86.785992217898837</v>
      </c>
      <c r="F15" s="5">
        <f>Table1[[#This Row],[2 - Post 10min]]/Table1[[#This Row],[Rescale A_2]]</f>
        <v>12.747219413549038</v>
      </c>
      <c r="G15" s="5">
        <f>Table1[[#This Row],[10 - Post 10min]]/Table1[[#This Row],[Rescale A_10]]</f>
        <v>92.39883268482491</v>
      </c>
      <c r="H15" s="5">
        <f>Table1[[#This Row],[2 - Post 15min]]/Table1[[#This Row],[Rescale A_2]]</f>
        <v>12.467138523761374</v>
      </c>
      <c r="I15" s="5">
        <f>Table1[[#This Row],[10 - Post 15min]]/Table1[[#This Row],[Rescale A_10]]</f>
        <v>93.145914396887164</v>
      </c>
      <c r="J15" s="5">
        <f>Table1[[#This Row],[2 - Post 20min]]/Table1[[#This Row],[Rescale A_2]]</f>
        <v>11.964610717896864</v>
      </c>
      <c r="K15" s="5">
        <f>Table1[[#This Row],[10 - Post 20min]]/Table1[[#This Row],[Rescale A_10]]</f>
        <v>86.45525291828794</v>
      </c>
      <c r="L15" s="5"/>
      <c r="M15" s="2">
        <v>15</v>
      </c>
      <c r="N15" s="2">
        <f>$N$39*M15</f>
        <v>71.100000000000009</v>
      </c>
      <c r="O15" s="2">
        <f>M15*$N$40</f>
        <v>90</v>
      </c>
      <c r="Q15" s="3"/>
    </row>
    <row r="16" spans="1:18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A_2]]</f>
        <v>8.7730696798493408</v>
      </c>
      <c r="E16" s="5">
        <f>Table1[[#This Row],[10 - Post 5min]]/Table1[[#This Row],[Rescale A_10]]</f>
        <v>44.656514382402712</v>
      </c>
      <c r="F16" s="5">
        <f>Table1[[#This Row],[2 - Post 10min]]/Table1[[#This Row],[Rescale A_2]]</f>
        <v>8.4529190207156315</v>
      </c>
      <c r="G16" s="5">
        <f>Table1[[#This Row],[10 - Post 10min]]/Table1[[#This Row],[Rescale A_10]]</f>
        <v>46.573604060913702</v>
      </c>
      <c r="H16" s="5">
        <f>Table1[[#This Row],[2 - Post 15min]]/Table1[[#This Row],[Rescale A_2]]</f>
        <v>8.740112994350282</v>
      </c>
      <c r="I16" s="5">
        <f>Table1[[#This Row],[10 - Post 15min]]/Table1[[#This Row],[Rescale A_10]]</f>
        <v>46.260575296108286</v>
      </c>
      <c r="J16" s="5">
        <f>Table1[[#This Row],[2 - Post 20min]]/Table1[[#This Row],[Rescale A_2]]</f>
        <v>9.1977401129943512</v>
      </c>
      <c r="K16" s="5">
        <f>Table1[[#This Row],[10 - Post 20min]]/Table1[[#This Row],[Rescale A_10]]</f>
        <v>47.196277495769884</v>
      </c>
      <c r="L16" s="5"/>
      <c r="M16" s="2">
        <v>16</v>
      </c>
      <c r="N16" s="2">
        <f>$N$39*M16</f>
        <v>75.84</v>
      </c>
      <c r="O16" s="2">
        <f>M16*$N$40</f>
        <v>96</v>
      </c>
      <c r="Q16" s="3"/>
    </row>
    <row r="17" spans="1:21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A_2]]</f>
        <v>11.917708333333334</v>
      </c>
      <c r="E17" s="5">
        <f>Table1[[#This Row],[10 - Post 5min]]/Table1[[#This Row],[Rescale A_10]]</f>
        <v>63.21052631578948</v>
      </c>
      <c r="F17" s="5">
        <f>Table1[[#This Row],[2 - Post 10min]]/Table1[[#This Row],[Rescale A_2]]</f>
        <v>11.210416666666667</v>
      </c>
      <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12.401041666666666</v>
      </c>
      <c r="I17" s="5">
        <f>Table1[[#This Row],[10 - Post 15min]]/Table1[[#This Row],[Rescale A_10]]</f>
        <v>64.188455008488972</v>
      </c>
      <c r="J17" s="5">
        <f>Table1[[#This Row],[2 - Post 20min]]/Table1[[#This Row],[Rescale A_2]]</f>
        <v>11.597916666666668</v>
      </c>
      <c r="K17" s="5">
        <f>Table1[[#This Row],[10 - Post 20min]]/Table1[[#This Row],[Rescale A_10]]</f>
        <v>62.451612903225808</v>
      </c>
      <c r="L17" s="5"/>
      <c r="M17" s="2">
        <v>17</v>
      </c>
      <c r="N17" s="2">
        <f>$N$39*M17</f>
        <v>80.58</v>
      </c>
      <c r="O17" s="2">
        <f>M17*$N$40</f>
        <v>102</v>
      </c>
      <c r="Q17" s="3"/>
    </row>
    <row r="18" spans="1:21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A_2]]</f>
        <v>9.6334431630971995</v>
      </c>
      <c r="E18" s="5">
        <f>Table1[[#This Row],[10 - Post 5min]]/Table1[[#This Row],[Rescale A_10]]</f>
        <v>42.314285714285717</v>
      </c>
      <c r="F18" s="5">
        <f>Table1[[#This Row],[2 - Post 10min]]/Table1[[#This Row],[Rescale A_2]]</f>
        <v>10.16968698517298</v>
      </c>
      <c r="G18" s="5">
        <f>Table1[[#This Row],[10 - Post 10min]]/Table1[[#This Row],[Rescale A_10]]</f>
        <v>46.28027210884354</v>
      </c>
      <c r="H18" s="5">
        <f>Table1[[#This Row],[2 - Post 15min]]/Table1[[#This Row],[Rescale A_2]]</f>
        <v>9.2792421746293243</v>
      </c>
      <c r="I18" s="5">
        <f>Table1[[#This Row],[10 - Post 15min]]/Table1[[#This Row],[Rescale A_10]]</f>
        <v>45.814965986394562</v>
      </c>
      <c r="J18" s="5">
        <f>Table1[[#This Row],[2 - Post 20min]]/Table1[[#This Row],[Rescale A_2]]</f>
        <v>9.4827018121911042</v>
      </c>
      <c r="K18" s="5">
        <f>Table1[[#This Row],[10 - Post 20min]]/Table1[[#This Row],[Rescale A_10]]</f>
        <v>47.855782312925172</v>
      </c>
      <c r="L18" s="5"/>
      <c r="M18" s="2">
        <v>18</v>
      </c>
      <c r="N18" s="2">
        <f>$N$39*M18</f>
        <v>85.320000000000007</v>
      </c>
      <c r="O18" s="2">
        <f>M18*$N$40</f>
        <v>108</v>
      </c>
      <c r="Q18" s="3"/>
    </row>
    <row r="19" spans="1:21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2">
        <v>19</v>
      </c>
      <c r="N19" s="2">
        <f>$N$39*M19</f>
        <v>90.06</v>
      </c>
      <c r="O19" s="2">
        <f>M19*$N$40</f>
        <v>114</v>
      </c>
      <c r="Q19" s="3"/>
    </row>
    <row r="20" spans="1:21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A_2]]</f>
        <v>19.869837296620773</v>
      </c>
      <c r="E20" s="5">
        <f>Table1[[#This Row],[10 - Post 5min]]/Table1[[#This Row],[Rescale A_10]]</f>
        <v>96.206611570247929</v>
      </c>
      <c r="F20" s="5">
        <f>Table1[[#This Row],[2 - Post 10min]]/Table1[[#This Row],[Rescale A_2]]</f>
        <v>19.511889862327909</v>
      </c>
      <c r="G20" s="5">
        <f>Table1[[#This Row],[10 - Post 10min]]/Table1[[#This Row],[Rescale A_10]]</f>
        <v>100.22933884297521</v>
      </c>
      <c r="H20" s="5">
        <f>Table1[[#This Row],[2 - Post 15min]]/Table1[[#This Row],[Rescale A_2]]</f>
        <v>19.853566958698373</v>
      </c>
      <c r="I20" s="5">
        <f>Table1[[#This Row],[10 - Post 15min]]/Table1[[#This Row],[Rescale A_10]]</f>
        <v>101.89049586776859</v>
      </c>
      <c r="J20" s="5">
        <f>Table1[[#This Row],[2 - Post 20min]]/Table1[[#This Row],[Rescale A_2]]</f>
        <v>20.430538172715895</v>
      </c>
      <c r="K20" s="5">
        <f>Table1[[#This Row],[10 - Post 20min]]/Table1[[#This Row],[Rescale A_10]]</f>
        <v>102.20247933884298</v>
      </c>
      <c r="L20" s="5"/>
      <c r="M20" s="2">
        <v>20</v>
      </c>
      <c r="N20" s="2">
        <f>$N$39*M20</f>
        <v>94.800000000000011</v>
      </c>
      <c r="O20" s="2">
        <f>M20*$N$40</f>
        <v>120</v>
      </c>
      <c r="S20" s="3"/>
    </row>
    <row r="21" spans="1:21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A_2]]</f>
        <v>7.2260034904013954</v>
      </c>
      <c r="E21" s="5">
        <f>Table1[[#This Row],[10 - Post 5min]]/Table1[[#This Row],[Rescale A_10]]</f>
        <v>30.327559055118115</v>
      </c>
      <c r="F21" s="5">
        <f>Table1[[#This Row],[2 - Post 10min]]/Table1[[#This Row],[Rescale A_2]]</f>
        <v>9.3507853403141343</v>
      </c>
      <c r="G21" s="5">
        <f>Table1[[#This Row],[10 - Post 10min]]/Table1[[#This Row],[Rescale A_10]]</f>
        <v>54.140157480314969</v>
      </c>
      <c r="H21" s="5">
        <f>Table1[[#This Row],[2 - Post 15min]]/Table1[[#This Row],[Rescale A_2]]</f>
        <v>9.4171029668411865</v>
      </c>
      <c r="I21" s="5">
        <f>Table1[[#This Row],[10 - Post 15min]]/Table1[[#This Row],[Rescale A_10]]</f>
        <v>58.485039370078745</v>
      </c>
      <c r="J21" s="5">
        <f>Table1[[#This Row],[2 - Post 20min]]/Table1[[#This Row],[Rescale A_2]]</f>
        <v>9.6108202443280977</v>
      </c>
      <c r="K21" s="5">
        <f>Table1[[#This Row],[10 - Post 20min]]/Table1[[#This Row],[Rescale A_10]]</f>
        <v>59.215748031496062</v>
      </c>
      <c r="L21" s="5"/>
      <c r="M21" s="2">
        <v>21</v>
      </c>
      <c r="N21" s="2">
        <f>$N$39*M21</f>
        <v>99.54</v>
      </c>
      <c r="O21" s="2">
        <f>M21*$N$40</f>
        <v>126</v>
      </c>
      <c r="S21" s="3"/>
    </row>
    <row r="22" spans="1:21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2">
        <v>22</v>
      </c>
      <c r="N22" s="2">
        <f>$N$39*M22</f>
        <v>104.28</v>
      </c>
      <c r="O22" s="2">
        <f>M22*$N$40</f>
        <v>132</v>
      </c>
      <c r="S22" s="3"/>
    </row>
    <row r="23" spans="1:21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A_2]]</f>
        <v>11.476744186046512</v>
      </c>
      <c r="E23" s="5">
        <f>Table1[[#This Row],[10 - Post 5min]]/Table1[[#This Row],[Rescale A_10]]</f>
        <v>62.104906937394247</v>
      </c>
      <c r="F23" s="5">
        <f>Table1[[#This Row],[2 - Post 10min]]/Table1[[#This Row],[Rescale A_2]]</f>
        <v>11.1734496124031</v>
      </c>
      <c r="G23" s="5">
        <f>Table1[[#This Row],[10 - Post 10min]]/Table1[[#This Row],[Rescale A_10]]</f>
        <v>62.90862944162437</v>
      </c>
      <c r="H23" s="5">
        <f>Table1[[#This Row],[2 - Post 15min]]/Table1[[#This Row],[Rescale A_2]]</f>
        <v>11.696705426356589</v>
      </c>
      <c r="I23" s="5">
        <f>Table1[[#This Row],[10 - Post 15min]]/Table1[[#This Row],[Rescale A_10]]</f>
        <v>65.241962774957699</v>
      </c>
      <c r="J23" s="5">
        <f>Table1[[#This Row],[2 - Post 20min]]/Table1[[#This Row],[Rescale A_2]]</f>
        <v>11.876937984496124</v>
      </c>
      <c r="K23" s="5">
        <f>Table1[[#This Row],[10 - Post 20min]]/Table1[[#This Row],[Rescale A_10]]</f>
        <v>67.282571912013537</v>
      </c>
      <c r="L23" s="5"/>
      <c r="M23" s="2">
        <v>23</v>
      </c>
      <c r="N23" s="2">
        <f>$N$39*M23</f>
        <v>109.02000000000001</v>
      </c>
      <c r="O23" s="2">
        <f>M23*$N$40</f>
        <v>138</v>
      </c>
      <c r="S23" s="3"/>
    </row>
    <row r="24" spans="1:21">
      <c r="M24" s="2">
        <v>24</v>
      </c>
      <c r="N24" s="2">
        <f>$N$39*M24</f>
        <v>113.76</v>
      </c>
      <c r="O24" s="2">
        <f>M24*$N$40</f>
        <v>144</v>
      </c>
    </row>
    <row r="25" spans="1:21">
      <c r="M25" s="2">
        <v>25</v>
      </c>
      <c r="N25" s="2">
        <f>$N$39*M25</f>
        <v>118.5</v>
      </c>
      <c r="O25" s="2">
        <f>M25*$N$40</f>
        <v>150</v>
      </c>
    </row>
    <row r="26" spans="1:21">
      <c r="M26" s="2">
        <v>26</v>
      </c>
      <c r="N26" s="2">
        <f>$N$39*M26</f>
        <v>123.24000000000001</v>
      </c>
      <c r="O26" s="2">
        <f>M26*$N$40</f>
        <v>156</v>
      </c>
    </row>
    <row r="27" spans="1:21">
      <c r="K27" s="5"/>
      <c r="L27" s="5"/>
      <c r="M27" s="4">
        <v>30</v>
      </c>
      <c r="N27" s="4">
        <f>$N$39*M27</f>
        <v>142.20000000000002</v>
      </c>
      <c r="O27" s="4">
        <f>M27*$N$40</f>
        <v>180</v>
      </c>
    </row>
    <row r="28" spans="1:21">
      <c r="K28" s="5"/>
      <c r="L28" s="5"/>
      <c r="P28" s="9"/>
      <c r="Q28" s="9"/>
      <c r="R28" s="9"/>
      <c r="S28" s="9"/>
      <c r="U28" s="9"/>
    </row>
    <row r="29" spans="1:21">
      <c r="K29" s="5"/>
      <c r="L29" s="5"/>
      <c r="P29" s="9"/>
      <c r="Q29" s="9"/>
      <c r="R29" s="9"/>
      <c r="S29" s="9"/>
      <c r="U29" s="9"/>
    </row>
    <row r="30" spans="1:21">
      <c r="K30" s="5"/>
      <c r="L30" s="5"/>
      <c r="P30" s="9"/>
      <c r="Q30" s="9"/>
      <c r="R30" s="9"/>
      <c r="S30" s="9"/>
      <c r="U30" s="9"/>
    </row>
    <row r="31" spans="1:21">
      <c r="K31" s="5"/>
      <c r="L31" s="5"/>
      <c r="M31" s="2" t="s">
        <v>59</v>
      </c>
      <c r="N31" s="2" t="s">
        <v>60</v>
      </c>
      <c r="P31" s="9"/>
      <c r="Q31" s="9"/>
      <c r="R31" s="9"/>
      <c r="S31" s="9"/>
      <c r="U31" s="9"/>
    </row>
    <row r="32" spans="1:21">
      <c r="K32" s="5"/>
      <c r="L32" s="5"/>
      <c r="M32" s="2" t="s">
        <v>61</v>
      </c>
      <c r="N32" s="2">
        <f>SLOPE(Table424[10 - pre],Table424[2 - Pre])</f>
        <v>3.8627151977666543</v>
      </c>
      <c r="P32" s="9"/>
      <c r="Q32" s="9"/>
      <c r="R32" s="9"/>
      <c r="S32" s="9"/>
      <c r="U32" s="9"/>
    </row>
    <row r="33" spans="11:21">
      <c r="K33" s="5"/>
      <c r="L33" s="5"/>
      <c r="M33" s="2" t="s">
        <v>62</v>
      </c>
      <c r="N33" s="2">
        <f>SLOPE(Table424[10 - Post 5min],Table424[2 - Post 5min])</f>
        <v>4.5081674377178027</v>
      </c>
      <c r="P33" s="9"/>
      <c r="Q33" s="9"/>
      <c r="R33" s="9"/>
      <c r="S33" s="9"/>
      <c r="U33" s="9"/>
    </row>
    <row r="34" spans="11:21">
      <c r="K34" s="5"/>
      <c r="L34" s="5"/>
      <c r="M34" s="2" t="s">
        <v>63</v>
      </c>
      <c r="N34" s="2">
        <f>SLOPE(Table424[10 - Post 10min],Table424[2 - Post 10min])</f>
        <v>5.4488789460936848</v>
      </c>
      <c r="P34" s="9"/>
      <c r="Q34" s="9"/>
      <c r="R34" s="9"/>
      <c r="S34" s="9"/>
      <c r="U34" s="9"/>
    </row>
    <row r="35" spans="11:21">
      <c r="K35" s="5"/>
      <c r="L35" s="5"/>
      <c r="M35" s="2" t="s">
        <v>65</v>
      </c>
      <c r="N35" s="2">
        <f>SLOPE(Table424[10 - Post 15min],Table424[2 - Post 15min])</f>
        <v>5.8516040448680986</v>
      </c>
      <c r="P35" s="9"/>
      <c r="Q35" s="9"/>
      <c r="R35" s="9"/>
      <c r="S35" s="9"/>
      <c r="U35" s="9"/>
    </row>
    <row r="36" spans="11:21">
      <c r="K36" s="5"/>
      <c r="L36" s="5"/>
      <c r="M36" s="2" t="s">
        <v>64</v>
      </c>
      <c r="N36" s="2">
        <f>SLOPE(Table424[10 - Post 20min],Table424[2 - Post 20min])</f>
        <v>5.3506355194119886</v>
      </c>
      <c r="P36" s="9"/>
      <c r="Q36" s="9"/>
      <c r="R36" s="9"/>
      <c r="S36" s="9"/>
      <c r="U36" s="9"/>
    </row>
    <row r="37" spans="11:21">
      <c r="K37" s="5"/>
      <c r="L37" s="5"/>
      <c r="P37" s="9"/>
      <c r="Q37" s="9"/>
      <c r="R37" s="9"/>
      <c r="S37" s="9"/>
      <c r="U37" s="9"/>
    </row>
    <row r="38" spans="11:21">
      <c r="K38" s="5"/>
      <c r="L38" s="5"/>
      <c r="P38" s="9"/>
      <c r="Q38" s="9"/>
      <c r="R38" s="9"/>
      <c r="S38" s="9"/>
      <c r="U38" s="9"/>
    </row>
    <row r="39" spans="11:21">
      <c r="K39" s="5"/>
      <c r="L39" s="5"/>
      <c r="M39" s="7" t="s">
        <v>30</v>
      </c>
      <c r="N39" s="8">
        <v>4.74</v>
      </c>
      <c r="P39" s="9"/>
      <c r="Q39" s="9"/>
      <c r="R39" s="9"/>
      <c r="S39" s="9"/>
      <c r="U39" s="9"/>
    </row>
    <row r="40" spans="11:21">
      <c r="K40" s="5"/>
      <c r="L40" s="5"/>
      <c r="M40" s="7" t="s">
        <v>31</v>
      </c>
      <c r="N40" s="8">
        <v>6</v>
      </c>
      <c r="P40" s="9"/>
      <c r="Q40" s="9"/>
      <c r="R40" s="9"/>
      <c r="S40" s="9"/>
      <c r="U40" s="9"/>
    </row>
    <row r="41" spans="11:21">
      <c r="K41" s="5"/>
      <c r="L41" s="5"/>
      <c r="M41" s="3"/>
      <c r="N41" s="3"/>
      <c r="P41" s="9"/>
      <c r="Q41" s="9"/>
      <c r="R41" s="9"/>
      <c r="S41" s="9"/>
      <c r="U41" s="9"/>
    </row>
    <row r="42" spans="11:21">
      <c r="K42" s="5"/>
      <c r="L42" s="5"/>
      <c r="P42" s="9"/>
      <c r="Q42" s="9"/>
      <c r="R42" s="9"/>
      <c r="S42" s="9"/>
      <c r="U42" s="9"/>
    </row>
    <row r="43" spans="11:21">
      <c r="K43" s="5"/>
      <c r="L43" s="5"/>
      <c r="P43" s="9"/>
      <c r="Q43" s="9"/>
      <c r="R43" s="9"/>
      <c r="S43" s="9"/>
      <c r="U43" s="9"/>
    </row>
    <row r="44" spans="11:21">
      <c r="K44" s="5"/>
      <c r="L44" s="5"/>
      <c r="P44" s="9"/>
      <c r="Q44" s="9"/>
      <c r="R44" s="9"/>
      <c r="S44" s="9"/>
      <c r="U44" s="9"/>
    </row>
    <row r="45" spans="11:21">
      <c r="K45" s="5"/>
      <c r="L45" s="5"/>
      <c r="P45" s="9"/>
      <c r="Q45" s="9"/>
      <c r="R45" s="9"/>
      <c r="S45" s="9"/>
      <c r="U45" s="9"/>
    </row>
    <row r="46" spans="11:21">
      <c r="K46" s="5"/>
      <c r="L46" s="5"/>
      <c r="P46" s="9"/>
      <c r="Q46" s="9"/>
      <c r="R46" s="9"/>
      <c r="S46" s="9"/>
      <c r="U46" s="9"/>
    </row>
    <row r="47" spans="11:21">
      <c r="K47" s="5"/>
      <c r="L47" s="5"/>
      <c r="P47" s="9"/>
      <c r="Q47" s="9"/>
      <c r="R47" s="9"/>
      <c r="S47" s="9"/>
      <c r="U47" s="9"/>
    </row>
    <row r="50" spans="13:18">
      <c r="M50" s="7"/>
      <c r="R50" s="7"/>
    </row>
    <row r="51" spans="13:18">
      <c r="M51" s="7"/>
      <c r="R51" s="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T52"/>
  <sheetViews>
    <sheetView zoomScaleNormal="100" workbookViewId="0">
      <selection activeCell="J27" sqref="J27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3" max="13" width="8.42578125" bestFit="1" customWidth="1"/>
    <col min="14" max="14" width="8.7109375" customWidth="1"/>
    <col min="15" max="15" width="9.140625" customWidth="1"/>
    <col min="16" max="16" width="8.140625" customWidth="1"/>
    <col min="17" max="17" width="9.5703125" customWidth="1"/>
    <col min="18" max="18" width="7.7109375" bestFit="1" customWidth="1"/>
    <col min="19" max="19" width="9" customWidth="1"/>
    <col min="20" max="20" width="9.140625" customWidth="1"/>
    <col min="21" max="21" width="9.7109375" customWidth="1"/>
    <col min="22" max="22" width="8.5703125" customWidth="1"/>
    <col min="24" max="32" width="11" customWidth="1"/>
    <col min="33" max="46" width="12" customWidth="1"/>
  </cols>
  <sheetData>
    <row r="1" spans="1:46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X1" t="s">
        <v>38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</row>
    <row r="2" spans="1:46">
      <c r="A2" s="2" t="s">
        <v>1</v>
      </c>
      <c r="B2" s="5">
        <f>Table1[[#This Row],[2 - Pre]]/Table1[[#This Row],[Rescale A_2]]</f>
        <v>3.2612080536912749</v>
      </c>
      <c r="C2" s="5">
        <f>Table1[[#This Row],[10 - pre]]/Table1[[#This Row],[Rescale A_10]]</f>
        <v>37.686666666666667</v>
      </c>
      <c r="D2" s="5">
        <f>Table1[[#This Row],[2 - Post 5min]]/Table1[[#This Row],[Rescale A_2]]</f>
        <v>7.4328859060402683</v>
      </c>
      <c r="E2" s="5">
        <f>Table1[[#This Row],[10 - Post 5min]]/Table1[[#This Row],[Rescale A_10]]</f>
        <v>72.380392156862754</v>
      </c>
      <c r="F2" s="5">
        <f>Table1[[#This Row],[2 - Post 10min]]/Table1[[#This Row],[Rescale A_2]]</f>
        <v>7.6583892617449658</v>
      </c>
      <c r="G2" s="5">
        <f>Table1[[#This Row],[10 - Post 10min]]/Table1[[#This Row],[Rescale A_10]]</f>
        <v>77.29607843137255</v>
      </c>
      <c r="H2" s="5">
        <f>Table1[[#This Row],[2 - Post 15min]]/Table1[[#This Row],[Rescale A_2]]</f>
        <v>4.4812080536912751</v>
      </c>
      <c r="I2" s="5">
        <f>Table1[[#This Row],[10 - Post 15min]]/Table1[[#This Row],[Rescale A_10]]</f>
        <v>77.552941176470597</v>
      </c>
      <c r="J2" s="5">
        <f>Table1[[#This Row],[2 - Post 20min]]/Table1[[#This Row],[Rescale A_2]]</f>
        <v>7.6</v>
      </c>
      <c r="K2" s="5">
        <f>Table1[[#This Row],[10 - Post 20min]]/Table1[[#This Row],[Rescale A_10]]</f>
        <v>78.103921568627456</v>
      </c>
      <c r="M2" s="6">
        <f>Table413[[#This Row],[2 - Pre]]*$N$27/(Table413[[#This Row],[10 - pre]]*$N$26)</f>
        <v>0.43056809531501028</v>
      </c>
      <c r="N2" s="6">
        <f>Table413[[#This Row],[2 - Post 5min]]*$N$27/(Table413[[#This Row],[10 - Post 5min]]*$N$26)</f>
        <v>0.51096082082131855</v>
      </c>
      <c r="O2" s="6">
        <f>Table413[[#This Row],[2 - Post 10min]]*$N$27/(Table413[[#This Row],[10 - Post 10min]]*$N$26)</f>
        <v>0.49298197714132547</v>
      </c>
      <c r="P2" s="6">
        <f>Table413[[#This Row],[2 - Post 15min]]*$N$27/(Table413[[#This Row],[10 - Post 15min]]*$N$26)</f>
        <v>0.2875066543906476</v>
      </c>
      <c r="Q2" s="6">
        <f>Table413[[#This Row],[2 - Post 20min]]*$N$27/(Table413[[#This Row],[10 - Post 20min]]*$N$26)</f>
        <v>0.48416324621541951</v>
      </c>
      <c r="R2" s="6">
        <f>-$N$29/LN((Table13[[#This Row],[G Pre]]-1)/(Table13[[#This Row],[G Pre]]*$O$26-$O$27))</f>
        <v>-6.0973578078776187</v>
      </c>
      <c r="S2" s="6">
        <f>-$N$29/LN((Table13[[#This Row],[G 5min]]-1)/(Table13[[#This Row],[G 5min]]*$O$26-$O$27))</f>
        <v>-5.2424478358434596</v>
      </c>
      <c r="T2" s="6">
        <f>-$N$29/LN((Table13[[#This Row],[G 10min]]-1)/(Table13[[#This Row],[G 10min]]*$O$26-$O$27))</f>
        <v>-5.4341276610674569</v>
      </c>
      <c r="U2" s="6">
        <f>-$N$29/LN((Table13[[#This Row],[G 15min]]-1)/(Table13[[#This Row],[G 15min]]*$O$26-$O$27))</f>
        <v>-7.6048754084556496</v>
      </c>
      <c r="V2" s="6">
        <f>-$N$29/LN((Table13[[#This Row],[G 20min]]-1)/(Table13[[#This Row],[G 20min]]*$O$26-$O$27))</f>
        <v>-5.5280443688378993</v>
      </c>
      <c r="X2" t="s">
        <v>54</v>
      </c>
      <c r="Y2">
        <v>-6.0973578078776187</v>
      </c>
      <c r="Z2">
        <v>3.4644722702092752</v>
      </c>
      <c r="AA2">
        <v>-0.13605787131971925</v>
      </c>
      <c r="AB2">
        <v>1.2779698364201741</v>
      </c>
      <c r="AC2">
        <v>0.52133078970952551</v>
      </c>
      <c r="AD2">
        <v>1.6211478483778388</v>
      </c>
      <c r="AE2">
        <v>10.05211151516966</v>
      </c>
      <c r="AF2">
        <v>0.92680581004725049</v>
      </c>
      <c r="AG2">
        <v>2.6036530622777003</v>
      </c>
      <c r="AH2">
        <v>4.8092811493515999</v>
      </c>
      <c r="AI2">
        <v>-2.5222166532319452</v>
      </c>
      <c r="AJ2">
        <v>2.7314522927350668</v>
      </c>
      <c r="AK2">
        <v>0.767828532523677</v>
      </c>
      <c r="AL2">
        <v>-0.17134143476079591</v>
      </c>
      <c r="AM2" t="e">
        <v>#DIV/0!</v>
      </c>
      <c r="AN2">
        <v>5.8757962590103148</v>
      </c>
      <c r="AO2">
        <v>6.5607565654040521</v>
      </c>
      <c r="AP2">
        <v>-6.1872606335067966</v>
      </c>
      <c r="AQ2">
        <v>4.2995258386704629</v>
      </c>
      <c r="AR2">
        <v>1.7890805986638842</v>
      </c>
      <c r="AS2">
        <v>-1.8714421488718875</v>
      </c>
      <c r="AT2">
        <v>3.8897800838098955</v>
      </c>
    </row>
    <row r="3" spans="1:46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A_2]]</f>
        <v>15.266443701226308</v>
      </c>
      <c r="E3" s="5">
        <f>Table1[[#This Row],[10 - Post 5min]]/Table1[[#This Row],[Rescale A_10]]</f>
        <v>82.237735849056605</v>
      </c>
      <c r="F3" s="5">
        <f>Table1[[#This Row],[2 - Post 10min]]/Table1[[#This Row],[Rescale A_2]]</f>
        <v>15.865105908584168</v>
      </c>
      <c r="G3" s="5">
        <f>Table1[[#This Row],[10 - Post 10min]]/Table1[[#This Row],[Rescale A_10]]</f>
        <v>89.647169811320751</v>
      </c>
      <c r="H3" s="5">
        <f>Table1[[#This Row],[2 - Post 15min]]/Table1[[#This Row],[Rescale A_2]]</f>
        <v>15.683389074693423</v>
      </c>
      <c r="I3" s="5">
        <f>Table1[[#This Row],[10 - Post 15min]]/Table1[[#This Row],[Rescale A_10]]</f>
        <v>91.649056603773587</v>
      </c>
      <c r="J3" s="5">
        <f>Table1[[#This Row],[2 - Post 20min]]/Table1[[#This Row],[Rescale A_2]]</f>
        <v>16.01560758082497</v>
      </c>
      <c r="K3" s="5">
        <f>Table1[[#This Row],[10 - Post 20min]]/Table1[[#This Row],[Rescale A_10]]</f>
        <v>90.164150943396237</v>
      </c>
      <c r="M3" s="6">
        <f>Table413[[#This Row],[2 - Pre]]*$N$27/(Table413[[#This Row],[10 - pre]]*$N$26)</f>
        <v>1.3008056773482592</v>
      </c>
      <c r="N3" s="6">
        <f>Table413[[#This Row],[2 - Post 5min]]*$N$27/(Table413[[#This Row],[10 - Post 5min]]*$N$26)</f>
        <v>0.92367204886448795</v>
      </c>
      <c r="O3" s="6">
        <f>Table413[[#This Row],[2 - Post 10min]]*$N$27/(Table413[[#This Row],[10 - Post 10min]]*$N$26)</f>
        <v>0.88055696869864164</v>
      </c>
      <c r="P3" s="6">
        <f>Table413[[#This Row],[2 - Post 15min]]*$N$27/(Table413[[#This Row],[10 - Post 15min]]*$N$26)</f>
        <v>0.85145751676425518</v>
      </c>
      <c r="Q3" s="6">
        <f>Table413[[#This Row],[2 - Post 20min]]*$N$27/(Table413[[#This Row],[10 - Post 20min]]*$N$26)</f>
        <v>0.88381341204914499</v>
      </c>
      <c r="R3" s="6">
        <f>-$N$29/LN((Table13[[#This Row],[G Pre]]-1)/(Table13[[#This Row],[G Pre]]*$O$26-$O$27))</f>
        <v>3.4644722702092752</v>
      </c>
      <c r="S3" s="6">
        <f>-$N$29/LN((Table13[[#This Row],[G 5min]]-1)/(Table13[[#This Row],[G 5min]]*$O$26-$O$27))</f>
        <v>-0.76134429263199177</v>
      </c>
      <c r="T3" s="6">
        <f>-$N$29/LN((Table13[[#This Row],[G 10min]]-1)/(Table13[[#This Row],[G 10min]]*$O$26-$O$27))</f>
        <v>-1.2375108326079596</v>
      </c>
      <c r="U3" s="6">
        <f>-$N$29/LN((Table13[[#This Row],[G 15min]]-1)/(Table13[[#This Row],[G 15min]]*$O$26-$O$27))</f>
        <v>-1.5575443587894182</v>
      </c>
      <c r="V3" s="6">
        <f>-$N$29/LN((Table13[[#This Row],[G 20min]]-1)/(Table13[[#This Row],[G 20min]]*$O$26-$O$27))</f>
        <v>-1.201636496371207</v>
      </c>
      <c r="X3" t="s">
        <v>55</v>
      </c>
      <c r="Y3">
        <v>-5.2424478358434596</v>
      </c>
      <c r="Z3">
        <v>-0.76134429263199177</v>
      </c>
      <c r="AA3">
        <v>3.401670283718857</v>
      </c>
      <c r="AB3">
        <v>-2.6414417213358417</v>
      </c>
      <c r="AC3">
        <v>-3.3550020284117257</v>
      </c>
      <c r="AD3">
        <v>0.796989787836902</v>
      </c>
      <c r="AE3">
        <v>3.0539415376578245</v>
      </c>
      <c r="AF3">
        <v>-2.4204147801813725</v>
      </c>
      <c r="AG3">
        <v>19.452323747353429</v>
      </c>
      <c r="AH3">
        <v>-0.50056277920889292</v>
      </c>
      <c r="AI3">
        <v>-4.4430511104524664</v>
      </c>
      <c r="AJ3">
        <v>-0.82296098429966091</v>
      </c>
      <c r="AK3">
        <v>-3.2056360650171656</v>
      </c>
      <c r="AL3">
        <v>-2.9034724287482621</v>
      </c>
      <c r="AM3">
        <v>-0.15481055762693499</v>
      </c>
      <c r="AN3">
        <v>-0.60109946435904049</v>
      </c>
      <c r="AO3">
        <v>1.5628507169179926</v>
      </c>
      <c r="AP3">
        <v>-6.3199107504976002</v>
      </c>
      <c r="AQ3">
        <v>0.38268918457866852</v>
      </c>
      <c r="AR3">
        <v>2.1570700726473273</v>
      </c>
      <c r="AS3">
        <v>-3.0336693408316258</v>
      </c>
      <c r="AT3">
        <v>-0.8077372463342255</v>
      </c>
    </row>
    <row r="4" spans="1:46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A_2]]</f>
        <v>11.337813620071685</v>
      </c>
      <c r="E4" s="5">
        <f>Table1[[#This Row],[10 - Post 5min]]/Table1[[#This Row],[Rescale A_10]]</f>
        <v>43.552419354838712</v>
      </c>
      <c r="F4" s="5">
        <f>Table1[[#This Row],[2 - Post 10min]]/Table1[[#This Row],[Rescale A_2]]</f>
        <v>11.36021505376344</v>
      </c>
      <c r="G4" s="5">
        <f>Table1[[#This Row],[10 - Post 10min]]/Table1[[#This Row],[Rescale A_10]]</f>
        <v>79.554435483870961</v>
      </c>
      <c r="H4" s="5">
        <f>Table1[[#This Row],[2 - Post 15min]]/Table1[[#This Row],[Rescale A_2]]</f>
        <v>11.350358422939069</v>
      </c>
      <c r="I4" s="5">
        <f>Table1[[#This Row],[10 - Post 15min]]/Table1[[#This Row],[Rescale A_10]]</f>
        <v>80.243951612903231</v>
      </c>
      <c r="J4" s="5">
        <f>Table1[[#This Row],[2 - Post 20min]]/Table1[[#This Row],[Rescale A_2]]</f>
        <v>11.753584229390679</v>
      </c>
      <c r="K4" s="5">
        <f>Table1[[#This Row],[10 - Post 20min]]/Table1[[#This Row],[Rescale A_10]]</f>
        <v>79.977822580645167</v>
      </c>
      <c r="M4" s="6">
        <f>Table413[[#This Row],[2 - Pre]]*$N$27/(Table413[[#This Row],[10 - pre]]*$N$26)</f>
        <v>0.97902842296696546</v>
      </c>
      <c r="N4" s="6">
        <f>Table413[[#This Row],[2 - Post 5min]]*$N$27/(Table413[[#This Row],[10 - Post 5min]]*$N$26)</f>
        <v>1.2952932260068366</v>
      </c>
      <c r="O4" s="6">
        <f>Table413[[#This Row],[2 - Post 10min]]*$N$27/(Table413[[#This Row],[10 - Post 10min]]*$N$26)</f>
        <v>0.7105149503636613</v>
      </c>
      <c r="P4" s="6">
        <f>Table413[[#This Row],[2 - Post 15min]]*$N$27/(Table413[[#This Row],[10 - Post 15min]]*$N$26)</f>
        <v>0.70379849643957948</v>
      </c>
      <c r="Q4" s="6">
        <f>Table413[[#This Row],[2 - Post 20min]]*$N$27/(Table413[[#This Row],[10 - Post 20min]]*$N$26)</f>
        <v>0.73122631789034898</v>
      </c>
      <c r="R4" s="6">
        <f>-$N$29/LN((Table13[[#This Row],[G Pre]]-1)/(Table13[[#This Row],[G Pre]]*$O$26-$O$27))</f>
        <v>-0.13605787131971925</v>
      </c>
      <c r="S4" s="6">
        <f>-$N$29/LN((Table13[[#This Row],[G 5min]]-1)/(Table13[[#This Row],[G 5min]]*$O$26-$O$27))</f>
        <v>3.401670283718857</v>
      </c>
      <c r="T4" s="6">
        <f>-$N$29/LN((Table13[[#This Row],[G 10min]]-1)/(Table13[[#This Row],[G 10min]]*$O$26-$O$27))</f>
        <v>-3.0956932563087141</v>
      </c>
      <c r="U4" s="6">
        <f>-$N$29/LN((Table13[[#This Row],[G 15min]]-1)/(Table13[[#This Row],[G 15min]]*$O$26-$O$27))</f>
        <v>-3.1685285671456773</v>
      </c>
      <c r="V4" s="6">
        <f>-$N$29/LN((Table13[[#This Row],[G 20min]]-1)/(Table13[[#This Row],[G 20min]]*$O$26-$O$27))</f>
        <v>-2.8708330856222002</v>
      </c>
      <c r="X4" t="s">
        <v>56</v>
      </c>
      <c r="Y4">
        <v>-5.4341276610674569</v>
      </c>
      <c r="Z4">
        <v>-1.2375108326079596</v>
      </c>
      <c r="AA4">
        <v>-3.0956932563087141</v>
      </c>
      <c r="AB4">
        <v>-2.2810584451894376</v>
      </c>
      <c r="AC4">
        <v>-3.6345971493160154</v>
      </c>
      <c r="AD4">
        <v>0.69009611250599445</v>
      </c>
      <c r="AE4">
        <v>2.1154938855825884</v>
      </c>
      <c r="AF4">
        <v>-2.9613427905736875</v>
      </c>
      <c r="AG4">
        <v>-2.8216187428861237</v>
      </c>
      <c r="AH4">
        <v>-0.94636852503729008</v>
      </c>
      <c r="AI4">
        <v>-4.6073880567360641</v>
      </c>
      <c r="AJ4">
        <v>-0.12031044052702607</v>
      </c>
      <c r="AK4">
        <v>-2.3481481700775264</v>
      </c>
      <c r="AL4">
        <v>-3.3566228290089271</v>
      </c>
      <c r="AM4">
        <v>-0.98930092967184513</v>
      </c>
      <c r="AN4">
        <v>-0.90448239902328387</v>
      </c>
      <c r="AO4">
        <v>1.1202113004601639</v>
      </c>
      <c r="AP4">
        <v>-6.5455922828312376</v>
      </c>
      <c r="AQ4">
        <v>-0.2586852836048521</v>
      </c>
      <c r="AR4">
        <v>-1.4706276373867542</v>
      </c>
      <c r="AS4">
        <v>-0.66716973858460538</v>
      </c>
      <c r="AT4">
        <v>-1.2023645505387202</v>
      </c>
    </row>
    <row r="5" spans="1:46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A_2]]</f>
        <v>11.476190476190476</v>
      </c>
      <c r="E5" s="5">
        <f>Table1[[#This Row],[10 - Post 5min]]/Table1[[#This Row],[Rescale A_10]]</f>
        <v>75.901006711409394</v>
      </c>
      <c r="F5" s="5">
        <f>Table1[[#This Row],[2 - Post 10min]]/Table1[[#This Row],[Rescale A_2]]</f>
        <v>11.418498168498168</v>
      </c>
      <c r="G5" s="5">
        <f>Table1[[#This Row],[10 - Post 10min]]/Table1[[#This Row],[Rescale A_10]]</f>
        <v>72.340604026845639</v>
      </c>
      <c r="H5" s="5">
        <f>Table1[[#This Row],[2 - Post 15min]]/Table1[[#This Row],[Rescale A_2]]</f>
        <v>11.175824175824177</v>
      </c>
      <c r="I5" s="5">
        <f>Table1[[#This Row],[10 - Post 15min]]/Table1[[#This Row],[Rescale A_10]]</f>
        <v>78.057046979865774</v>
      </c>
      <c r="J5" s="5">
        <f>Table1[[#This Row],[2 - Post 20min]]/Table1[[#This Row],[Rescale A_2]]</f>
        <v>11.187728937728938</v>
      </c>
      <c r="K5" s="5">
        <f>Table1[[#This Row],[10 - Post 20min]]/Table1[[#This Row],[Rescale A_10]]</f>
        <v>60.191275167785236</v>
      </c>
      <c r="M5" s="6">
        <f>Table413[[#This Row],[2 - Pre]]*$N$27/(Table413[[#This Row],[10 - pre]]*$N$26)</f>
        <v>1.1074198196834613</v>
      </c>
      <c r="N5" s="6">
        <f>Table413[[#This Row],[2 - Post 5min]]*$N$27/(Table413[[#This Row],[10 - Post 5min]]*$N$26)</f>
        <v>0.75231769662820114</v>
      </c>
      <c r="O5" s="6">
        <f>Table413[[#This Row],[2 - Post 10min]]*$N$27/(Table413[[#This Row],[10 - Post 10min]]*$N$26)</f>
        <v>0.78537653580571076</v>
      </c>
      <c r="P5" s="6">
        <f>Table413[[#This Row],[2 - Post 15min]]*$N$27/(Table413[[#This Row],[10 - Post 15min]]*$N$26)</f>
        <v>0.71239113998507786</v>
      </c>
      <c r="Q5" s="6">
        <f>Table413[[#This Row],[2 - Post 20min]]*$N$27/(Table413[[#This Row],[10 - Post 20min]]*$N$26)</f>
        <v>0.9248247794178619</v>
      </c>
      <c r="R5" s="6">
        <f>-$N$29/LN((Table13[[#This Row],[G Pre]]-1)/(Table13[[#This Row],[G Pre]]*$O$26-$O$27))</f>
        <v>1.2779698364201741</v>
      </c>
      <c r="S5" s="6">
        <f>-$N$29/LN((Table13[[#This Row],[G 5min]]-1)/(Table13[[#This Row],[G 5min]]*$O$26-$O$27))</f>
        <v>-2.6414417213358417</v>
      </c>
      <c r="T5" s="6">
        <f>-$N$29/LN((Table13[[#This Row],[G 10min]]-1)/(Table13[[#This Row],[G 10min]]*$O$26-$O$27))</f>
        <v>-2.2810584451894376</v>
      </c>
      <c r="U5" s="6">
        <f>-$N$29/LN((Table13[[#This Row],[G 15min]]-1)/(Table13[[#This Row],[G 15min]]*$O$26-$O$27))</f>
        <v>-3.0753399200337297</v>
      </c>
      <c r="V5" s="6">
        <f>-$N$29/LN((Table13[[#This Row],[G 20min]]-1)/(Table13[[#This Row],[G 20min]]*$O$26-$O$27))</f>
        <v>-0.74857062884268455</v>
      </c>
      <c r="X5" t="s">
        <v>57</v>
      </c>
      <c r="Y5">
        <v>-7.6048754084556496</v>
      </c>
      <c r="Z5">
        <v>-1.5575443587894182</v>
      </c>
      <c r="AA5">
        <v>-3.1685285671456773</v>
      </c>
      <c r="AB5">
        <v>-3.0753399200337297</v>
      </c>
      <c r="AC5">
        <v>-3.8400979523051717</v>
      </c>
      <c r="AD5" t="e">
        <v>#NUM!</v>
      </c>
      <c r="AE5">
        <v>2.0262318952111538</v>
      </c>
      <c r="AF5">
        <v>-3.1379798518811008</v>
      </c>
      <c r="AG5">
        <v>-3.262023823391174</v>
      </c>
      <c r="AH5">
        <v>-1.0975104733522025</v>
      </c>
      <c r="AI5">
        <v>-4.7131295383449823</v>
      </c>
      <c r="AJ5">
        <v>-0.94469204933930118</v>
      </c>
      <c r="AK5">
        <v>-3.1308873890929005</v>
      </c>
      <c r="AL5">
        <v>-3.5779977554029143</v>
      </c>
      <c r="AM5">
        <v>-0.57939067851012049</v>
      </c>
      <c r="AN5">
        <v>-0.34200721977918763</v>
      </c>
      <c r="AO5">
        <v>0.15319148747147746</v>
      </c>
      <c r="AP5">
        <v>-6.3775334226100382</v>
      </c>
      <c r="AQ5">
        <v>-0.24844440761248687</v>
      </c>
      <c r="AR5">
        <v>-2.1085471620444682</v>
      </c>
      <c r="AS5">
        <v>-3.5072366853081554</v>
      </c>
      <c r="AT5">
        <v>-1.1108764007328664</v>
      </c>
    </row>
    <row r="6" spans="1:46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A_2]]</f>
        <v>9.2803234501347713</v>
      </c>
      <c r="E6" s="5">
        <f>Table1[[#This Row],[10 - Post 5min]]/Table1[[#This Row],[Rescale A_10]]</f>
        <v>67.254201680672267</v>
      </c>
      <c r="F6" s="5">
        <f>Table1[[#This Row],[2 - Post 10min]]/Table1[[#This Row],[Rescale A_2]]</f>
        <v>9.3629829290206636</v>
      </c>
      <c r="G6" s="5">
        <f>Table1[[#This Row],[10 - Post 10min]]/Table1[[#This Row],[Rescale A_10]]</f>
        <v>70.508403361344548</v>
      </c>
      <c r="H6" s="5">
        <f>Table1[[#This Row],[2 - Post 15min]]/Table1[[#This Row],[Rescale A_2]]</f>
        <v>9.752920035938903</v>
      </c>
      <c r="I6" s="5">
        <f>Table1[[#This Row],[10 - Post 15min]]/Table1[[#This Row],[Rescale A_10]]</f>
        <v>75.623949579831944</v>
      </c>
      <c r="J6" s="5">
        <f>Table1[[#This Row],[2 - Post 20min]]/Table1[[#This Row],[Rescale A_2]]</f>
        <v>9.219227313566936</v>
      </c>
      <c r="K6" s="5">
        <f>Table1[[#This Row],[10 - Post 20min]]/Table1[[#This Row],[Rescale A_10]]</f>
        <v>69.491596638655466</v>
      </c>
      <c r="M6" s="6">
        <f>Table413[[#This Row],[2 - Pre]]*$N$27/(Table413[[#This Row],[10 - pre]]*$N$26)</f>
        <v>1.0399483775522547</v>
      </c>
      <c r="N6" s="6">
        <f>Table413[[#This Row],[2 - Post 5min]]*$N$27/(Table413[[#This Row],[10 - Post 5min]]*$N$26)</f>
        <v>0.68658570548766751</v>
      </c>
      <c r="O6" s="6">
        <f>Table413[[#This Row],[2 - Post 10min]]*$N$27/(Table413[[#This Row],[10 - Post 10min]]*$N$26)</f>
        <v>0.66073059522008071</v>
      </c>
      <c r="P6" s="6">
        <f>Table413[[#This Row],[2 - Post 15min]]*$N$27/(Table413[[#This Row],[10 - Post 15min]]*$N$26)</f>
        <v>0.64169162955043213</v>
      </c>
      <c r="Q6" s="6">
        <f>Table413[[#This Row],[2 - Post 20min]]*$N$27/(Table413[[#This Row],[10 - Post 20min]]*$N$26)</f>
        <v>0.66010542087065605</v>
      </c>
      <c r="R6" s="6">
        <f>-$N$29/LN((Table13[[#This Row],[G Pre]]-1)/(Table13[[#This Row],[G Pre]]*$O$26-$O$27))</f>
        <v>0.52133078970952551</v>
      </c>
      <c r="S6" s="6">
        <f>-$N$29/LN((Table13[[#This Row],[G 5min]]-1)/(Table13[[#This Row],[G 5min]]*$O$26-$O$27))</f>
        <v>-3.3550020284117257</v>
      </c>
      <c r="T6" s="6">
        <f>-$N$29/LN((Table13[[#This Row],[G 10min]]-1)/(Table13[[#This Row],[G 10min]]*$O$26-$O$27))</f>
        <v>-3.6345971493160154</v>
      </c>
      <c r="U6" s="6">
        <f>-$N$29/LN((Table13[[#This Row],[G 15min]]-1)/(Table13[[#This Row],[G 15min]]*$O$26-$O$27))</f>
        <v>-3.8400979523051717</v>
      </c>
      <c r="V6" s="6">
        <f>-$N$29/LN((Table13[[#This Row],[G 20min]]-1)/(Table13[[#This Row],[G 20min]]*$O$26-$O$27))</f>
        <v>-3.6413502665921014</v>
      </c>
      <c r="X6" t="s">
        <v>58</v>
      </c>
      <c r="Y6">
        <v>-5.5280443688378993</v>
      </c>
      <c r="Z6">
        <v>-1.201636496371207</v>
      </c>
      <c r="AA6">
        <v>-2.8708330856222002</v>
      </c>
      <c r="AB6">
        <v>-0.74857062884268455</v>
      </c>
      <c r="AC6">
        <v>-3.6413502665921014</v>
      </c>
      <c r="AD6">
        <v>0.91349168299202355</v>
      </c>
      <c r="AE6">
        <v>2.342315164160063</v>
      </c>
      <c r="AF6">
        <v>-3.3865913526460427</v>
      </c>
      <c r="AG6">
        <v>-3.1442295028809548</v>
      </c>
      <c r="AH6">
        <v>-0.73103433884982005</v>
      </c>
      <c r="AI6">
        <v>-4.6531478984516781</v>
      </c>
      <c r="AJ6">
        <v>-1.2494641118756387</v>
      </c>
      <c r="AK6">
        <v>-3.1595197285181276</v>
      </c>
      <c r="AL6">
        <v>-3.333344691312722</v>
      </c>
      <c r="AM6">
        <v>-0.24668800699944077</v>
      </c>
      <c r="AN6">
        <v>-0.75734695717488032</v>
      </c>
      <c r="AO6" t="e">
        <v>#NUM!</v>
      </c>
      <c r="AP6">
        <v>-6.3271805588693839</v>
      </c>
      <c r="AQ6" t="e">
        <v>#NUM!</v>
      </c>
      <c r="AR6">
        <v>-2.0386610813912238</v>
      </c>
      <c r="AS6">
        <v>-3.5502212856090787</v>
      </c>
      <c r="AT6">
        <v>-1.2621424254374329</v>
      </c>
    </row>
    <row r="7" spans="1:46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A_2]]</f>
        <v>24.707350901525658</v>
      </c>
      <c r="E7" s="5">
        <f>Table1[[#This Row],[10 - Post 5min]]/Table1[[#This Row],[Rescale A_10]]</f>
        <v>115.48387096774194</v>
      </c>
      <c r="F7" s="5">
        <f>Table1[[#This Row],[2 - Post 10min]]/Table1[[#This Row],[Rescale A_2]]</f>
        <v>24.940360610263522</v>
      </c>
      <c r="G7" s="5">
        <f>Table1[[#This Row],[10 - Post 10min]]/Table1[[#This Row],[Rescale A_10]]</f>
        <v>117.62672811059909</v>
      </c>
      <c r="H7" s="5">
        <f>Table1[[#This Row],[2 - Post 15min]]/Table1[[#This Row],[Rescale A_2]]</f>
        <v>23.615811373092928</v>
      </c>
      <c r="I7" s="5">
        <f>Table1[[#This Row],[10 - Post 15min]]/Table1[[#This Row],[Rescale A_10]]</f>
        <v>119.22119815668202</v>
      </c>
      <c r="J7" s="5">
        <f>Table1[[#This Row],[2 - Post 20min]]/Table1[[#This Row],[Rescale A_2]]</f>
        <v>25.650485436893202</v>
      </c>
      <c r="K7" s="5">
        <f>Table1[[#This Row],[10 - Post 20min]]/Table1[[#This Row],[Rescale A_10]]</f>
        <v>118.73271889400921</v>
      </c>
      <c r="M7" s="6">
        <f>Table413[[#This Row],[2 - Pre]]*$N$27/(Table413[[#This Row],[10 - pre]]*$N$26)</f>
        <v>1.1379642365071603</v>
      </c>
      <c r="N7" s="6">
        <f>Table413[[#This Row],[2 - Post 5min]]*$N$27/(Table413[[#This Row],[10 - Post 5min]]*$N$26)</f>
        <v>1.0645251260312074</v>
      </c>
      <c r="O7" s="6">
        <f>Table413[[#This Row],[2 - Post 10min]]*$N$27/(Table413[[#This Row],[10 - Post 10min]]*$N$26)</f>
        <v>1.0549886268595421</v>
      </c>
      <c r="P7" s="6">
        <f>Table413[[#This Row],[2 - Post 15min]]*$N$27/(Table413[[#This Row],[10 - Post 15min]]*$N$26)</f>
        <v>0.98559945644978575</v>
      </c>
      <c r="Q7" s="6">
        <f>Table413[[#This Row],[2 - Post 20min]]*$N$27/(Table413[[#This Row],[10 - Post 20min]]*$N$26)</f>
        <v>1.074920243254031</v>
      </c>
      <c r="R7" s="6">
        <f>-$N$29/LN((Table13[[#This Row],[G Pre]]-1)/(Table13[[#This Row],[G Pre]]*$O$26-$O$27))</f>
        <v>1.6211478483778388</v>
      </c>
      <c r="S7" s="6">
        <f>-$N$29/LN((Table13[[#This Row],[G 5min]]-1)/(Table13[[#This Row],[G 5min]]*$O$26-$O$27))</f>
        <v>0.796989787836902</v>
      </c>
      <c r="T7" s="6">
        <f>-$N$29/LN((Table13[[#This Row],[G 10min]]-1)/(Table13[[#This Row],[G 10min]]*$O$26-$O$27))</f>
        <v>0.69009611250599445</v>
      </c>
      <c r="U7" s="6" t="e">
        <f>-$N$29/LN((Table13[[#This Row],[G 15min]]-1)/(Table13[[#This Row],[G 15min]]*$O$26-$O$27))</f>
        <v>#NUM!</v>
      </c>
      <c r="V7" s="6">
        <f>-$N$29/LN((Table13[[#This Row],[G 20min]]-1)/(Table13[[#This Row],[G 20min]]*$O$26-$O$27))</f>
        <v>0.91349168299202355</v>
      </c>
    </row>
    <row r="8" spans="1:46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A_2]]</f>
        <v>17.33080808080808</v>
      </c>
      <c r="E8" s="5">
        <f>Table1[[#This Row],[10 - Post 5min]]/Table1[[#This Row],[Rescale A_10]]</f>
        <v>68.182608695652178</v>
      </c>
      <c r="F8" s="5">
        <f>Table1[[#This Row],[2 - Post 10min]]/Table1[[#This Row],[Rescale A_2]]</f>
        <v>16.763888888888889</v>
      </c>
      <c r="G8" s="5">
        <f>Table1[[#This Row],[10 - Post 10min]]/Table1[[#This Row],[Rescale A_10]]</f>
        <v>70.577391304347827</v>
      </c>
      <c r="H8" s="5">
        <f>Table1[[#This Row],[2 - Post 15min]]/Table1[[#This Row],[Rescale A_2]]</f>
        <v>16.853535353535353</v>
      </c>
      <c r="I8" s="5">
        <f>Table1[[#This Row],[10 - Post 15min]]/Table1[[#This Row],[Rescale A_10]]</f>
        <v>71.433043478260871</v>
      </c>
      <c r="J8" s="5">
        <f>Table1[[#This Row],[2 - Post 20min]]/Table1[[#This Row],[Rescale A_2]]</f>
        <v>17.935606060606062</v>
      </c>
      <c r="K8" s="5">
        <f>Table1[[#This Row],[10 - Post 20min]]/Table1[[#This Row],[Rescale A_10]]</f>
        <v>74.248695652173907</v>
      </c>
      <c r="M8" s="6">
        <f>Table413[[#This Row],[2 - Pre]]*$N$27/(Table413[[#This Row],[10 - pre]]*$N$26)</f>
        <v>1.8651689214168614</v>
      </c>
      <c r="N8" s="6">
        <f>Table413[[#This Row],[2 - Post 5min]]*$N$27/(Table413[[#This Row],[10 - Post 5min]]*$N$26)</f>
        <v>1.2647254722723056</v>
      </c>
      <c r="O8" s="6">
        <f>Table413[[#This Row],[2 - Post 10min]]*$N$27/(Table413[[#This Row],[10 - Post 10min]]*$N$26)</f>
        <v>1.1818442264974776</v>
      </c>
      <c r="P8" s="6">
        <f>Table413[[#This Row],[2 - Post 15min]]*$N$27/(Table413[[#This Row],[10 - Post 15min]]*$N$26)</f>
        <v>1.1739319656458682</v>
      </c>
      <c r="Q8" s="6">
        <f>Table413[[#This Row],[2 - Post 20min]]*$N$27/(Table413[[#This Row],[10 - Post 20min]]*$N$26)</f>
        <v>1.2019275608655191</v>
      </c>
      <c r="R8" s="6">
        <f>-$N$29/LN((Table13[[#This Row],[G Pre]]-1)/(Table13[[#This Row],[G Pre]]*$O$26-$O$27))</f>
        <v>10.05211151516966</v>
      </c>
      <c r="S8" s="6">
        <f>-$N$29/LN((Table13[[#This Row],[G 5min]]-1)/(Table13[[#This Row],[G 5min]]*$O$26-$O$27))</f>
        <v>3.0539415376578245</v>
      </c>
      <c r="T8" s="6">
        <f>-$N$29/LN((Table13[[#This Row],[G 10min]]-1)/(Table13[[#This Row],[G 10min]]*$O$26-$O$27))</f>
        <v>2.1154938855825884</v>
      </c>
      <c r="U8" s="6">
        <f>-$N$29/LN((Table13[[#This Row],[G 15min]]-1)/(Table13[[#This Row],[G 15min]]*$O$26-$O$27))</f>
        <v>2.0262318952111538</v>
      </c>
      <c r="V8" s="6">
        <f>-$N$29/LN((Table13[[#This Row],[G 20min]]-1)/(Table13[[#This Row],[G 20min]]*$O$26-$O$27))</f>
        <v>2.342315164160063</v>
      </c>
    </row>
    <row r="9" spans="1:46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A_2]]</f>
        <v>14.379487179487178</v>
      </c>
      <c r="E9" s="5">
        <f>Table1[[#This Row],[10 - Post 5min]]/Table1[[#This Row],[Rescale A_10]]</f>
        <v>92.605633802816911</v>
      </c>
      <c r="F9" s="5">
        <f>Table1[[#This Row],[2 - Post 10min]]/Table1[[#This Row],[Rescale A_2]]</f>
        <v>14.387692307692308</v>
      </c>
      <c r="G9" s="5">
        <f>Table1[[#This Row],[10 - Post 10min]]/Table1[[#This Row],[Rescale A_10]]</f>
        <v>99.030181086519121</v>
      </c>
      <c r="H9" s="5">
        <f>Table1[[#This Row],[2 - Post 15min]]/Table1[[#This Row],[Rescale A_2]]</f>
        <v>14.447179487179488</v>
      </c>
      <c r="I9" s="5">
        <f>Table1[[#This Row],[10 - Post 15min]]/Table1[[#This Row],[Rescale A_10]]</f>
        <v>101.73038229376259</v>
      </c>
      <c r="J9" s="5">
        <f>Table1[[#This Row],[2 - Post 20min]]/Table1[[#This Row],[Rescale A_2]]</f>
        <v>14.348717948717949</v>
      </c>
      <c r="K9" s="5">
        <f>Table1[[#This Row],[10 - Post 20min]]/Table1[[#This Row],[Rescale A_10]]</f>
        <v>104.42857142857143</v>
      </c>
      <c r="M9" s="6">
        <f>Table413[[#This Row],[2 - Pre]]*$N$27/(Table413[[#This Row],[10 - pre]]*$N$26)</f>
        <v>1.0761081462020172</v>
      </c>
      <c r="N9" s="6">
        <f>Table413[[#This Row],[2 - Post 5min]]*$N$27/(Table413[[#This Row],[10 - Post 5min]]*$N$26)</f>
        <v>0.77260418380309803</v>
      </c>
      <c r="O9" s="6">
        <f>Table413[[#This Row],[2 - Post 10min]]*$N$27/(Table413[[#This Row],[10 - Post 10min]]*$N$26)</f>
        <v>0.72289402379491041</v>
      </c>
      <c r="P9" s="6">
        <f>Table413[[#This Row],[2 - Post 15min]]*$N$27/(Table413[[#This Row],[10 - Post 15min]]*$N$26)</f>
        <v>0.70661598525000235</v>
      </c>
      <c r="Q9" s="6">
        <f>Table413[[#This Row],[2 - Post 20min]]*$N$27/(Table413[[#This Row],[10 - Post 20min]]*$N$26)</f>
        <v>0.68366733147793768</v>
      </c>
      <c r="R9" s="6">
        <f>-$N$29/LN((Table13[[#This Row],[G Pre]]-1)/(Table13[[#This Row],[G Pre]]*$O$26-$O$27))</f>
        <v>0.92680581004725049</v>
      </c>
      <c r="S9" s="6">
        <f>-$N$29/LN((Table13[[#This Row],[G 5min]]-1)/(Table13[[#This Row],[G 5min]]*$O$26-$O$27))</f>
        <v>-2.4204147801813725</v>
      </c>
      <c r="T9" s="6">
        <f>-$N$29/LN((Table13[[#This Row],[G 10min]]-1)/(Table13[[#This Row],[G 10min]]*$O$26-$O$27))</f>
        <v>-2.9613427905736875</v>
      </c>
      <c r="U9" s="6">
        <f>-$N$29/LN((Table13[[#This Row],[G 15min]]-1)/(Table13[[#This Row],[G 15min]]*$O$26-$O$27))</f>
        <v>-3.1379798518811008</v>
      </c>
      <c r="V9" s="6">
        <f>-$N$29/LN((Table13[[#This Row],[G 20min]]-1)/(Table13[[#This Row],[G 20min]]*$O$26-$O$27))</f>
        <v>-3.3865913526460427</v>
      </c>
    </row>
    <row r="10" spans="1:46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A_2]]</f>
        <v>26.651162790697676</v>
      </c>
      <c r="E10" s="5">
        <f>Table1[[#This Row],[10 - Post 5min]]/Table1[[#This Row],[Rescale A_10]]</f>
        <v>50.509383378016089</v>
      </c>
      <c r="F10" s="5">
        <f>Table1[[#This Row],[2 - Post 10min]]/Table1[[#This Row],[Rescale A_2]]</f>
        <v>27.495212038303695</v>
      </c>
      <c r="G10" s="5">
        <f>Table1[[#This Row],[10 - Post 10min]]/Table1[[#This Row],[Rescale A_10]]</f>
        <v>185.94101876675603</v>
      </c>
      <c r="H10" s="5">
        <f>Table1[[#This Row],[2 - Post 15min]]/Table1[[#This Row],[Rescale A_2]]</f>
        <v>26.857729138166899</v>
      </c>
      <c r="I10" s="5">
        <f>Table1[[#This Row],[10 - Post 15min]]/Table1[[#This Row],[Rescale A_10]]</f>
        <v>192.2332439678284</v>
      </c>
      <c r="J10" s="5">
        <f>Table1[[#This Row],[2 - Post 20min]]/Table1[[#This Row],[Rescale A_2]]</f>
        <v>26.875512995896035</v>
      </c>
      <c r="K10" s="5">
        <f>Table1[[#This Row],[10 - Post 20min]]/Table1[[#This Row],[Rescale A_10]]</f>
        <v>189.39946380697052</v>
      </c>
      <c r="M10" s="6">
        <f>Table413[[#This Row],[2 - Pre]]*$N$27/(Table413[[#This Row],[10 - pre]]*$N$26)</f>
        <v>1.2250269361684927</v>
      </c>
      <c r="N10" s="6">
        <f>Table413[[#This Row],[2 - Post 5min]]*$N$27/(Table413[[#This Row],[10 - Post 5min]]*$N$26)</f>
        <v>2.6253980692344299</v>
      </c>
      <c r="O10" s="6">
        <f>Table413[[#This Row],[2 - Post 10min]]*$N$27/(Table413[[#This Row],[10 - Post 10min]]*$N$26)</f>
        <v>0.73575451055746743</v>
      </c>
      <c r="P10" s="6">
        <f>Table413[[#This Row],[2 - Post 15min]]*$N$27/(Table413[[#This Row],[10 - Post 15min]]*$N$26)</f>
        <v>0.69517134304359585</v>
      </c>
      <c r="Q10" s="6">
        <f>Table413[[#This Row],[2 - Post 20min]]*$N$27/(Table413[[#This Row],[10 - Post 20min]]*$N$26)</f>
        <v>0.70603963814779103</v>
      </c>
      <c r="R10" s="6">
        <f>-$N$29/LN((Table13[[#This Row],[G Pre]]-1)/(Table13[[#This Row],[G Pre]]*$O$26-$O$27))</f>
        <v>2.6036530622777003</v>
      </c>
      <c r="S10" s="6">
        <f>-$N$29/LN((Table13[[#This Row],[G 5min]]-1)/(Table13[[#This Row],[G 5min]]*$O$26-$O$27))</f>
        <v>19.452323747353429</v>
      </c>
      <c r="T10" s="6">
        <f>-$N$29/LN((Table13[[#This Row],[G 10min]]-1)/(Table13[[#This Row],[G 10min]]*$O$26-$O$27))</f>
        <v>-2.8216187428861237</v>
      </c>
      <c r="U10" s="6">
        <f>-$N$29/LN((Table13[[#This Row],[G 15min]]-1)/(Table13[[#This Row],[G 15min]]*$O$26-$O$27))</f>
        <v>-3.262023823391174</v>
      </c>
      <c r="V10" s="6">
        <f>-$N$29/LN((Table13[[#This Row],[G 20min]]-1)/(Table13[[#This Row],[G 20min]]*$O$26-$O$27))</f>
        <v>-3.1442295028809548</v>
      </c>
    </row>
    <row r="11" spans="1:46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A_2]]</f>
        <v>17.052749719416386</v>
      </c>
      <c r="E11" s="5">
        <f>Table1[[#This Row],[10 - Post 5min]]/Table1[[#This Row],[Rescale A_10]]</f>
        <v>89.58424908424908</v>
      </c>
      <c r="F11" s="5">
        <f>Table1[[#This Row],[2 - Post 10min]]/Table1[[#This Row],[Rescale A_2]]</f>
        <v>17.20314253647587</v>
      </c>
      <c r="G11" s="5">
        <f>Table1[[#This Row],[10 - Post 10min]]/Table1[[#This Row],[Rescale A_10]]</f>
        <v>94.379120879120876</v>
      </c>
      <c r="H11" s="5">
        <f>Table1[[#This Row],[2 - Post 15min]]/Table1[[#This Row],[Rescale A_2]]</f>
        <v>17.30415263748597</v>
      </c>
      <c r="I11" s="5">
        <f>Table1[[#This Row],[10 - Post 15min]]/Table1[[#This Row],[Rescale A_10]]</f>
        <v>96.38827838827838</v>
      </c>
      <c r="J11" s="5">
        <f>Table1[[#This Row],[2 - Post 20min]]/Table1[[#This Row],[Rescale A_2]]</f>
        <v>17.932659932659931</v>
      </c>
      <c r="K11" s="5">
        <f>Table1[[#This Row],[10 - Post 20min]]/Table1[[#This Row],[Rescale A_10]]</f>
        <v>96.315018315018321</v>
      </c>
      <c r="M11" s="6">
        <f>Table413[[#This Row],[2 - Pre]]*$N$27/(Table413[[#This Row],[10 - pre]]*$N$26)</f>
        <v>1.4182390032924583</v>
      </c>
      <c r="N11" s="6">
        <f>Table413[[#This Row],[2 - Post 5min]]*$N$27/(Table413[[#This Row],[10 - Post 5min]]*$N$26)</f>
        <v>0.94713923268717248</v>
      </c>
      <c r="O11" s="6">
        <f>Table413[[#This Row],[2 - Post 10min]]*$N$27/(Table413[[#This Row],[10 - Post 10min]]*$N$26)</f>
        <v>0.90694912500444658</v>
      </c>
      <c r="P11" s="6">
        <f>Table413[[#This Row],[2 - Post 15min]]*$N$27/(Table413[[#This Row],[10 - Post 15min]]*$N$26)</f>
        <v>0.89325854644324698</v>
      </c>
      <c r="Q11" s="6">
        <f>Table413[[#This Row],[2 - Post 20min]]*$N$27/(Table413[[#This Row],[10 - Post 20min]]*$N$26)</f>
        <v>0.92640687070594108</v>
      </c>
      <c r="R11" s="6">
        <f>-$N$29/LN((Table13[[#This Row],[G Pre]]-1)/(Table13[[#This Row],[G Pre]]*$O$26-$O$27))</f>
        <v>4.8092811493515999</v>
      </c>
      <c r="S11" s="6">
        <f>-$N$29/LN((Table13[[#This Row],[G 5min]]-1)/(Table13[[#This Row],[G 5min]]*$O$26-$O$27))</f>
        <v>-0.50056277920889292</v>
      </c>
      <c r="T11" s="6">
        <f>-$N$29/LN((Table13[[#This Row],[G 10min]]-1)/(Table13[[#This Row],[G 10min]]*$O$26-$O$27))</f>
        <v>-0.94636852503729008</v>
      </c>
      <c r="U11" s="6">
        <f>-$N$29/LN((Table13[[#This Row],[G 15min]]-1)/(Table13[[#This Row],[G 15min]]*$O$26-$O$27))</f>
        <v>-1.0975104733522025</v>
      </c>
      <c r="V11" s="6">
        <f>-$N$29/LN((Table13[[#This Row],[G 20min]]-1)/(Table13[[#This Row],[G 20min]]*$O$26-$O$27))</f>
        <v>-0.73103433884982005</v>
      </c>
    </row>
    <row r="12" spans="1:46">
      <c r="A12" s="2" t="s">
        <v>11</v>
      </c>
      <c r="B12" s="5">
        <f>Table1[[#This Row],[2 - Pre]]/Table1[[#This Row],[Rescale A_2]]</f>
        <v>13.060043668122271</v>
      </c>
      <c r="C12" s="5">
        <f>Table1[[#This Row],[10 - pre]]/Table1[[#This Row],[Rescale A_10]]</f>
        <v>85.137404580152676</v>
      </c>
      <c r="D12" s="5">
        <f>Table1[[#This Row],[2 - Post 5min]]/Table1[[#This Row],[Rescale A_2]]</f>
        <v>14.911572052401747</v>
      </c>
      <c r="E12" s="5">
        <f>Table1[[#This Row],[10 - Post 5min]]/Table1[[#This Row],[Rescale A_10]]</f>
        <v>126.68702290076337</v>
      </c>
      <c r="F12" s="5">
        <f>Table1[[#This Row],[2 - Post 10min]]/Table1[[#This Row],[Rescale A_2]]</f>
        <v>15.1353711790393</v>
      </c>
      <c r="G12" s="5">
        <f>Table1[[#This Row],[10 - Post 10min]]/Table1[[#This Row],[Rescale A_10]]</f>
        <v>132.04198473282443</v>
      </c>
      <c r="H12" s="5">
        <f>Table1[[#This Row],[2 - Post 15min]]/Table1[[#This Row],[Rescale A_2]]</f>
        <v>15.232532751091703</v>
      </c>
      <c r="I12" s="5">
        <f>Table1[[#This Row],[10 - Post 15min]]/Table1[[#This Row],[Rescale A_10]]</f>
        <v>135.2290076335878</v>
      </c>
      <c r="J12" s="5">
        <f>Table1[[#This Row],[2 - Post 20min]]/Table1[[#This Row],[Rescale A_2]]</f>
        <v>16.110262008733624</v>
      </c>
      <c r="K12" s="5">
        <f>Table1[[#This Row],[10 - Post 20min]]/Table1[[#This Row],[Rescale A_10]]</f>
        <v>141.60687022900763</v>
      </c>
      <c r="M12" s="6">
        <f>Table413[[#This Row],[2 - Pre]]*$N$27/(Table413[[#This Row],[10 - pre]]*$N$26)</f>
        <v>0.76326489569050726</v>
      </c>
      <c r="N12" s="6">
        <f>Table413[[#This Row],[2 - Post 5min]]*$N$27/(Table413[[#This Row],[10 - Post 5min]]*$N$26)</f>
        <v>0.58565568986221839</v>
      </c>
      <c r="O12" s="6">
        <f>Table413[[#This Row],[2 - Post 10min]]*$N$27/(Table413[[#This Row],[10 - Post 10min]]*$N$26)</f>
        <v>0.57033772445047881</v>
      </c>
      <c r="P12" s="6">
        <f>Table413[[#This Row],[2 - Post 15min]]*$N$27/(Table413[[#This Row],[10 - Post 15min]]*$N$26)</f>
        <v>0.56047123165450363</v>
      </c>
      <c r="Q12" s="6">
        <f>Table413[[#This Row],[2 - Post 20min]]*$N$27/(Table413[[#This Row],[10 - Post 20min]]*$N$26)</f>
        <v>0.56606896552460173</v>
      </c>
      <c r="R12" s="6">
        <f>-$N$29/LN((Table13[[#This Row],[G Pre]]-1)/(Table13[[#This Row],[G Pre]]*$O$26-$O$27))</f>
        <v>-2.5222166532319452</v>
      </c>
      <c r="S12" s="6">
        <f>-$N$29/LN((Table13[[#This Row],[G 5min]]-1)/(Table13[[#This Row],[G 5min]]*$O$26-$O$27))</f>
        <v>-4.4430511104524664</v>
      </c>
      <c r="T12" s="6">
        <f>-$N$29/LN((Table13[[#This Row],[G 10min]]-1)/(Table13[[#This Row],[G 10min]]*$O$26-$O$27))</f>
        <v>-4.6073880567360641</v>
      </c>
      <c r="U12" s="6">
        <f>-$N$29/LN((Table13[[#This Row],[G 15min]]-1)/(Table13[[#This Row],[G 15min]]*$O$26-$O$27))</f>
        <v>-4.7131295383449823</v>
      </c>
      <c r="V12" s="6">
        <f>-$N$29/LN((Table13[[#This Row],[G 20min]]-1)/(Table13[[#This Row],[G 20min]]*$O$26-$O$27))</f>
        <v>-4.6531478984516781</v>
      </c>
    </row>
    <row r="13" spans="1:46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A_2]]</f>
        <v>14.827852998065763</v>
      </c>
      <c r="E13" s="5">
        <f>Table1[[#This Row],[10 - Post 5min]]/Table1[[#This Row],[Rescale A_10]]</f>
        <v>80.359183673469374</v>
      </c>
      <c r="F13" s="5">
        <f>Table1[[#This Row],[2 - Post 10min]]/Table1[[#This Row],[Rescale A_2]]</f>
        <v>15.12862669245648</v>
      </c>
      <c r="G13" s="5">
        <f>Table1[[#This Row],[10 - Post 10min]]/Table1[[#This Row],[Rescale A_10]]</f>
        <v>76.789795918367332</v>
      </c>
      <c r="H13" s="5">
        <f>Table1[[#This Row],[2 - Post 15min]]/Table1[[#This Row],[Rescale A_2]]</f>
        <v>14.528046421663444</v>
      </c>
      <c r="I13" s="5">
        <f>Table1[[#This Row],[10 - Post 15min]]/Table1[[#This Row],[Rescale A_10]]</f>
        <v>79.689795918367338</v>
      </c>
      <c r="J13" s="5">
        <f>Table1[[#This Row],[2 - Post 20min]]/Table1[[#This Row],[Rescale A_2]]</f>
        <v>14.345261121856868</v>
      </c>
      <c r="K13" s="5">
        <f>Table1[[#This Row],[10 - Post 20min]]/Table1[[#This Row],[Rescale A_10]]</f>
        <v>81.159183673469386</v>
      </c>
      <c r="M13" s="6">
        <f>Table413[[#This Row],[2 - Pre]]*$N$27/(Table413[[#This Row],[10 - pre]]*$N$26)</f>
        <v>1.2363071881879082</v>
      </c>
      <c r="N13" s="6">
        <f>Table413[[#This Row],[2 - Post 5min]]*$N$27/(Table413[[#This Row],[10 - Post 5min]]*$N$26)</f>
        <v>0.91810810558540112</v>
      </c>
      <c r="O13" s="6">
        <f>Table413[[#This Row],[2 - Post 10min]]*$N$27/(Table413[[#This Row],[10 - Post 10min]]*$N$26)</f>
        <v>0.98027304153500328</v>
      </c>
      <c r="P13" s="6">
        <f>Table413[[#This Row],[2 - Post 15min]]*$N$27/(Table413[[#This Row],[10 - Post 15min]]*$N$26)</f>
        <v>0.90710084265197821</v>
      </c>
      <c r="Q13" s="6">
        <f>Table413[[#This Row],[2 - Post 20min]]*$N$27/(Table413[[#This Row],[10 - Post 20min]]*$N$26)</f>
        <v>0.87947166935549048</v>
      </c>
      <c r="R13" s="6">
        <f>-$N$29/LN((Table13[[#This Row],[G Pre]]-1)/(Table13[[#This Row],[G Pre]]*$O$26-$O$27))</f>
        <v>2.7314522927350668</v>
      </c>
      <c r="S13" s="6">
        <f>-$N$29/LN((Table13[[#This Row],[G 5min]]-1)/(Table13[[#This Row],[G 5min]]*$O$26-$O$27))</f>
        <v>-0.82296098429966091</v>
      </c>
      <c r="T13" s="6">
        <f>-$N$29/LN((Table13[[#This Row],[G 10min]]-1)/(Table13[[#This Row],[G 10min]]*$O$26-$O$27))</f>
        <v>-0.12031044052702607</v>
      </c>
      <c r="U13" s="6">
        <f>-$N$29/LN((Table13[[#This Row],[G 15min]]-1)/(Table13[[#This Row],[G 15min]]*$O$26-$O$27))</f>
        <v>-0.94469204933930118</v>
      </c>
      <c r="V13" s="6">
        <f>-$N$29/LN((Table13[[#This Row],[G 20min]]-1)/(Table13[[#This Row],[G 20min]]*$O$26-$O$27))</f>
        <v>-1.2494641118756387</v>
      </c>
    </row>
    <row r="14" spans="1:46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A_2]]</f>
        <v>15.558352402745994</v>
      </c>
      <c r="E14" s="5">
        <f>Table1[[#This Row],[10 - Post 5min]]/Table1[[#This Row],[Rescale A_10]]</f>
        <v>110.53095238095239</v>
      </c>
      <c r="F14" s="5">
        <f>Table1[[#This Row],[2 - Post 10min]]/Table1[[#This Row],[Rescale A_2]]</f>
        <v>15.83867276887872</v>
      </c>
      <c r="G14" s="5">
        <f>Table1[[#This Row],[10 - Post 10min]]/Table1[[#This Row],[Rescale A_10]]</f>
        <v>101.13571428571427</v>
      </c>
      <c r="H14" s="5">
        <f>Table1[[#This Row],[2 - Post 15min]]/Table1[[#This Row],[Rescale A_2]]</f>
        <v>16.022883295194507</v>
      </c>
      <c r="I14" s="5">
        <f>Table1[[#This Row],[10 - Post 15min]]/Table1[[#This Row],[Rescale A_10]]</f>
        <v>112.72142857142858</v>
      </c>
      <c r="J14" s="5">
        <f>Table1[[#This Row],[2 - Post 20min]]/Table1[[#This Row],[Rescale A_2]]</f>
        <v>15.131578947368421</v>
      </c>
      <c r="K14" s="5">
        <f>Table1[[#This Row],[10 - Post 20min]]/Table1[[#This Row],[Rescale A_10]]</f>
        <v>106.85</v>
      </c>
      <c r="M14" s="6">
        <f>Table413[[#This Row],[2 - Pre]]*$N$27/(Table413[[#This Row],[10 - pre]]*$N$26)</f>
        <v>1.0619232192284132</v>
      </c>
      <c r="N14" s="6">
        <f>Table413[[#This Row],[2 - Post 5min]]*$N$27/(Table413[[#This Row],[10 - Post 5min]]*$N$26)</f>
        <v>0.70037519794254921</v>
      </c>
      <c r="O14" s="6">
        <f>Table413[[#This Row],[2 - Post 10min]]*$N$27/(Table413[[#This Row],[10 - Post 10min]]*$N$26)</f>
        <v>0.77922935760261214</v>
      </c>
      <c r="P14" s="6">
        <f>Table413[[#This Row],[2 - Post 15min]]*$N$27/(Table413[[#This Row],[10 - Post 15min]]*$N$26)</f>
        <v>0.70727002320656618</v>
      </c>
      <c r="Q14" s="6">
        <f>Table413[[#This Row],[2 - Post 20min]]*$N$27/(Table413[[#This Row],[10 - Post 20min]]*$N$26)</f>
        <v>0.70462944532463212</v>
      </c>
      <c r="R14" s="6">
        <f>-$N$29/LN((Table13[[#This Row],[G Pre]]-1)/(Table13[[#This Row],[G Pre]]*$O$26-$O$27))</f>
        <v>0.767828532523677</v>
      </c>
      <c r="S14" s="6">
        <f>-$N$29/LN((Table13[[#This Row],[G 5min]]-1)/(Table13[[#This Row],[G 5min]]*$O$26-$O$27))</f>
        <v>-3.2056360650171656</v>
      </c>
      <c r="T14" s="6">
        <f>-$N$29/LN((Table13[[#This Row],[G 10min]]-1)/(Table13[[#This Row],[G 10min]]*$O$26-$O$27))</f>
        <v>-2.3481481700775264</v>
      </c>
      <c r="U14" s="6">
        <f>-$N$29/LN((Table13[[#This Row],[G 15min]]-1)/(Table13[[#This Row],[G 15min]]*$O$26-$O$27))</f>
        <v>-3.1308873890929005</v>
      </c>
      <c r="V14" s="6">
        <f>-$N$29/LN((Table13[[#This Row],[G 20min]]-1)/(Table13[[#This Row],[G 20min]]*$O$26-$O$27))</f>
        <v>-3.1595197285181276</v>
      </c>
    </row>
    <row r="15" spans="1:46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A_2]]</f>
        <v>12.701718907987866</v>
      </c>
      <c r="E15" s="5">
        <f>Table1[[#This Row],[10 - Post 5min]]/Table1[[#This Row],[Rescale A_10]]</f>
        <v>86.785992217898837</v>
      </c>
      <c r="F15" s="5">
        <f>Table1[[#This Row],[2 - Post 10min]]/Table1[[#This Row],[Rescale A_2]]</f>
        <v>12.747219413549038</v>
      </c>
      <c r="G15" s="5">
        <f>Table1[[#This Row],[10 - Post 10min]]/Table1[[#This Row],[Rescale A_10]]</f>
        <v>92.39883268482491</v>
      </c>
      <c r="H15" s="5">
        <f>Table1[[#This Row],[2 - Post 15min]]/Table1[[#This Row],[Rescale A_2]]</f>
        <v>12.467138523761374</v>
      </c>
      <c r="I15" s="5">
        <f>Table1[[#This Row],[10 - Post 15min]]/Table1[[#This Row],[Rescale A_10]]</f>
        <v>93.145914396887164</v>
      </c>
      <c r="J15" s="5">
        <f>Table1[[#This Row],[2 - Post 20min]]/Table1[[#This Row],[Rescale A_2]]</f>
        <v>11.964610717896864</v>
      </c>
      <c r="K15" s="5">
        <f>Table1[[#This Row],[10 - Post 20min]]/Table1[[#This Row],[Rescale A_10]]</f>
        <v>86.45525291828794</v>
      </c>
      <c r="M15" s="6">
        <f>Table413[[#This Row],[2 - Pre]]*$N$27/(Table413[[#This Row],[10 - pre]]*$N$26)</f>
        <v>0.97612846352329496</v>
      </c>
      <c r="N15" s="6">
        <f>Table413[[#This Row],[2 - Post 5min]]*$N$27/(Table413[[#This Row],[10 - Post 5min]]*$N$26)</f>
        <v>0.72822222707277784</v>
      </c>
      <c r="O15" s="6">
        <f>Table413[[#This Row],[2 - Post 10min]]*$N$27/(Table413[[#This Row],[10 - Post 10min]]*$N$26)</f>
        <v>0.68643598546659512</v>
      </c>
      <c r="P15" s="6">
        <f>Table413[[#This Row],[2 - Post 15min]]*$N$27/(Table413[[#This Row],[10 - Post 15min]]*$N$26)</f>
        <v>0.66596904120337241</v>
      </c>
      <c r="Q15" s="6">
        <f>Table413[[#This Row],[2 - Post 20min]]*$N$27/(Table413[[#This Row],[10 - Post 20min]]*$N$26)</f>
        <v>0.68858610276613363</v>
      </c>
      <c r="R15" s="6">
        <f>-$N$29/LN((Table13[[#This Row],[G Pre]]-1)/(Table13[[#This Row],[G Pre]]*$O$26-$O$27))</f>
        <v>-0.17134143476079591</v>
      </c>
      <c r="S15" s="6">
        <f>-$N$29/LN((Table13[[#This Row],[G 5min]]-1)/(Table13[[#This Row],[G 5min]]*$O$26-$O$27))</f>
        <v>-2.9034724287482621</v>
      </c>
      <c r="T15" s="6">
        <f>-$N$29/LN((Table13[[#This Row],[G 10min]]-1)/(Table13[[#This Row],[G 10min]]*$O$26-$O$27))</f>
        <v>-3.3566228290089271</v>
      </c>
      <c r="U15" s="6">
        <f>-$N$29/LN((Table13[[#This Row],[G 15min]]-1)/(Table13[[#This Row],[G 15min]]*$O$26-$O$27))</f>
        <v>-3.5779977554029143</v>
      </c>
      <c r="V15" s="6">
        <f>-$N$29/LN((Table13[[#This Row],[G 20min]]-1)/(Table13[[#This Row],[G 20min]]*$O$26-$O$27))</f>
        <v>-3.333344691312722</v>
      </c>
    </row>
    <row r="16" spans="1:46">
      <c r="A16" s="2" t="s">
        <v>15</v>
      </c>
      <c r="B16" s="5"/>
      <c r="C16" s="5"/>
      <c r="D16" s="5">
        <f>Table1[[#This Row],[2 - Post 5min]]/Table1[[#This Row],[Rescale A_2]]</f>
        <v>8.7730696798493408</v>
      </c>
      <c r="E16" s="5">
        <f>Table1[[#This Row],[10 - Post 5min]]/Table1[[#This Row],[Rescale A_10]]</f>
        <v>44.656514382402712</v>
      </c>
      <c r="F16" s="5">
        <f>Table1[[#This Row],[2 - Post 10min]]/Table1[[#This Row],[Rescale A_2]]</f>
        <v>8.4529190207156315</v>
      </c>
      <c r="G16" s="5">
        <f>Table1[[#This Row],[10 - Post 10min]]/Table1[[#This Row],[Rescale A_10]]</f>
        <v>46.573604060913702</v>
      </c>
      <c r="H16" s="5">
        <f>Table1[[#This Row],[2 - Post 15min]]/Table1[[#This Row],[Rescale A_2]]</f>
        <v>8.740112994350282</v>
      </c>
      <c r="I16" s="5">
        <f>Table1[[#This Row],[10 - Post 15min]]/Table1[[#This Row],[Rescale A_10]]</f>
        <v>46.260575296108286</v>
      </c>
      <c r="J16" s="5">
        <f>Table1[[#This Row],[2 - Post 20min]]/Table1[[#This Row],[Rescale A_2]]</f>
        <v>9.1977401129943512</v>
      </c>
      <c r="K16" s="5">
        <f>Table1[[#This Row],[10 - Post 20min]]/Table1[[#This Row],[Rescale A_10]]</f>
        <v>47.196277495769884</v>
      </c>
      <c r="M16" s="6" t="e">
        <f>Table413[[#This Row],[2 - Pre]]*$N$27/(Table413[[#This Row],[10 - pre]]*$N$26)</f>
        <v>#DIV/0!</v>
      </c>
      <c r="N16" s="6">
        <f>Table413[[#This Row],[2 - Post 5min]]*$N$27/(Table413[[#This Row],[10 - Post 5min]]*$N$26)</f>
        <v>0.97750237937814355</v>
      </c>
      <c r="O16" s="6">
        <f>Table413[[#This Row],[2 - Post 10min]]*$N$27/(Table413[[#This Row],[10 - Post 10min]]*$N$26)</f>
        <v>0.90306274822750299</v>
      </c>
      <c r="P16" s="6">
        <f>Table413[[#This Row],[2 - Post 15min]]*$N$27/(Table413[[#This Row],[10 - Post 15min]]*$N$26)</f>
        <v>0.94006326950608909</v>
      </c>
      <c r="Q16" s="6">
        <f>Table413[[#This Row],[2 - Post 20min]]*$N$27/(Table413[[#This Row],[10 - Post 20min]]*$N$26)</f>
        <v>0.96967110498855658</v>
      </c>
      <c r="R16" s="6" t="e">
        <f>-$N$29/LN((Table13[[#This Row],[G Pre]]-1)/(Table13[[#This Row],[G Pre]]*$O$26-$O$27))</f>
        <v>#DIV/0!</v>
      </c>
      <c r="S16" s="6">
        <f>-$N$29/LN((Table13[[#This Row],[G 5min]]-1)/(Table13[[#This Row],[G 5min]]*$O$26-$O$27))</f>
        <v>-0.15481055762693499</v>
      </c>
      <c r="T16" s="6">
        <f>-$N$29/LN((Table13[[#This Row],[G 10min]]-1)/(Table13[[#This Row],[G 10min]]*$O$26-$O$27))</f>
        <v>-0.98930092967184513</v>
      </c>
      <c r="U16" s="6">
        <f>-$N$29/LN((Table13[[#This Row],[G 15min]]-1)/(Table13[[#This Row],[G 15min]]*$O$26-$O$27))</f>
        <v>-0.57939067851012049</v>
      </c>
      <c r="V16" s="6">
        <f>-$N$29/LN((Table13[[#This Row],[G 20min]]-1)/(Table13[[#This Row],[G 20min]]*$O$26-$O$27))</f>
        <v>-0.24668800699944077</v>
      </c>
    </row>
    <row r="17" spans="1:22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A_2]]</f>
        <v>11.917708333333334</v>
      </c>
      <c r="E17" s="5">
        <f>Table1[[#This Row],[10 - Post 5min]]/Table1[[#This Row],[Rescale A_10]]</f>
        <v>63.21052631578948</v>
      </c>
      <c r="F17" s="5">
        <f>Table1[[#This Row],[2 - Post 10min]]/Table1[[#This Row],[Rescale A_2]]</f>
        <v>11.210416666666667</v>
      </c>
      <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12.401041666666666</v>
      </c>
      <c r="I17" s="5">
        <f>Table1[[#This Row],[10 - Post 15min]]/Table1[[#This Row],[Rescale A_10]]</f>
        <v>64.188455008488972</v>
      </c>
      <c r="J17" s="5">
        <f>Table1[[#This Row],[2 - Post 20min]]/Table1[[#This Row],[Rescale A_2]]</f>
        <v>11.597916666666668</v>
      </c>
      <c r="K17" s="5">
        <f>Table1[[#This Row],[10 - Post 20min]]/Table1[[#This Row],[Rescale A_10]]</f>
        <v>62.451612903225808</v>
      </c>
      <c r="M17" s="6">
        <f>Table413[[#This Row],[2 - Pre]]*$N$27/(Table413[[#This Row],[10 - pre]]*$N$26)</f>
        <v>1.5105493732650053</v>
      </c>
      <c r="N17" s="6">
        <f>Table413[[#This Row],[2 - Post 5min]]*$N$27/(Table413[[#This Row],[10 - Post 5min]]*$N$26)</f>
        <v>0.93811139709340163</v>
      </c>
      <c r="O17" s="6">
        <f>Table413[[#This Row],[2 - Post 10min]]*$N$27/(Table413[[#This Row],[10 - Post 10min]]*$N$26)</f>
        <v>0.91073874864307747</v>
      </c>
      <c r="P17" s="6">
        <f>Table413[[#This Row],[2 - Post 15min]]*$N$27/(Table413[[#This Row],[10 - Post 15min]]*$N$26)</f>
        <v>0.96128532033767611</v>
      </c>
      <c r="Q17" s="6">
        <f>Table413[[#This Row],[2 - Post 20min]]*$N$27/(Table413[[#This Row],[10 - Post 20min]]*$N$26)</f>
        <v>0.9240328073366556</v>
      </c>
      <c r="R17" s="6">
        <f>-$N$29/LN((Table13[[#This Row],[G Pre]]-1)/(Table13[[#This Row],[G Pre]]*$O$26-$O$27))</f>
        <v>5.8757962590103148</v>
      </c>
      <c r="S17" s="6">
        <f>-$N$29/LN((Table13[[#This Row],[G 5min]]-1)/(Table13[[#This Row],[G 5min]]*$O$26-$O$27))</f>
        <v>-0.60109946435904049</v>
      </c>
      <c r="T17" s="6">
        <f>-$N$29/LN((Table13[[#This Row],[G 10min]]-1)/(Table13[[#This Row],[G 10min]]*$O$26-$O$27))</f>
        <v>-0.90448239902328387</v>
      </c>
      <c r="U17" s="6">
        <f>-$N$29/LN((Table13[[#This Row],[G 15min]]-1)/(Table13[[#This Row],[G 15min]]*$O$26-$O$27))</f>
        <v>-0.34200721977918763</v>
      </c>
      <c r="V17" s="6">
        <f>-$N$29/LN((Table13[[#This Row],[G 20min]]-1)/(Table13[[#This Row],[G 20min]]*$O$26-$O$27))</f>
        <v>-0.75734695717488032</v>
      </c>
    </row>
    <row r="18" spans="1:22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A_2]]</f>
        <v>9.6334431630971995</v>
      </c>
      <c r="E18" s="5">
        <f>Table1[[#This Row],[10 - Post 5min]]/Table1[[#This Row],[Rescale A_10]]</f>
        <v>42.314285714285717</v>
      </c>
      <c r="F18" s="5">
        <f>Table1[[#This Row],[2 - Post 10min]]/Table1[[#This Row],[Rescale A_2]]</f>
        <v>10.16968698517298</v>
      </c>
      <c r="G18" s="5">
        <f>Table1[[#This Row],[10 - Post 10min]]/Table1[[#This Row],[Rescale A_10]]</f>
        <v>46.28027210884354</v>
      </c>
      <c r="H18" s="5">
        <f>Table1[[#This Row],[2 - Post 15min]]/Table1[[#This Row],[Rescale A_2]]</f>
        <v>9.2792421746293243</v>
      </c>
      <c r="I18" s="5">
        <f>Table1[[#This Row],[10 - Post 15min]]/Table1[[#This Row],[Rescale A_10]]</f>
        <v>45.814965986394562</v>
      </c>
      <c r="J18" s="5">
        <f>Table1[[#This Row],[2 - Post 20min]]/Table1[[#This Row],[Rescale A_2]]</f>
        <v>9.4827018121911042</v>
      </c>
      <c r="K18" s="5">
        <f>Table1[[#This Row],[10 - Post 20min]]/Table1[[#This Row],[Rescale A_10]]</f>
        <v>47.855782312925172</v>
      </c>
      <c r="M18" s="6">
        <f>Table413[[#This Row],[2 - Pre]]*$N$27/(Table413[[#This Row],[10 - pre]]*$N$26)</f>
        <v>1.5694549972273848</v>
      </c>
      <c r="N18" s="6">
        <f>Table413[[#This Row],[2 - Post 5min]]*$N$27/(Table413[[#This Row],[10 - Post 5min]]*$N$26)</f>
        <v>1.1327800487784823</v>
      </c>
      <c r="O18" s="6">
        <f>Table413[[#This Row],[2 - Post 10min]]*$N$27/(Table413[[#This Row],[10 - Post 10min]]*$N$26)</f>
        <v>1.0933589094896103</v>
      </c>
      <c r="P18" s="6">
        <f>Table413[[#This Row],[2 - Post 15min]]*$N$27/(Table413[[#This Row],[10 - Post 15min]]*$N$26)</f>
        <v>1.0077578898079143</v>
      </c>
      <c r="Q18" s="6">
        <f>Table413[[#This Row],[2 - Post 20min]]*$N$27/(Table413[[#This Row],[10 - Post 20min]]*$N$26)</f>
        <v>0.98593603544163821</v>
      </c>
      <c r="R18" s="6">
        <f>-$N$29/LN((Table13[[#This Row],[G Pre]]-1)/(Table13[[#This Row],[G Pre]]*$O$26-$O$27))</f>
        <v>6.5607565654040521</v>
      </c>
      <c r="S18" s="6">
        <f>-$N$29/LN((Table13[[#This Row],[G 5min]]-1)/(Table13[[#This Row],[G 5min]]*$O$26-$O$27))</f>
        <v>1.5628507169179926</v>
      </c>
      <c r="T18" s="6">
        <f>-$N$29/LN((Table13[[#This Row],[G 10min]]-1)/(Table13[[#This Row],[G 10min]]*$O$26-$O$27))</f>
        <v>1.1202113004601639</v>
      </c>
      <c r="U18" s="6">
        <f>-$N$29/LN((Table13[[#This Row],[G 15min]]-1)/(Table13[[#This Row],[G 15min]]*$O$26-$O$27))</f>
        <v>0.15319148747147746</v>
      </c>
      <c r="V18" s="6" t="e">
        <f>-$N$29/LN((Table13[[#This Row],[G 20min]]-1)/(Table13[[#This Row],[G 20min]]*$O$26-$O$27))</f>
        <v>#NUM!</v>
      </c>
    </row>
    <row r="19" spans="1:22">
      <c r="A19" s="2" t="s">
        <v>18</v>
      </c>
      <c r="B19" s="5">
        <f>Table1[[#This Row],[2 - Pre]]/Table1[[#This Row],[Rescale A_2]]</f>
        <v>22.092086330935249</v>
      </c>
      <c r="C19" s="5">
        <f>Table1[[#This Row],[10 - pre]]/Table1[[#This Row],[Rescale A_10]]</f>
        <v>260.4292929292929</v>
      </c>
      <c r="D19" s="5">
        <f>Table1[[#This Row],[2 - Post 5min]]/Table1[[#This Row],[Rescale A_2]]</f>
        <v>23.004316546762588</v>
      </c>
      <c r="E19" s="5">
        <f>Table1[[#This Row],[10 - Post 5min]]/Table1[[#This Row],[Rescale A_10]]</f>
        <v>279.47979797979798</v>
      </c>
      <c r="F19" s="5">
        <f>Table1[[#This Row],[2 - Post 10min]]/Table1[[#This Row],[Rescale A_2]]</f>
        <v>23.194244604316545</v>
      </c>
      <c r="G19" s="5">
        <f>Table1[[#This Row],[10 - Post 10min]]/Table1[[#This Row],[Rescale A_10]]</f>
        <v>297.28282828282829</v>
      </c>
      <c r="H19" s="5">
        <f>Table1[[#This Row],[2 - Post 15min]]/Table1[[#This Row],[Rescale A_2]]</f>
        <v>23.389928057553956</v>
      </c>
      <c r="I19" s="5">
        <f>Table1[[#This Row],[10 - Post 15min]]/Table1[[#This Row],[Rescale A_10]]</f>
        <v>287.99494949494948</v>
      </c>
      <c r="J19" s="5">
        <f>Table1[[#This Row],[2 - Post 20min]]/Table1[[#This Row],[Rescale A_2]]</f>
        <v>24.289208633093526</v>
      </c>
      <c r="K19" s="5">
        <f>Table1[[#This Row],[10 - Post 20min]]/Table1[[#This Row],[Rescale A_10]]</f>
        <v>295.5858585858586</v>
      </c>
      <c r="M19" s="6">
        <f>Table413[[#This Row],[2 - Pre]]*$N$27/(Table413[[#This Row],[10 - pre]]*$N$26)</f>
        <v>0.42208310233960139</v>
      </c>
      <c r="N19" s="6">
        <f>Table413[[#This Row],[2 - Post 5min]]*$N$27/(Table413[[#This Row],[10 - Post 5min]]*$N$26)</f>
        <v>0.40955287641111088</v>
      </c>
      <c r="O19" s="6">
        <f>Table413[[#This Row],[2 - Post 10min]]*$N$27/(Table413[[#This Row],[10 - Post 10min]]*$N$26)</f>
        <v>0.38820531300715272</v>
      </c>
      <c r="P19" s="6">
        <f>Table413[[#This Row],[2 - Post 15min]]*$N$27/(Table413[[#This Row],[10 - Post 15min]]*$N$26)</f>
        <v>0.40410579688818532</v>
      </c>
      <c r="Q19" s="6">
        <f>Table413[[#This Row],[2 - Post 20min]]*$N$27/(Table413[[#This Row],[10 - Post 20min]]*$N$26)</f>
        <v>0.40886579399727074</v>
      </c>
      <c r="R19" s="6">
        <f>-$N$29/LN((Table13[[#This Row],[G Pre]]-1)/(Table13[[#This Row],[G Pre]]*$O$26-$O$27))</f>
        <v>-6.1872606335067966</v>
      </c>
      <c r="S19" s="6">
        <f>-$N$29/LN((Table13[[#This Row],[G 5min]]-1)/(Table13[[#This Row],[G 5min]]*$O$26-$O$27))</f>
        <v>-6.3199107504976002</v>
      </c>
      <c r="T19" s="6">
        <f>-$N$29/LN((Table13[[#This Row],[G 10min]]-1)/(Table13[[#This Row],[G 10min]]*$O$26-$O$27))</f>
        <v>-6.5455922828312376</v>
      </c>
      <c r="U19" s="6">
        <f>-$N$29/LN((Table13[[#This Row],[G 15min]]-1)/(Table13[[#This Row],[G 15min]]*$O$26-$O$27))</f>
        <v>-6.3775334226100382</v>
      </c>
      <c r="V19" s="6">
        <f>-$N$29/LN((Table13[[#This Row],[G 20min]]-1)/(Table13[[#This Row],[G 20min]]*$O$26-$O$27))</f>
        <v>-6.3271805588693839</v>
      </c>
    </row>
    <row r="20" spans="1:22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A_2]]</f>
        <v>19.869837296620773</v>
      </c>
      <c r="E20" s="5">
        <f>Table1[[#This Row],[10 - Post 5min]]/Table1[[#This Row],[Rescale A_10]]</f>
        <v>96.206611570247929</v>
      </c>
      <c r="F20" s="5">
        <f>Table1[[#This Row],[2 - Post 10min]]/Table1[[#This Row],[Rescale A_2]]</f>
        <v>19.511889862327909</v>
      </c>
      <c r="G20" s="5">
        <f>Table1[[#This Row],[10 - Post 10min]]/Table1[[#This Row],[Rescale A_10]]</f>
        <v>100.22933884297521</v>
      </c>
      <c r="H20" s="5">
        <f>Table1[[#This Row],[2 - Post 15min]]/Table1[[#This Row],[Rescale A_2]]</f>
        <v>19.853566958698373</v>
      </c>
      <c r="I20" s="5">
        <f>Table1[[#This Row],[10 - Post 15min]]/Table1[[#This Row],[Rescale A_10]]</f>
        <v>101.89049586776859</v>
      </c>
      <c r="J20" s="5">
        <f>Table1[[#This Row],[2 - Post 20min]]/Table1[[#This Row],[Rescale A_2]]</f>
        <v>20.430538172715895</v>
      </c>
      <c r="K20" s="5">
        <f>Table1[[#This Row],[10 - Post 20min]]/Table1[[#This Row],[Rescale A_10]]</f>
        <v>102.20247933884298</v>
      </c>
      <c r="M20" s="6">
        <f>Table413[[#This Row],[2 - Pre]]*$N$27/(Table413[[#This Row],[10 - pre]]*$N$26)</f>
        <v>1.3738618619733964</v>
      </c>
      <c r="N20" s="6">
        <f>Table413[[#This Row],[2 - Post 5min]]*$N$27/(Table413[[#This Row],[10 - Post 5min]]*$N$26)</f>
        <v>1.0276387166961025</v>
      </c>
      <c r="O20" s="6">
        <f>Table413[[#This Row],[2 - Post 10min]]*$N$27/(Table413[[#This Row],[10 - Post 10min]]*$N$26)</f>
        <v>0.96862469337378576</v>
      </c>
      <c r="P20" s="6">
        <f>Table413[[#This Row],[2 - Post 15min]]*$N$27/(Table413[[#This Row],[10 - Post 15min]]*$N$26)</f>
        <v>0.9695181309294052</v>
      </c>
      <c r="Q20" s="6">
        <f>Table413[[#This Row],[2 - Post 20min]]*$N$27/(Table413[[#This Row],[10 - Post 20min]]*$N$26)</f>
        <v>0.99464806340073042</v>
      </c>
      <c r="R20" s="6">
        <f>-$N$29/LN((Table13[[#This Row],[G Pre]]-1)/(Table13[[#This Row],[G Pre]]*$O$26-$O$27))</f>
        <v>4.2995258386704629</v>
      </c>
      <c r="S20" s="6">
        <f>-$N$29/LN((Table13[[#This Row],[G 5min]]-1)/(Table13[[#This Row],[G 5min]]*$O$26-$O$27))</f>
        <v>0.38268918457866852</v>
      </c>
      <c r="T20" s="6">
        <f>-$N$29/LN((Table13[[#This Row],[G 10min]]-1)/(Table13[[#This Row],[G 10min]]*$O$26-$O$27))</f>
        <v>-0.2586852836048521</v>
      </c>
      <c r="U20" s="6">
        <f>-$N$29/LN((Table13[[#This Row],[G 15min]]-1)/(Table13[[#This Row],[G 15min]]*$O$26-$O$27))</f>
        <v>-0.24844440761248687</v>
      </c>
      <c r="V20" s="6" t="e">
        <f>-$N$29/LN((Table13[[#This Row],[G 20min]]-1)/(Table13[[#This Row],[G 20min]]*$O$26-$O$27))</f>
        <v>#NUM!</v>
      </c>
    </row>
    <row r="21" spans="1:22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A_2]]</f>
        <v>7.2260034904013954</v>
      </c>
      <c r="E21" s="5">
        <f>Table1[[#This Row],[10 - Post 5min]]/Table1[[#This Row],[Rescale A_10]]</f>
        <v>30.327559055118115</v>
      </c>
      <c r="F21" s="5">
        <f>Table1[[#This Row],[2 - Post 10min]]/Table1[[#This Row],[Rescale A_2]]</f>
        <v>9.3507853403141343</v>
      </c>
      <c r="G21" s="5">
        <f>Table1[[#This Row],[10 - Post 10min]]/Table1[[#This Row],[Rescale A_10]]</f>
        <v>54.140157480314969</v>
      </c>
      <c r="H21" s="5">
        <f>Table1[[#This Row],[2 - Post 15min]]/Table1[[#This Row],[Rescale A_2]]</f>
        <v>9.4171029668411865</v>
      </c>
      <c r="I21" s="5">
        <f>Table1[[#This Row],[10 - Post 15min]]/Table1[[#This Row],[Rescale A_10]]</f>
        <v>58.485039370078745</v>
      </c>
      <c r="J21" s="5">
        <f>Table1[[#This Row],[2 - Post 20min]]/Table1[[#This Row],[Rescale A_2]]</f>
        <v>9.6108202443280977</v>
      </c>
      <c r="K21" s="5">
        <f>Table1[[#This Row],[10 - Post 20min]]/Table1[[#This Row],[Rescale A_10]]</f>
        <v>59.215748031496062</v>
      </c>
      <c r="M21" s="6">
        <f>Table413[[#This Row],[2 - Pre]]*$N$27/(Table413[[#This Row],[10 - pre]]*$N$26)</f>
        <v>1.1528870038881018</v>
      </c>
      <c r="N21" s="6">
        <f>Table413[[#This Row],[2 - Post 5min]]*$N$27/(Table413[[#This Row],[10 - Post 5min]]*$N$26)</f>
        <v>1.1855278918270173</v>
      </c>
      <c r="O21" s="6">
        <f>Table413[[#This Row],[2 - Post 10min]]*$N$27/(Table413[[#This Row],[10 - Post 10min]]*$N$26)</f>
        <v>0.85936891173540597</v>
      </c>
      <c r="P21" s="6">
        <f>Table413[[#This Row],[2 - Post 15min]]*$N$27/(Table413[[#This Row],[10 - Post 15min]]*$N$26)</f>
        <v>0.80116800744898897</v>
      </c>
      <c r="Q21" s="6">
        <f>Table413[[#This Row],[2 - Post 20min]]*$N$27/(Table413[[#This Row],[10 - Post 20min]]*$N$26)</f>
        <v>0.80755907300439089</v>
      </c>
      <c r="R21" s="6">
        <f>-$N$29/LN((Table13[[#This Row],[G Pre]]-1)/(Table13[[#This Row],[G Pre]]*$O$26-$O$27))</f>
        <v>1.7890805986638842</v>
      </c>
      <c r="S21" s="6">
        <f>-$N$29/LN((Table13[[#This Row],[G 5min]]-1)/(Table13[[#This Row],[G 5min]]*$O$26-$O$27))</f>
        <v>2.1570700726473273</v>
      </c>
      <c r="T21" s="6">
        <f>-$N$29/LN((Table13[[#This Row],[G 10min]]-1)/(Table13[[#This Row],[G 10min]]*$O$26-$O$27))</f>
        <v>-1.4706276373867542</v>
      </c>
      <c r="U21" s="6">
        <f>-$N$29/LN((Table13[[#This Row],[G 15min]]-1)/(Table13[[#This Row],[G 15min]]*$O$26-$O$27))</f>
        <v>-2.1085471620444682</v>
      </c>
      <c r="V21" s="6">
        <f>-$N$29/LN((Table13[[#This Row],[G 20min]]-1)/(Table13[[#This Row],[G 20min]]*$O$26-$O$27))</f>
        <v>-2.0386610813912238</v>
      </c>
    </row>
    <row r="22" spans="1:22">
      <c r="A22" s="2" t="s">
        <v>21</v>
      </c>
      <c r="B22" s="5">
        <f>Table1[[#This Row],[2 - Pre]]/Table1[[#This Row],[Rescale A_2]]</f>
        <v>13.556662515566627</v>
      </c>
      <c r="C22" s="5">
        <f>Table1[[#This Row],[10 - pre]]/Table1[[#This Row],[Rescale A_10]]</f>
        <v>81.976676384839649</v>
      </c>
      <c r="D22" s="5">
        <f>Table1[[#This Row],[2 - Post 5min]]/Table1[[#This Row],[Rescale A_2]]</f>
        <v>19.330012453300125</v>
      </c>
      <c r="E22" s="5">
        <f>Table1[[#This Row],[10 - Post 5min]]/Table1[[#This Row],[Rescale A_10]]</f>
        <v>134.28571428571428</v>
      </c>
      <c r="F22" s="5">
        <f>Table1[[#This Row],[2 - Post 10min]]/Table1[[#This Row],[Rescale A_2]]</f>
        <v>19.408468244084684</v>
      </c>
      <c r="G22" s="5">
        <f>Table1[[#This Row],[10 - Post 10min]]/Table1[[#This Row],[Rescale A_10]]</f>
        <v>103.59766763848395</v>
      </c>
      <c r="H22" s="5">
        <f>Table1[[#This Row],[2 - Post 15min]]/Table1[[#This Row],[Rescale A_2]]</f>
        <v>21.077210460772108</v>
      </c>
      <c r="I22" s="5">
        <f>Table1[[#This Row],[10 - Post 15min]]/Table1[[#This Row],[Rescale A_10]]</f>
        <v>155.94169096209913</v>
      </c>
      <c r="J22" s="5">
        <f>Table1[[#This Row],[2 - Post 20min]]/Table1[[#This Row],[Rescale A_2]]</f>
        <v>19.963885429638857</v>
      </c>
      <c r="K22" s="5">
        <f>Table1[[#This Row],[10 - Post 20min]]/Table1[[#This Row],[Rescale A_10]]</f>
        <v>148.58309037900872</v>
      </c>
      <c r="M22" s="6">
        <f>Table413[[#This Row],[2 - Pre]]*$N$27/(Table413[[#This Row],[10 - pre]]*$N$26)</f>
        <v>0.82283649252523594</v>
      </c>
      <c r="N22" s="6">
        <f>Table413[[#This Row],[2 - Post 5min]]*$N$27/(Table413[[#This Row],[10 - Post 5min]]*$N$26)</f>
        <v>0.71623144871089139</v>
      </c>
      <c r="O22" s="6">
        <f>Table413[[#This Row],[2 - Post 10min]]*$N$27/(Table413[[#This Row],[10 - Post 10min]]*$N$26)</f>
        <v>0.93216404922837848</v>
      </c>
      <c r="P22" s="6">
        <f>Table413[[#This Row],[2 - Post 15min]]*$N$27/(Table413[[#This Row],[10 - Post 15min]]*$N$26)</f>
        <v>0.67251497453628972</v>
      </c>
      <c r="Q22" s="6">
        <f>Table413[[#This Row],[2 - Post 20min]]*$N$27/(Table413[[#This Row],[10 - Post 20min]]*$N$26)</f>
        <v>0.66853900084092277</v>
      </c>
      <c r="R22" s="6">
        <f>-$N$29/LN((Table13[[#This Row],[G Pre]]-1)/(Table13[[#This Row],[G Pre]]*$O$26-$O$27))</f>
        <v>-1.8714421488718875</v>
      </c>
      <c r="S22" s="6">
        <f>-$N$29/LN((Table13[[#This Row],[G 5min]]-1)/(Table13[[#This Row],[G 5min]]*$O$26-$O$27))</f>
        <v>-3.0336693408316258</v>
      </c>
      <c r="T22" s="6">
        <f>-$N$29/LN((Table13[[#This Row],[G 10min]]-1)/(Table13[[#This Row],[G 10min]]*$O$26-$O$27))</f>
        <v>-0.66716973858460538</v>
      </c>
      <c r="U22" s="6">
        <f>-$N$29/LN((Table13[[#This Row],[G 15min]]-1)/(Table13[[#This Row],[G 15min]]*$O$26-$O$27))</f>
        <v>-3.5072366853081554</v>
      </c>
      <c r="V22" s="6">
        <f>-$N$29/LN((Table13[[#This Row],[G 20min]]-1)/(Table13[[#This Row],[G 20min]]*$O$26-$O$27))</f>
        <v>-3.5502212856090787</v>
      </c>
    </row>
    <row r="23" spans="1:22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A_2]]</f>
        <v>11.476744186046512</v>
      </c>
      <c r="E23" s="5">
        <f>Table1[[#This Row],[10 - Post 5min]]/Table1[[#This Row],[Rescale A_10]]</f>
        <v>62.104906937394247</v>
      </c>
      <c r="F23" s="5">
        <f>Table1[[#This Row],[2 - Post 10min]]/Table1[[#This Row],[Rescale A_2]]</f>
        <v>11.1734496124031</v>
      </c>
      <c r="G23" s="5">
        <f>Table1[[#This Row],[10 - Post 10min]]/Table1[[#This Row],[Rescale A_10]]</f>
        <v>62.90862944162437</v>
      </c>
      <c r="H23" s="5">
        <f>Table1[[#This Row],[2 - Post 15min]]/Table1[[#This Row],[Rescale A_2]]</f>
        <v>11.696705426356589</v>
      </c>
      <c r="I23" s="5">
        <f>Table1[[#This Row],[10 - Post 15min]]/Table1[[#This Row],[Rescale A_10]]</f>
        <v>65.241962774957699</v>
      </c>
      <c r="J23" s="5">
        <f>Table1[[#This Row],[2 - Post 20min]]/Table1[[#This Row],[Rescale A_2]]</f>
        <v>11.876937984496124</v>
      </c>
      <c r="K23" s="5">
        <f>Table1[[#This Row],[10 - Post 20min]]/Table1[[#This Row],[Rescale A_10]]</f>
        <v>67.282571912013537</v>
      </c>
      <c r="M23" s="6">
        <f>Table413[[#This Row],[2 - Pre]]*$N$27/(Table413[[#This Row],[10 - pre]]*$N$26)</f>
        <v>1.3380704444072569</v>
      </c>
      <c r="N23" s="6">
        <f>Table413[[#This Row],[2 - Post 5min]]*$N$27/(Table413[[#This Row],[10 - Post 5min]]*$N$26)</f>
        <v>0.91948331349699941</v>
      </c>
      <c r="O23" s="6">
        <f>Table413[[#This Row],[2 - Post 10min]]*$N$27/(Table413[[#This Row],[10 - Post 10min]]*$N$26)</f>
        <v>0.88374733554081852</v>
      </c>
      <c r="P23" s="6">
        <f>Table413[[#This Row],[2 - Post 15min]]*$N$27/(Table413[[#This Row],[10 - Post 15min]]*$N$26)</f>
        <v>0.89204671988676798</v>
      </c>
      <c r="Q23" s="6">
        <f>Table413[[#This Row],[2 - Post 20min]]*$N$27/(Table413[[#This Row],[10 - Post 20min]]*$N$26)</f>
        <v>0.87832040165935688</v>
      </c>
      <c r="R23" s="6">
        <f>-$N$29/LN((Table13[[#This Row],[G Pre]]-1)/(Table13[[#This Row],[G Pre]]*$O$26-$O$27))</f>
        <v>3.8897800838098955</v>
      </c>
      <c r="S23" s="6">
        <f>-$N$29/LN((Table13[[#This Row],[G 5min]]-1)/(Table13[[#This Row],[G 5min]]*$O$26-$O$27))</f>
        <v>-0.8077372463342255</v>
      </c>
      <c r="T23" s="6">
        <f>-$N$29/LN((Table13[[#This Row],[G 10min]]-1)/(Table13[[#This Row],[G 10min]]*$O$26-$O$27))</f>
        <v>-1.2023645505387202</v>
      </c>
      <c r="U23" s="6">
        <f>-$N$29/LN((Table13[[#This Row],[G 15min]]-1)/(Table13[[#This Row],[G 15min]]*$O$26-$O$27))</f>
        <v>-1.1108764007328664</v>
      </c>
      <c r="V23" s="6">
        <f>-$N$29/LN((Table13[[#This Row],[G 20min]]-1)/(Table13[[#This Row],[G 20min]]*$O$26-$O$27))</f>
        <v>-1.2621424254374329</v>
      </c>
    </row>
    <row r="24" spans="1:22">
      <c r="M24" s="12"/>
      <c r="N24" s="12"/>
      <c r="O24" s="12"/>
      <c r="P24" s="12"/>
      <c r="Q24" s="12"/>
    </row>
    <row r="25" spans="1:22">
      <c r="M25" s="2" t="s">
        <v>32</v>
      </c>
      <c r="N25" s="2" t="s">
        <v>33</v>
      </c>
      <c r="O25" s="2" t="s">
        <v>34</v>
      </c>
      <c r="P25" s="2" t="s">
        <v>35</v>
      </c>
    </row>
    <row r="26" spans="1:22">
      <c r="M26" s="2">
        <v>2</v>
      </c>
      <c r="N26" s="2">
        <f>SIN(M26*PI()/180)</f>
        <v>3.4899496702500969E-2</v>
      </c>
      <c r="O26" s="2">
        <f>COS(M26*PI()/180)</f>
        <v>0.99939082701909576</v>
      </c>
      <c r="P26" s="2">
        <f>TAN(M26*PI()/180)/2</f>
        <v>1.7460384745873865E-2</v>
      </c>
    </row>
    <row r="27" spans="1:22">
      <c r="M27" s="2">
        <v>10</v>
      </c>
      <c r="N27" s="2">
        <f>SIN(M27*PI()/180)</f>
        <v>0.17364817766693033</v>
      </c>
      <c r="O27" s="2">
        <f>COS(M27*PI()/180)</f>
        <v>0.98480775301220802</v>
      </c>
      <c r="P27" s="2">
        <f>TAN(M27*PI()/180)/2</f>
        <v>8.8163490354232488E-2</v>
      </c>
    </row>
    <row r="28" spans="1:22">
      <c r="M28" s="2"/>
      <c r="N28" s="2"/>
      <c r="O28" s="2"/>
      <c r="P28" s="2"/>
    </row>
    <row r="29" spans="1:22">
      <c r="M29" s="2" t="s">
        <v>29</v>
      </c>
      <c r="N29" s="2">
        <v>0.16200000000000001</v>
      </c>
      <c r="O29" s="2"/>
      <c r="P29" s="2"/>
    </row>
    <row r="30" spans="1:22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M30" s="1" t="s">
        <v>49</v>
      </c>
      <c r="N30" s="1" t="s">
        <v>50</v>
      </c>
      <c r="O30" s="1" t="s">
        <v>51</v>
      </c>
      <c r="P30" s="1" t="s">
        <v>52</v>
      </c>
      <c r="Q30" s="1" t="s">
        <v>53</v>
      </c>
      <c r="R30" s="1" t="s">
        <v>54</v>
      </c>
      <c r="S30" s="1" t="s">
        <v>55</v>
      </c>
      <c r="T30" s="1" t="s">
        <v>56</v>
      </c>
      <c r="U30" s="1" t="s">
        <v>57</v>
      </c>
      <c r="V30" s="1" t="s">
        <v>58</v>
      </c>
    </row>
    <row r="31" spans="1:22">
      <c r="A31" s="2" t="s">
        <v>1</v>
      </c>
      <c r="B31" s="5">
        <f t="shared" ref="B31:J52" si="0">B2/B2</f>
        <v>1</v>
      </c>
      <c r="C31" s="5">
        <f t="shared" ref="C31:K52" si="1">C2/B2</f>
        <v>11.556044890791352</v>
      </c>
      <c r="D31" s="5">
        <f t="shared" si="0"/>
        <v>1</v>
      </c>
      <c r="E31" s="5">
        <f t="shared" si="1"/>
        <v>9.7378586287788274</v>
      </c>
      <c r="F31" s="5">
        <f t="shared" si="0"/>
        <v>1</v>
      </c>
      <c r="G31" s="5">
        <f t="shared" si="1"/>
        <v>10.092994204078968</v>
      </c>
      <c r="H31" s="5">
        <f t="shared" si="0"/>
        <v>1</v>
      </c>
      <c r="I31" s="5">
        <f t="shared" si="1"/>
        <v>17.306257653578133</v>
      </c>
      <c r="J31" s="5">
        <f t="shared" si="0"/>
        <v>1</v>
      </c>
      <c r="K31" s="5">
        <f t="shared" si="1"/>
        <v>10.276831785345719</v>
      </c>
      <c r="M31" s="6">
        <f>Table41316[[#This Row],[2 - Pre]]*$N$27/(Table41316[[#This Row],[10 - pre]]*$N$26)</f>
        <v>0.43056809531501034</v>
      </c>
      <c r="N31" s="6">
        <f>Table41316[[#This Row],[2 - Post 5min]]*$N$27/(Table41316[[#This Row],[10 - Post 5min]]*$N$26)</f>
        <v>0.51096082082131855</v>
      </c>
      <c r="O31" s="6">
        <f>Table41316[[#This Row],[2 - Post 10min]]*$N$27/(Table41316[[#This Row],[10 - Post 10min]]*$N$26)</f>
        <v>0.49298197714132558</v>
      </c>
      <c r="P31" s="6">
        <f>Table41316[[#This Row],[2 - Post 15min]]*$N$27/(Table41316[[#This Row],[10 - Post 15min]]*$N$26)</f>
        <v>0.28750665439064765</v>
      </c>
      <c r="Q31" s="6">
        <f>Table41316[[#This Row],[2 - Post 20min]]*$N$27/(Table41316[[#This Row],[10 - Post 20min]]*$N$26)</f>
        <v>0.48416324621541956</v>
      </c>
      <c r="R31" s="6">
        <f>-$N$29/LN((Table1317[[#This Row],[G Pre]]-1)/(Table1317[[#This Row],[G Pre]]*$O$26-$O$27))</f>
        <v>-6.0973578078776693</v>
      </c>
      <c r="S31" s="6">
        <f>-$N$29/LN((Table1317[[#This Row],[G 5min]]-1)/(Table1317[[#This Row],[G 5min]]*$O$26-$O$27))</f>
        <v>-5.2424478358434596</v>
      </c>
      <c r="T31" s="6">
        <f>-$N$29/LN((Table1317[[#This Row],[G 10min]]-1)/(Table1317[[#This Row],[G 10min]]*$O$26-$O$27))</f>
        <v>-5.4341276610674178</v>
      </c>
      <c r="U31" s="6">
        <f>-$N$29/LN((Table1317[[#This Row],[G 15min]]-1)/(Table1317[[#This Row],[G 15min]]*$O$26-$O$27))</f>
        <v>-7.604875408455726</v>
      </c>
      <c r="V31" s="6">
        <f>-$N$29/LN((Table1317[[#This Row],[G 20min]]-1)/(Table1317[[#This Row],[G 20min]]*$O$26-$O$27))</f>
        <v>-5.5280443688378993</v>
      </c>
    </row>
    <row r="32" spans="1:22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ref="D32" si="2">D3/D3</f>
        <v>1</v>
      </c>
      <c r="E32" s="5">
        <f t="shared" ref="E32:K32" si="3">E3/D3</f>
        <v>5.3868299296482975</v>
      </c>
      <c r="F32" s="5">
        <f t="shared" ref="F32:K32" si="4">F3/F3</f>
        <v>1</v>
      </c>
      <c r="G32" s="5">
        <f t="shared" ref="G32:K32" si="5">G3/F3</f>
        <v>5.6505875427415306</v>
      </c>
      <c r="H32" s="5">
        <f t="shared" ref="H32:K32" si="6">H3/H3</f>
        <v>1</v>
      </c>
      <c r="I32" s="5">
        <f t="shared" ref="I32:K32" si="7">I3/H3</f>
        <v>5.8437022870048976</v>
      </c>
      <c r="J32" s="5">
        <f t="shared" ref="J32:K32" si="8">J3/J3</f>
        <v>1</v>
      </c>
      <c r="K32" s="5">
        <f t="shared" ref="K32" si="9">K3/J3</f>
        <v>5.6297677430200777</v>
      </c>
      <c r="M32" s="6">
        <f>Table41316[[#This Row],[2 - Pre]]*$N$27/(Table41316[[#This Row],[10 - pre]]*$N$26)</f>
        <v>1.3008056773482592</v>
      </c>
      <c r="N32" s="6">
        <f>Table41316[[#This Row],[2 - Post 5min]]*$N$27/(Table41316[[#This Row],[10 - Post 5min]]*$N$26)</f>
        <v>0.92367204886448795</v>
      </c>
      <c r="O32" s="6">
        <f>Table41316[[#This Row],[2 - Post 10min]]*$N$27/(Table41316[[#This Row],[10 - Post 10min]]*$N$26)</f>
        <v>0.88055696869864175</v>
      </c>
      <c r="P32" s="6">
        <f>Table41316[[#This Row],[2 - Post 15min]]*$N$27/(Table41316[[#This Row],[10 - Post 15min]]*$N$26)</f>
        <v>0.85145751676425518</v>
      </c>
      <c r="Q32" s="6">
        <f>Table41316[[#This Row],[2 - Post 20min]]*$N$27/(Table41316[[#This Row],[10 - Post 20min]]*$N$26)</f>
        <v>0.8838134120491451</v>
      </c>
      <c r="R32" s="6">
        <f>-$N$29/LN((Table1317[[#This Row],[G Pre]]-1)/(Table1317[[#This Row],[G Pre]]*$O$26-$O$27))</f>
        <v>3.4644722702092752</v>
      </c>
      <c r="S32" s="6">
        <f>-$N$29/LN((Table1317[[#This Row],[G 5min]]-1)/(Table1317[[#This Row],[G 5min]]*$O$26-$O$27))</f>
        <v>-0.76134429263199177</v>
      </c>
      <c r="T32" s="6">
        <f>-$N$29/LN((Table1317[[#This Row],[G 10min]]-1)/(Table1317[[#This Row],[G 10min]]*$O$26-$O$27))</f>
        <v>-1.2375108326079576</v>
      </c>
      <c r="U32" s="6">
        <f>-$N$29/LN((Table1317[[#This Row],[G 15min]]-1)/(Table1317[[#This Row],[G 15min]]*$O$26-$O$27))</f>
        <v>-1.5575443587894182</v>
      </c>
      <c r="V32" s="6">
        <f>-$N$29/LN((Table1317[[#This Row],[G 20min]]-1)/(Table1317[[#This Row],[G 20min]]*$O$26-$O$27))</f>
        <v>-1.2016364963712052</v>
      </c>
    </row>
    <row r="33" spans="1:22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ref="D33" si="10">D4/D4</f>
        <v>1</v>
      </c>
      <c r="E33" s="5">
        <f t="shared" ref="E33:K33" si="11">E4/D4</f>
        <v>3.8413419742353589</v>
      </c>
      <c r="F33" s="5">
        <f t="shared" ref="F33:K33" si="12">F4/F4</f>
        <v>1</v>
      </c>
      <c r="G33" s="5">
        <f t="shared" ref="G33:K33" si="13">G4/F4</f>
        <v>7.0028987221959298</v>
      </c>
      <c r="H33" s="5">
        <f t="shared" ref="H33:K33" si="14">H4/H4</f>
        <v>1</v>
      </c>
      <c r="I33" s="5">
        <f t="shared" ref="I33:K33" si="15">I4/H4</f>
        <v>7.0697284281992578</v>
      </c>
      <c r="J33" s="5">
        <f t="shared" ref="J33:K33" si="16">J4/J4</f>
        <v>1</v>
      </c>
      <c r="K33" s="5">
        <f t="shared" ref="K33" si="17">K4/J4</f>
        <v>6.8045475337348496</v>
      </c>
      <c r="M33" s="6">
        <f>Table41316[[#This Row],[2 - Pre]]*$N$27/(Table41316[[#This Row],[10 - pre]]*$N$26)</f>
        <v>0.97902842296696546</v>
      </c>
      <c r="N33" s="6">
        <f>Table41316[[#This Row],[2 - Post 5min]]*$N$27/(Table41316[[#This Row],[10 - Post 5min]]*$N$26)</f>
        <v>1.2952932260068366</v>
      </c>
      <c r="O33" s="6">
        <f>Table41316[[#This Row],[2 - Post 10min]]*$N$27/(Table41316[[#This Row],[10 - Post 10min]]*$N$26)</f>
        <v>0.71051495036366141</v>
      </c>
      <c r="P33" s="6">
        <f>Table41316[[#This Row],[2 - Post 15min]]*$N$27/(Table41316[[#This Row],[10 - Post 15min]]*$N$26)</f>
        <v>0.70379849643957937</v>
      </c>
      <c r="Q33" s="6">
        <f>Table41316[[#This Row],[2 - Post 20min]]*$N$27/(Table41316[[#This Row],[10 - Post 20min]]*$N$26)</f>
        <v>0.73122631789034898</v>
      </c>
      <c r="R33" s="6">
        <f>-$N$29/LN((Table1317[[#This Row],[G Pre]]-1)/(Table1317[[#This Row],[G Pre]]*$O$26-$O$27))</f>
        <v>-0.13605787131971925</v>
      </c>
      <c r="S33" s="6">
        <f>-$N$29/LN((Table1317[[#This Row],[G 5min]]-1)/(Table1317[[#This Row],[G 5min]]*$O$26-$O$27))</f>
        <v>3.401670283718857</v>
      </c>
      <c r="T33" s="6">
        <f>-$N$29/LN((Table1317[[#This Row],[G 10min]]-1)/(Table1317[[#This Row],[G 10min]]*$O$26-$O$27))</f>
        <v>-3.0956932563087141</v>
      </c>
      <c r="U33" s="6">
        <f>-$N$29/LN((Table1317[[#This Row],[G 15min]]-1)/(Table1317[[#This Row],[G 15min]]*$O$26-$O$27))</f>
        <v>-3.1685285671456773</v>
      </c>
      <c r="V33" s="6">
        <f>-$N$29/LN((Table1317[[#This Row],[G 20min]]-1)/(Table1317[[#This Row],[G 20min]]*$O$26-$O$27))</f>
        <v>-2.8708330856222002</v>
      </c>
    </row>
    <row r="34" spans="1:22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ref="D34" si="18">D5/D5</f>
        <v>1</v>
      </c>
      <c r="E34" s="5">
        <f t="shared" ref="E34:K34" si="19">E5/D5</f>
        <v>6.6137806677991584</v>
      </c>
      <c r="F34" s="5">
        <f t="shared" ref="F34:K34" si="20">F5/F5</f>
        <v>1</v>
      </c>
      <c r="G34" s="5">
        <f t="shared" ref="G34:K34" si="21">G5/F5</f>
        <v>6.3353869273651009</v>
      </c>
      <c r="H34" s="5">
        <f t="shared" ref="H34:K34" si="22">H5/H5</f>
        <v>1</v>
      </c>
      <c r="I34" s="5">
        <f t="shared" ref="I34:K34" si="23">I5/H5</f>
        <v>6.9844555311384315</v>
      </c>
      <c r="J34" s="5">
        <f t="shared" ref="J34:K34" si="24">J5/J5</f>
        <v>1</v>
      </c>
      <c r="K34" s="5">
        <f t="shared" ref="K34" si="25">K5/J5</f>
        <v>5.3801156162086823</v>
      </c>
      <c r="M34" s="6">
        <f>Table41316[[#This Row],[2 - Pre]]*$N$27/(Table41316[[#This Row],[10 - pre]]*$N$26)</f>
        <v>1.1074198196834615</v>
      </c>
      <c r="N34" s="6">
        <f>Table41316[[#This Row],[2 - Post 5min]]*$N$27/(Table41316[[#This Row],[10 - Post 5min]]*$N$26)</f>
        <v>0.75231769662820125</v>
      </c>
      <c r="O34" s="6">
        <f>Table41316[[#This Row],[2 - Post 10min]]*$N$27/(Table41316[[#This Row],[10 - Post 10min]]*$N$26)</f>
        <v>0.78537653580571076</v>
      </c>
      <c r="P34" s="6">
        <f>Table41316[[#This Row],[2 - Post 15min]]*$N$27/(Table41316[[#This Row],[10 - Post 15min]]*$N$26)</f>
        <v>0.71239113998507775</v>
      </c>
      <c r="Q34" s="6">
        <f>Table41316[[#This Row],[2 - Post 20min]]*$N$27/(Table41316[[#This Row],[10 - Post 20min]]*$N$26)</f>
        <v>0.9248247794178619</v>
      </c>
      <c r="R34" s="6">
        <f>-$N$29/LN((Table1317[[#This Row],[G Pre]]-1)/(Table1317[[#This Row],[G Pre]]*$O$26-$O$27))</f>
        <v>1.277969836420177</v>
      </c>
      <c r="S34" s="6">
        <f>-$N$29/LN((Table1317[[#This Row],[G 5min]]-1)/(Table1317[[#This Row],[G 5min]]*$O$26-$O$27))</f>
        <v>-2.6414417213358417</v>
      </c>
      <c r="T34" s="6">
        <f>-$N$29/LN((Table1317[[#This Row],[G 10min]]-1)/(Table1317[[#This Row],[G 10min]]*$O$26-$O$27))</f>
        <v>-2.2810584451894376</v>
      </c>
      <c r="U34" s="6">
        <f>-$N$29/LN((Table1317[[#This Row],[G 15min]]-1)/(Table1317[[#This Row],[G 15min]]*$O$26-$O$27))</f>
        <v>-3.0753399200337297</v>
      </c>
      <c r="V34" s="6">
        <f>-$N$29/LN((Table1317[[#This Row],[G 20min]]-1)/(Table1317[[#This Row],[G 20min]]*$O$26-$O$27))</f>
        <v>-0.74857062884268455</v>
      </c>
    </row>
    <row r="35" spans="1:22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ref="D35" si="26">D6/D6</f>
        <v>1</v>
      </c>
      <c r="E35" s="5">
        <f t="shared" ref="E35:K35" si="27">E6/D6</f>
        <v>7.2469674189745596</v>
      </c>
      <c r="F35" s="5">
        <f t="shared" ref="F35:K35" si="28">F6/F6</f>
        <v>1</v>
      </c>
      <c r="G35" s="5">
        <f t="shared" ref="G35:K35" si="29">G6/F6</f>
        <v>7.5305491738966026</v>
      </c>
      <c r="H35" s="5">
        <f t="shared" ref="H35:K35" si="30">H6/H6</f>
        <v>1</v>
      </c>
      <c r="I35" s="5">
        <f t="shared" ref="I35:K35" si="31">I6/H6</f>
        <v>7.75398027474463</v>
      </c>
      <c r="J35" s="5">
        <f t="shared" ref="J35:K35" si="32">J6/J6</f>
        <v>1</v>
      </c>
      <c r="K35" s="5">
        <f t="shared" ref="K35" si="33">K6/J6</f>
        <v>7.5376812258867103</v>
      </c>
      <c r="M35" s="6">
        <f>Table41316[[#This Row],[2 - Pre]]*$N$27/(Table41316[[#This Row],[10 - pre]]*$N$26)</f>
        <v>1.0399483775522544</v>
      </c>
      <c r="N35" s="6">
        <f>Table41316[[#This Row],[2 - Post 5min]]*$N$27/(Table41316[[#This Row],[10 - Post 5min]]*$N$26)</f>
        <v>0.68658570548766751</v>
      </c>
      <c r="O35" s="6">
        <f>Table41316[[#This Row],[2 - Post 10min]]*$N$27/(Table41316[[#This Row],[10 - Post 10min]]*$N$26)</f>
        <v>0.66073059522008071</v>
      </c>
      <c r="P35" s="6">
        <f>Table41316[[#This Row],[2 - Post 15min]]*$N$27/(Table41316[[#This Row],[10 - Post 15min]]*$N$26)</f>
        <v>0.64169162955043213</v>
      </c>
      <c r="Q35" s="6">
        <f>Table41316[[#This Row],[2 - Post 20min]]*$N$27/(Table41316[[#This Row],[10 - Post 20min]]*$N$26)</f>
        <v>0.66010542087065593</v>
      </c>
      <c r="R35" s="6">
        <f>-$N$29/LN((Table1317[[#This Row],[G Pre]]-1)/(Table1317[[#This Row],[G Pre]]*$O$26-$O$27))</f>
        <v>0.52133078970952307</v>
      </c>
      <c r="S35" s="6">
        <f>-$N$29/LN((Table1317[[#This Row],[G 5min]]-1)/(Table1317[[#This Row],[G 5min]]*$O$26-$O$27))</f>
        <v>-3.3550020284117257</v>
      </c>
      <c r="T35" s="6">
        <f>-$N$29/LN((Table1317[[#This Row],[G 10min]]-1)/(Table1317[[#This Row],[G 10min]]*$O$26-$O$27))</f>
        <v>-3.6345971493160154</v>
      </c>
      <c r="U35" s="6">
        <f>-$N$29/LN((Table1317[[#This Row],[G 15min]]-1)/(Table1317[[#This Row],[G 15min]]*$O$26-$O$27))</f>
        <v>-3.8400979523051717</v>
      </c>
      <c r="V35" s="6">
        <f>-$N$29/LN((Table1317[[#This Row],[G 20min]]-1)/(Table1317[[#This Row],[G 20min]]*$O$26-$O$27))</f>
        <v>-3.6413502665921014</v>
      </c>
    </row>
    <row r="36" spans="1:22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ref="D36" si="34">D7/D7</f>
        <v>1</v>
      </c>
      <c r="E36" s="5">
        <f t="shared" ref="E36:K36" si="35">E7/D7</f>
        <v>4.6740693256844024</v>
      </c>
      <c r="F36" s="5">
        <f t="shared" ref="F36:K36" si="36">F7/F7</f>
        <v>1</v>
      </c>
      <c r="G36" s="5">
        <f t="shared" ref="G36:K36" si="37">G7/F7</f>
        <v>4.7163202629152456</v>
      </c>
      <c r="H36" s="5">
        <f t="shared" ref="H36:K36" si="38">H7/H7</f>
        <v>1</v>
      </c>
      <c r="I36" s="5">
        <f t="shared" ref="I36:K36" si="39">I7/H7</f>
        <v>5.0483634152209866</v>
      </c>
      <c r="J36" s="5">
        <f t="shared" ref="J36:K36" si="40">J7/J7</f>
        <v>1</v>
      </c>
      <c r="K36" s="5">
        <f t="shared" ref="K36" si="41">K7/J7</f>
        <v>4.6288682990472934</v>
      </c>
      <c r="M36" s="6">
        <f>Table41316[[#This Row],[2 - Pre]]*$N$27/(Table41316[[#This Row],[10 - pre]]*$N$26)</f>
        <v>1.1379642365071603</v>
      </c>
      <c r="N36" s="6">
        <f>Table41316[[#This Row],[2 - Post 5min]]*$N$27/(Table41316[[#This Row],[10 - Post 5min]]*$N$26)</f>
        <v>1.0645251260312074</v>
      </c>
      <c r="O36" s="6">
        <f>Table41316[[#This Row],[2 - Post 10min]]*$N$27/(Table41316[[#This Row],[10 - Post 10min]]*$N$26)</f>
        <v>1.0549886268595421</v>
      </c>
      <c r="P36" s="6">
        <f>Table41316[[#This Row],[2 - Post 15min]]*$N$27/(Table41316[[#This Row],[10 - Post 15min]]*$N$26)</f>
        <v>0.98559945644978586</v>
      </c>
      <c r="Q36" s="6">
        <f>Table41316[[#This Row],[2 - Post 20min]]*$N$27/(Table41316[[#This Row],[10 - Post 20min]]*$N$26)</f>
        <v>1.0749202432540308</v>
      </c>
      <c r="R36" s="6">
        <f>-$N$29/LN((Table1317[[#This Row],[G Pre]]-1)/(Table1317[[#This Row],[G Pre]]*$O$26-$O$27))</f>
        <v>1.6211478483778388</v>
      </c>
      <c r="S36" s="6">
        <f>-$N$29/LN((Table1317[[#This Row],[G 5min]]-1)/(Table1317[[#This Row],[G 5min]]*$O$26-$O$27))</f>
        <v>0.796989787836902</v>
      </c>
      <c r="T36" s="6">
        <f>-$N$29/LN((Table1317[[#This Row],[G 10min]]-1)/(Table1317[[#This Row],[G 10min]]*$O$26-$O$27))</f>
        <v>0.69009611250599445</v>
      </c>
      <c r="U36" s="6" t="e">
        <f>-$N$29/LN((Table1317[[#This Row],[G 15min]]-1)/(Table1317[[#This Row],[G 15min]]*$O$26-$O$27))</f>
        <v>#NUM!</v>
      </c>
      <c r="V36" s="6">
        <f>-$N$29/LN((Table1317[[#This Row],[G 20min]]-1)/(Table1317[[#This Row],[G 20min]]*$O$26-$O$27))</f>
        <v>0.91349168299202088</v>
      </c>
    </row>
    <row r="37" spans="1:22">
      <c r="A37" s="2" t="s">
        <v>7</v>
      </c>
      <c r="B37" s="5">
        <f t="shared" si="0"/>
        <v>1</v>
      </c>
      <c r="C37" s="5">
        <f t="shared" si="1"/>
        <v>2.6676748582230623</v>
      </c>
      <c r="D37" s="5">
        <f t="shared" ref="D37" si="42">D8/D8</f>
        <v>1</v>
      </c>
      <c r="E37" s="5">
        <f t="shared" ref="E37:K37" si="43">E8/D8</f>
        <v>3.9341852023136039</v>
      </c>
      <c r="F37" s="5">
        <f t="shared" ref="F37:K37" si="44">F8/F8</f>
        <v>1</v>
      </c>
      <c r="G37" s="5">
        <f t="shared" ref="G37:K37" si="45">G8/F8</f>
        <v>4.2100846511292822</v>
      </c>
      <c r="H37" s="5">
        <f t="shared" ref="H37:K37" si="46">H8/H8</f>
        <v>1</v>
      </c>
      <c r="I37" s="5">
        <f t="shared" ref="I37:K37" si="47">I8/H8</f>
        <v>4.2384604760850024</v>
      </c>
      <c r="J37" s="5">
        <f t="shared" ref="J37:K37" si="48">J8/J8</f>
        <v>1</v>
      </c>
      <c r="K37" s="5">
        <f t="shared" ref="K37" si="49">K8/J8</f>
        <v>4.1397372021486607</v>
      </c>
      <c r="M37" s="6">
        <f>Table41316[[#This Row],[2 - Pre]]*$N$27/(Table41316[[#This Row],[10 - pre]]*$N$26)</f>
        <v>1.8651689214168619</v>
      </c>
      <c r="N37" s="6">
        <f>Table41316[[#This Row],[2 - Post 5min]]*$N$27/(Table41316[[#This Row],[10 - Post 5min]]*$N$26)</f>
        <v>1.2647254722723056</v>
      </c>
      <c r="O37" s="6">
        <f>Table41316[[#This Row],[2 - Post 10min]]*$N$27/(Table41316[[#This Row],[10 - Post 10min]]*$N$26)</f>
        <v>1.1818442264974776</v>
      </c>
      <c r="P37" s="6">
        <f>Table41316[[#This Row],[2 - Post 15min]]*$N$27/(Table41316[[#This Row],[10 - Post 15min]]*$N$26)</f>
        <v>1.173931965645868</v>
      </c>
      <c r="Q37" s="6">
        <f>Table41316[[#This Row],[2 - Post 20min]]*$N$27/(Table41316[[#This Row],[10 - Post 20min]]*$N$26)</f>
        <v>1.2019275608655193</v>
      </c>
      <c r="R37" s="6">
        <f>-$N$29/LN((Table1317[[#This Row],[G Pre]]-1)/(Table1317[[#This Row],[G Pre]]*$O$26-$O$27))</f>
        <v>10.05211151516966</v>
      </c>
      <c r="S37" s="6">
        <f>-$N$29/LN((Table1317[[#This Row],[G 5min]]-1)/(Table1317[[#This Row],[G 5min]]*$O$26-$O$27))</f>
        <v>3.0539415376578245</v>
      </c>
      <c r="T37" s="6">
        <f>-$N$29/LN((Table1317[[#This Row],[G 10min]]-1)/(Table1317[[#This Row],[G 10min]]*$O$26-$O$27))</f>
        <v>2.1154938855825884</v>
      </c>
      <c r="U37" s="6">
        <f>-$N$29/LN((Table1317[[#This Row],[G 15min]]-1)/(Table1317[[#This Row],[G 15min]]*$O$26-$O$27))</f>
        <v>2.0262318952111511</v>
      </c>
      <c r="V37" s="6">
        <f>-$N$29/LN((Table1317[[#This Row],[G 20min]]-1)/(Table1317[[#This Row],[G 20min]]*$O$26-$O$27))</f>
        <v>2.3423151641600666</v>
      </c>
    </row>
    <row r="38" spans="1:22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ref="D38" si="50">D9/D9</f>
        <v>1</v>
      </c>
      <c r="E38" s="5">
        <f t="shared" ref="E38:K38" si="51">E9/D9</f>
        <v>6.4401207530489657</v>
      </c>
      <c r="F38" s="5">
        <f t="shared" ref="F38:K38" si="52">F9/F9</f>
        <v>1</v>
      </c>
      <c r="G38" s="5">
        <f t="shared" ref="G38:K38" si="53">G9/F9</f>
        <v>6.8829787966464311</v>
      </c>
      <c r="H38" s="5">
        <f t="shared" ref="H38:K38" si="54">H9/H9</f>
        <v>1</v>
      </c>
      <c r="I38" s="5">
        <f t="shared" ref="I38:K38" si="55">I9/H9</f>
        <v>7.0415393111187363</v>
      </c>
      <c r="J38" s="5">
        <f t="shared" ref="J38:K38" si="56">J9/J9</f>
        <v>1</v>
      </c>
      <c r="K38" s="5">
        <f t="shared" ref="K38" si="57">K9/J9</f>
        <v>7.277902583477994</v>
      </c>
      <c r="M38" s="6">
        <f>Table41316[[#This Row],[2 - Pre]]*$N$27/(Table41316[[#This Row],[10 - pre]]*$N$26)</f>
        <v>1.0761081462020172</v>
      </c>
      <c r="N38" s="6">
        <f>Table41316[[#This Row],[2 - Post 5min]]*$N$27/(Table41316[[#This Row],[10 - Post 5min]]*$N$26)</f>
        <v>0.77260418380309803</v>
      </c>
      <c r="O38" s="6">
        <f>Table41316[[#This Row],[2 - Post 10min]]*$N$27/(Table41316[[#This Row],[10 - Post 10min]]*$N$26)</f>
        <v>0.72289402379491041</v>
      </c>
      <c r="P38" s="6">
        <f>Table41316[[#This Row],[2 - Post 15min]]*$N$27/(Table41316[[#This Row],[10 - Post 15min]]*$N$26)</f>
        <v>0.70661598525000235</v>
      </c>
      <c r="Q38" s="6">
        <f>Table41316[[#This Row],[2 - Post 20min]]*$N$27/(Table41316[[#This Row],[10 - Post 20min]]*$N$26)</f>
        <v>0.68366733147793768</v>
      </c>
      <c r="R38" s="6">
        <f>-$N$29/LN((Table1317[[#This Row],[G Pre]]-1)/(Table1317[[#This Row],[G Pre]]*$O$26-$O$27))</f>
        <v>0.92680581004725049</v>
      </c>
      <c r="S38" s="6">
        <f>-$N$29/LN((Table1317[[#This Row],[G 5min]]-1)/(Table1317[[#This Row],[G 5min]]*$O$26-$O$27))</f>
        <v>-2.4204147801813725</v>
      </c>
      <c r="T38" s="6">
        <f>-$N$29/LN((Table1317[[#This Row],[G 10min]]-1)/(Table1317[[#This Row],[G 10min]]*$O$26-$O$27))</f>
        <v>-2.9613427905736875</v>
      </c>
      <c r="U38" s="6">
        <f>-$N$29/LN((Table1317[[#This Row],[G 15min]]-1)/(Table1317[[#This Row],[G 15min]]*$O$26-$O$27))</f>
        <v>-3.1379798518811008</v>
      </c>
      <c r="V38" s="6">
        <f>-$N$29/LN((Table1317[[#This Row],[G 20min]]-1)/(Table1317[[#This Row],[G 20min]]*$O$26-$O$27))</f>
        <v>-3.3865913526460427</v>
      </c>
    </row>
    <row r="39" spans="1:22">
      <c r="A39" s="2" t="s">
        <v>9</v>
      </c>
      <c r="B39" s="5">
        <f t="shared" si="0"/>
        <v>1</v>
      </c>
      <c r="C39" s="5">
        <f t="shared" si="1"/>
        <v>4.0616774138576375</v>
      </c>
      <c r="D39" s="5">
        <f t="shared" ref="D39" si="58">D10/D10</f>
        <v>1</v>
      </c>
      <c r="E39" s="5">
        <f t="shared" ref="E39:K39" si="59">E10/D10</f>
        <v>1.8952037393147398</v>
      </c>
      <c r="F39" s="5">
        <f t="shared" ref="F39:K39" si="60">F10/F10</f>
        <v>1</v>
      </c>
      <c r="G39" s="5">
        <f t="shared" ref="G39:K39" si="61">G10/F10</f>
        <v>6.7626690242548708</v>
      </c>
      <c r="H39" s="5">
        <f t="shared" ref="H39:K39" si="62">H10/H10</f>
        <v>1</v>
      </c>
      <c r="I39" s="5">
        <f t="shared" ref="I39:K39" si="63">I10/H10</f>
        <v>7.1574645413580473</v>
      </c>
      <c r="J39" s="5">
        <f t="shared" ref="J39:K39" si="64">J10/J10</f>
        <v>1</v>
      </c>
      <c r="K39" s="5">
        <f t="shared" ref="K39" si="65">K10/J10</f>
        <v>7.0472873889288117</v>
      </c>
      <c r="M39" s="6">
        <f>Table41316[[#This Row],[2 - Pre]]*$N$27/(Table41316[[#This Row],[10 - pre]]*$N$26)</f>
        <v>1.2250269361684929</v>
      </c>
      <c r="N39" s="6">
        <f>Table41316[[#This Row],[2 - Post 5min]]*$N$27/(Table41316[[#This Row],[10 - Post 5min]]*$N$26)</f>
        <v>2.6253980692344294</v>
      </c>
      <c r="O39" s="6">
        <f>Table41316[[#This Row],[2 - Post 10min]]*$N$27/(Table41316[[#This Row],[10 - Post 10min]]*$N$26)</f>
        <v>0.73575451055746743</v>
      </c>
      <c r="P39" s="6">
        <f>Table41316[[#This Row],[2 - Post 15min]]*$N$27/(Table41316[[#This Row],[10 - Post 15min]]*$N$26)</f>
        <v>0.69517134304359596</v>
      </c>
      <c r="Q39" s="6">
        <f>Table41316[[#This Row],[2 - Post 20min]]*$N$27/(Table41316[[#This Row],[10 - Post 20min]]*$N$26)</f>
        <v>0.70603963814779103</v>
      </c>
      <c r="R39" s="6">
        <f>-$N$29/LN((Table1317[[#This Row],[G Pre]]-1)/(Table1317[[#This Row],[G Pre]]*$O$26-$O$27))</f>
        <v>2.6036530622777052</v>
      </c>
      <c r="S39" s="6">
        <f>-$N$29/LN((Table1317[[#This Row],[G 5min]]-1)/(Table1317[[#This Row],[G 5min]]*$O$26-$O$27))</f>
        <v>19.452323747353429</v>
      </c>
      <c r="T39" s="6">
        <f>-$N$29/LN((Table1317[[#This Row],[G 10min]]-1)/(Table1317[[#This Row],[G 10min]]*$O$26-$O$27))</f>
        <v>-2.8216187428861237</v>
      </c>
      <c r="U39" s="6">
        <f>-$N$29/LN((Table1317[[#This Row],[G 15min]]-1)/(Table1317[[#This Row],[G 15min]]*$O$26-$O$27))</f>
        <v>-3.262023823391174</v>
      </c>
      <c r="V39" s="6">
        <f>-$N$29/LN((Table1317[[#This Row],[G 20min]]-1)/(Table1317[[#This Row],[G 20min]]*$O$26-$O$27))</f>
        <v>-3.1442295028809548</v>
      </c>
    </row>
    <row r="40" spans="1:22">
      <c r="A40" s="2" t="s">
        <v>10</v>
      </c>
      <c r="B40" s="5">
        <f t="shared" si="0"/>
        <v>1</v>
      </c>
      <c r="C40" s="5">
        <f t="shared" si="1"/>
        <v>3.5083397272615731</v>
      </c>
      <c r="D40" s="5">
        <f t="shared" ref="D40" si="66">D11/D11</f>
        <v>1</v>
      </c>
      <c r="E40" s="5">
        <f t="shared" ref="E40:K40" si="67">E11/D11</f>
        <v>5.2533609276073401</v>
      </c>
      <c r="F40" s="5">
        <f t="shared" ref="F40:K40" si="68">F11/F11</f>
        <v>1</v>
      </c>
      <c r="G40" s="5">
        <f t="shared" ref="G40:K40" si="69">G11/F11</f>
        <v>5.4861558392025511</v>
      </c>
      <c r="H40" s="5">
        <f t="shared" ref="H40:K40" si="70">H11/H11</f>
        <v>1</v>
      </c>
      <c r="I40" s="5">
        <f t="shared" ref="I40:K40" si="71">I11/H11</f>
        <v>5.5702397226589726</v>
      </c>
      <c r="J40" s="5">
        <f t="shared" ref="J40:K40" si="72">J11/J11</f>
        <v>1</v>
      </c>
      <c r="K40" s="5">
        <f t="shared" ref="K40" si="73">K11/J11</f>
        <v>5.3709276078784161</v>
      </c>
      <c r="M40" s="6">
        <f>Table41316[[#This Row],[2 - Pre]]*$N$27/(Table41316[[#This Row],[10 - pre]]*$N$26)</f>
        <v>1.4182390032924583</v>
      </c>
      <c r="N40" s="6">
        <f>Table41316[[#This Row],[2 - Post 5min]]*$N$27/(Table41316[[#This Row],[10 - Post 5min]]*$N$26)</f>
        <v>0.94713923268717259</v>
      </c>
      <c r="O40" s="6">
        <f>Table41316[[#This Row],[2 - Post 10min]]*$N$27/(Table41316[[#This Row],[10 - Post 10min]]*$N$26)</f>
        <v>0.90694912500444658</v>
      </c>
      <c r="P40" s="6">
        <f>Table41316[[#This Row],[2 - Post 15min]]*$N$27/(Table41316[[#This Row],[10 - Post 15min]]*$N$26)</f>
        <v>0.89325854644324698</v>
      </c>
      <c r="Q40" s="6">
        <f>Table41316[[#This Row],[2 - Post 20min]]*$N$27/(Table41316[[#This Row],[10 - Post 20min]]*$N$26)</f>
        <v>0.92640687070594108</v>
      </c>
      <c r="R40" s="6">
        <f>-$N$29/LN((Table1317[[#This Row],[G Pre]]-1)/(Table1317[[#This Row],[G Pre]]*$O$26-$O$27))</f>
        <v>4.8092811493515999</v>
      </c>
      <c r="S40" s="6">
        <f>-$N$29/LN((Table1317[[#This Row],[G 5min]]-1)/(Table1317[[#This Row],[G 5min]]*$O$26-$O$27))</f>
        <v>-0.50056277920889158</v>
      </c>
      <c r="T40" s="6">
        <f>-$N$29/LN((Table1317[[#This Row],[G 10min]]-1)/(Table1317[[#This Row],[G 10min]]*$O$26-$O$27))</f>
        <v>-0.94636852503729008</v>
      </c>
      <c r="U40" s="6">
        <f>-$N$29/LN((Table1317[[#This Row],[G 15min]]-1)/(Table1317[[#This Row],[G 15min]]*$O$26-$O$27))</f>
        <v>-1.0975104733522025</v>
      </c>
      <c r="V40" s="6">
        <f>-$N$29/LN((Table1317[[#This Row],[G 20min]]-1)/(Table1317[[#This Row],[G 20min]]*$O$26-$O$27))</f>
        <v>-0.73103433884982005</v>
      </c>
    </row>
    <row r="41" spans="1:22">
      <c r="A41" s="2" t="s">
        <v>11</v>
      </c>
      <c r="B41" s="5">
        <f t="shared" si="0"/>
        <v>1</v>
      </c>
      <c r="C41" s="5">
        <f t="shared" si="1"/>
        <v>6.5189218921190211</v>
      </c>
      <c r="D41" s="5">
        <f t="shared" ref="D41" si="74">D12/D12</f>
        <v>1</v>
      </c>
      <c r="E41" s="5">
        <f t="shared" ref="E41:K41" si="75">E12/D12</f>
        <v>8.4958864468188917</v>
      </c>
      <c r="F41" s="5">
        <f t="shared" ref="F41:K41" si="76">F12/F12</f>
        <v>1</v>
      </c>
      <c r="G41" s="5">
        <f t="shared" ref="G41:K41" si="77">G12/F12</f>
        <v>8.7240665042748979</v>
      </c>
      <c r="H41" s="5">
        <f t="shared" ref="H41:K41" si="78">H12/H12</f>
        <v>1</v>
      </c>
      <c r="I41" s="5">
        <f t="shared" ref="I41:K41" si="79">I12/H12</f>
        <v>8.8776443053369469</v>
      </c>
      <c r="J41" s="5">
        <f t="shared" ref="J41:K41" si="80">J12/J12</f>
        <v>1</v>
      </c>
      <c r="K41" s="5">
        <f t="shared" ref="K41" si="81">K12/J12</f>
        <v>8.7898551961625664</v>
      </c>
      <c r="M41" s="6">
        <f>Table41316[[#This Row],[2 - Pre]]*$N$27/(Table41316[[#This Row],[10 - pre]]*$N$26)</f>
        <v>0.76326489569050726</v>
      </c>
      <c r="N41" s="6">
        <f>Table41316[[#This Row],[2 - Post 5min]]*$N$27/(Table41316[[#This Row],[10 - Post 5min]]*$N$26)</f>
        <v>0.58565568986221839</v>
      </c>
      <c r="O41" s="6">
        <f>Table41316[[#This Row],[2 - Post 10min]]*$N$27/(Table41316[[#This Row],[10 - Post 10min]]*$N$26)</f>
        <v>0.57033772445047892</v>
      </c>
      <c r="P41" s="6">
        <f>Table41316[[#This Row],[2 - Post 15min]]*$N$27/(Table41316[[#This Row],[10 - Post 15min]]*$N$26)</f>
        <v>0.56047123165450363</v>
      </c>
      <c r="Q41" s="6">
        <f>Table41316[[#This Row],[2 - Post 20min]]*$N$27/(Table41316[[#This Row],[10 - Post 20min]]*$N$26)</f>
        <v>0.56606896552460173</v>
      </c>
      <c r="R41" s="6">
        <f>-$N$29/LN((Table1317[[#This Row],[G Pre]]-1)/(Table1317[[#This Row],[G Pre]]*$O$26-$O$27))</f>
        <v>-2.5222166532319452</v>
      </c>
      <c r="S41" s="6">
        <f>-$N$29/LN((Table1317[[#This Row],[G 5min]]-1)/(Table1317[[#This Row],[G 5min]]*$O$26-$O$27))</f>
        <v>-4.4430511104524664</v>
      </c>
      <c r="T41" s="6">
        <f>-$N$29/LN((Table1317[[#This Row],[G 10min]]-1)/(Table1317[[#This Row],[G 10min]]*$O$26-$O$27))</f>
        <v>-4.6073880567360641</v>
      </c>
      <c r="U41" s="6">
        <f>-$N$29/LN((Table1317[[#This Row],[G 15min]]-1)/(Table1317[[#This Row],[G 15min]]*$O$26-$O$27))</f>
        <v>-4.7131295383449823</v>
      </c>
      <c r="V41" s="6">
        <f>-$N$29/LN((Table1317[[#This Row],[G 20min]]-1)/(Table1317[[#This Row],[G 20min]]*$O$26-$O$27))</f>
        <v>-4.6531478984516781</v>
      </c>
    </row>
    <row r="42" spans="1:22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ref="D42" si="82">D13/D13</f>
        <v>1</v>
      </c>
      <c r="E42" s="5">
        <f t="shared" ref="E42:K42" si="83">E13/D13</f>
        <v>5.4194753403579012</v>
      </c>
      <c r="F42" s="5">
        <f t="shared" ref="F42:K42" si="84">F13/F13</f>
        <v>1</v>
      </c>
      <c r="G42" s="5">
        <f t="shared" ref="G42:K42" si="85">G13/F13</f>
        <v>5.075794219752721</v>
      </c>
      <c r="H42" s="5">
        <f t="shared" ref="H42:K42" si="86">H13/H13</f>
        <v>1</v>
      </c>
      <c r="I42" s="5">
        <f t="shared" ref="I42:K42" si="87">I13/H13</f>
        <v>5.485238249207284</v>
      </c>
      <c r="J42" s="5">
        <f t="shared" ref="J42:K42" si="88">J13/J13</f>
        <v>1</v>
      </c>
      <c r="K42" s="5">
        <f t="shared" ref="K42" si="89">K13/J13</f>
        <v>5.6575605688914807</v>
      </c>
      <c r="M42" s="6">
        <f>Table41316[[#This Row],[2 - Pre]]*$N$27/(Table41316[[#This Row],[10 - pre]]*$N$26)</f>
        <v>1.236307188187908</v>
      </c>
      <c r="N42" s="6">
        <f>Table41316[[#This Row],[2 - Post 5min]]*$N$27/(Table41316[[#This Row],[10 - Post 5min]]*$N$26)</f>
        <v>0.91810810558540101</v>
      </c>
      <c r="O42" s="6">
        <f>Table41316[[#This Row],[2 - Post 10min]]*$N$27/(Table41316[[#This Row],[10 - Post 10min]]*$N$26)</f>
        <v>0.98027304153500328</v>
      </c>
      <c r="P42" s="6">
        <f>Table41316[[#This Row],[2 - Post 15min]]*$N$27/(Table41316[[#This Row],[10 - Post 15min]]*$N$26)</f>
        <v>0.90710084265197821</v>
      </c>
      <c r="Q42" s="6">
        <f>Table41316[[#This Row],[2 - Post 20min]]*$N$27/(Table41316[[#This Row],[10 - Post 20min]]*$N$26)</f>
        <v>0.87947166935549048</v>
      </c>
      <c r="R42" s="6">
        <f>-$N$29/LN((Table1317[[#This Row],[G Pre]]-1)/(Table1317[[#This Row],[G Pre]]*$O$26-$O$27))</f>
        <v>2.7314522927350611</v>
      </c>
      <c r="S42" s="6">
        <f>-$N$29/LN((Table1317[[#This Row],[G 5min]]-1)/(Table1317[[#This Row],[G 5min]]*$O$26-$O$27))</f>
        <v>-0.8229609842996618</v>
      </c>
      <c r="T42" s="6">
        <f>-$N$29/LN((Table1317[[#This Row],[G 10min]]-1)/(Table1317[[#This Row],[G 10min]]*$O$26-$O$27))</f>
        <v>-0.12031044052702607</v>
      </c>
      <c r="U42" s="6">
        <f>-$N$29/LN((Table1317[[#This Row],[G 15min]]-1)/(Table1317[[#This Row],[G 15min]]*$O$26-$O$27))</f>
        <v>-0.94469204933930118</v>
      </c>
      <c r="V42" s="6">
        <f>-$N$29/LN((Table1317[[#This Row],[G 20min]]-1)/(Table1317[[#This Row],[G 20min]]*$O$26-$O$27))</f>
        <v>-1.2494641118756387</v>
      </c>
    </row>
    <row r="43" spans="1:22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ref="D43" si="90">D14/D14</f>
        <v>1</v>
      </c>
      <c r="E43" s="5">
        <f t="shared" ref="E43:K43" si="91">E14/D14</f>
        <v>7.1042838932896304</v>
      </c>
      <c r="F43" s="5">
        <f t="shared" ref="F43:K43" si="92">F14/F14</f>
        <v>1</v>
      </c>
      <c r="G43" s="5">
        <f t="shared" ref="G43:K43" si="93">G14/F14</f>
        <v>6.385365476104476</v>
      </c>
      <c r="H43" s="5">
        <f t="shared" ref="H43:K43" si="94">H14/H14</f>
        <v>1</v>
      </c>
      <c r="I43" s="5">
        <f t="shared" ref="I43:K43" si="95">I14/H14</f>
        <v>7.0350277471742775</v>
      </c>
      <c r="J43" s="5">
        <f t="shared" ref="J43:K43" si="96">J14/J14</f>
        <v>1</v>
      </c>
      <c r="K43" s="5">
        <f t="shared" ref="K43" si="97">K14/J14</f>
        <v>7.0613913043478256</v>
      </c>
      <c r="M43" s="6">
        <f>Table41316[[#This Row],[2 - Pre]]*$N$27/(Table41316[[#This Row],[10 - pre]]*$N$26)</f>
        <v>1.0619232192284132</v>
      </c>
      <c r="N43" s="6">
        <f>Table41316[[#This Row],[2 - Post 5min]]*$N$27/(Table41316[[#This Row],[10 - Post 5min]]*$N$26)</f>
        <v>0.70037519794254921</v>
      </c>
      <c r="O43" s="6">
        <f>Table41316[[#This Row],[2 - Post 10min]]*$N$27/(Table41316[[#This Row],[10 - Post 10min]]*$N$26)</f>
        <v>0.77922935760261225</v>
      </c>
      <c r="P43" s="6">
        <f>Table41316[[#This Row],[2 - Post 15min]]*$N$27/(Table41316[[#This Row],[10 - Post 15min]]*$N$26)</f>
        <v>0.70727002320656629</v>
      </c>
      <c r="Q43" s="6">
        <f>Table41316[[#This Row],[2 - Post 20min]]*$N$27/(Table41316[[#This Row],[10 - Post 20min]]*$N$26)</f>
        <v>0.70462944532463212</v>
      </c>
      <c r="R43" s="6">
        <f>-$N$29/LN((Table1317[[#This Row],[G Pre]]-1)/(Table1317[[#This Row],[G Pre]]*$O$26-$O$27))</f>
        <v>0.767828532523677</v>
      </c>
      <c r="S43" s="6">
        <f>-$N$29/LN((Table1317[[#This Row],[G 5min]]-1)/(Table1317[[#This Row],[G 5min]]*$O$26-$O$27))</f>
        <v>-3.2056360650171656</v>
      </c>
      <c r="T43" s="6">
        <f>-$N$29/LN((Table1317[[#This Row],[G 10min]]-1)/(Table1317[[#This Row],[G 10min]]*$O$26-$O$27))</f>
        <v>-2.3481481700775264</v>
      </c>
      <c r="U43" s="6">
        <f>-$N$29/LN((Table1317[[#This Row],[G 15min]]-1)/(Table1317[[#This Row],[G 15min]]*$O$26-$O$27))</f>
        <v>-3.1308873890929005</v>
      </c>
      <c r="V43" s="6">
        <f>-$N$29/LN((Table1317[[#This Row],[G 20min]]-1)/(Table1317[[#This Row],[G 20min]]*$O$26-$O$27))</f>
        <v>-3.1595197285181276</v>
      </c>
    </row>
    <row r="44" spans="1:22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ref="D44" si="98">D15/D15</f>
        <v>1</v>
      </c>
      <c r="E44" s="5">
        <f t="shared" ref="E44:K44" si="99">E15/D15</f>
        <v>6.832617919399933</v>
      </c>
      <c r="F44" s="5">
        <f t="shared" ref="F44:K44" si="100">F15/F15</f>
        <v>1</v>
      </c>
      <c r="G44" s="5">
        <f t="shared" ref="G44:K44" si="101">G15/F15</f>
        <v>7.2485480705395293</v>
      </c>
      <c r="H44" s="5">
        <f t="shared" ref="H44:K44" si="102">H15/H15</f>
        <v>1</v>
      </c>
      <c r="I44" s="5">
        <f t="shared" ref="I44:K44" si="103">I15/H15</f>
        <v>7.4713146259952481</v>
      </c>
      <c r="J44" s="5">
        <f t="shared" ref="J44:K44" si="104">J15/J15</f>
        <v>1</v>
      </c>
      <c r="K44" s="5">
        <f t="shared" ref="K44" si="105">K15/J15</f>
        <v>7.2259144034637695</v>
      </c>
      <c r="M44" s="6">
        <f>Table41316[[#This Row],[2 - Pre]]*$N$27/(Table41316[[#This Row],[10 - pre]]*$N$26)</f>
        <v>0.97612846352329496</v>
      </c>
      <c r="N44" s="6">
        <f>Table41316[[#This Row],[2 - Post 5min]]*$N$27/(Table41316[[#This Row],[10 - Post 5min]]*$N$26)</f>
        <v>0.72822222707277784</v>
      </c>
      <c r="O44" s="6">
        <f>Table41316[[#This Row],[2 - Post 10min]]*$N$27/(Table41316[[#This Row],[10 - Post 10min]]*$N$26)</f>
        <v>0.68643598546659523</v>
      </c>
      <c r="P44" s="6">
        <f>Table41316[[#This Row],[2 - Post 15min]]*$N$27/(Table41316[[#This Row],[10 - Post 15min]]*$N$26)</f>
        <v>0.66596904120337241</v>
      </c>
      <c r="Q44" s="6">
        <f>Table41316[[#This Row],[2 - Post 20min]]*$N$27/(Table41316[[#This Row],[10 - Post 20min]]*$N$26)</f>
        <v>0.68858610276613363</v>
      </c>
      <c r="R44" s="6">
        <f>-$N$29/LN((Table1317[[#This Row],[G Pre]]-1)/(Table1317[[#This Row],[G Pre]]*$O$26-$O$27))</f>
        <v>-0.17134143476079591</v>
      </c>
      <c r="S44" s="6">
        <f>-$N$29/LN((Table1317[[#This Row],[G 5min]]-1)/(Table1317[[#This Row],[G 5min]]*$O$26-$O$27))</f>
        <v>-2.9034724287482621</v>
      </c>
      <c r="T44" s="6">
        <f>-$N$29/LN((Table1317[[#This Row],[G 10min]]-1)/(Table1317[[#This Row],[G 10min]]*$O$26-$O$27))</f>
        <v>-3.3566228290089271</v>
      </c>
      <c r="U44" s="6">
        <f>-$N$29/LN((Table1317[[#This Row],[G 15min]]-1)/(Table1317[[#This Row],[G 15min]]*$O$26-$O$27))</f>
        <v>-3.5779977554029143</v>
      </c>
      <c r="V44" s="6">
        <f>-$N$29/LN((Table1317[[#This Row],[G 20min]]-1)/(Table1317[[#This Row],[G 20min]]*$O$26-$O$27))</f>
        <v>-3.333344691312722</v>
      </c>
    </row>
    <row r="45" spans="1:22">
      <c r="A45" s="2" t="s">
        <v>15</v>
      </c>
      <c r="B45" s="5" t="e">
        <f t="shared" si="0"/>
        <v>#DIV/0!</v>
      </c>
      <c r="C45" s="5" t="e">
        <f t="shared" si="1"/>
        <v>#DIV/0!</v>
      </c>
      <c r="D45" s="5">
        <f t="shared" ref="D45" si="106">D16/D16</f>
        <v>1</v>
      </c>
      <c r="E45" s="5">
        <f t="shared" ref="E45:K45" si="107">E16/D16</f>
        <v>5.0901812036182976</v>
      </c>
      <c r="F45" s="5">
        <f t="shared" ref="F45:K45" si="108">F16/F16</f>
        <v>1</v>
      </c>
      <c r="G45" s="5">
        <f t="shared" ref="G45:K45" si="109">G16/F16</f>
        <v>5.5097657917667764</v>
      </c>
      <c r="H45" s="5">
        <f t="shared" ref="H45:K45" si="110">H16/H16</f>
        <v>1</v>
      </c>
      <c r="I45" s="5">
        <f t="shared" ref="I45:K45" si="111">I16/H16</f>
        <v>5.2929035729871794</v>
      </c>
      <c r="J45" s="5">
        <f t="shared" ref="J45:K45" si="112">J16/J16</f>
        <v>1</v>
      </c>
      <c r="K45" s="5">
        <f t="shared" ref="K45" si="113">K16/J16</f>
        <v>5.1312906122550794</v>
      </c>
      <c r="M45" s="6" t="e">
        <f>Table41316[[#This Row],[2 - Pre]]*$N$27/(Table41316[[#This Row],[10 - pre]]*$N$26)</f>
        <v>#DIV/0!</v>
      </c>
      <c r="N45" s="6">
        <f>Table41316[[#This Row],[2 - Post 5min]]*$N$27/(Table41316[[#This Row],[10 - Post 5min]]*$N$26)</f>
        <v>0.97750237937814366</v>
      </c>
      <c r="O45" s="6">
        <f>Table41316[[#This Row],[2 - Post 10min]]*$N$27/(Table41316[[#This Row],[10 - Post 10min]]*$N$26)</f>
        <v>0.90306274822750299</v>
      </c>
      <c r="P45" s="6">
        <f>Table41316[[#This Row],[2 - Post 15min]]*$N$27/(Table41316[[#This Row],[10 - Post 15min]]*$N$26)</f>
        <v>0.94006326950608909</v>
      </c>
      <c r="Q45" s="6">
        <f>Table41316[[#This Row],[2 - Post 20min]]*$N$27/(Table41316[[#This Row],[10 - Post 20min]]*$N$26)</f>
        <v>0.96967110498855646</v>
      </c>
      <c r="R45" s="6" t="e">
        <f>-$N$29/LN((Table1317[[#This Row],[G Pre]]-1)/(Table1317[[#This Row],[G Pre]]*$O$26-$O$27))</f>
        <v>#DIV/0!</v>
      </c>
      <c r="S45" s="6">
        <f>-$N$29/LN((Table1317[[#This Row],[G 5min]]-1)/(Table1317[[#This Row],[G 5min]]*$O$26-$O$27))</f>
        <v>-0.15481055762693363</v>
      </c>
      <c r="T45" s="6">
        <f>-$N$29/LN((Table1317[[#This Row],[G 10min]]-1)/(Table1317[[#This Row],[G 10min]]*$O$26-$O$27))</f>
        <v>-0.98930092967184513</v>
      </c>
      <c r="U45" s="6">
        <f>-$N$29/LN((Table1317[[#This Row],[G 15min]]-1)/(Table1317[[#This Row],[G 15min]]*$O$26-$O$27))</f>
        <v>-0.57939067851012049</v>
      </c>
      <c r="V45" s="6">
        <f>-$N$29/LN((Table1317[[#This Row],[G 20min]]-1)/(Table1317[[#This Row],[G 20min]]*$O$26-$O$27))</f>
        <v>-0.24668800699944202</v>
      </c>
    </row>
    <row r="46" spans="1:22">
      <c r="A46" s="2" t="s">
        <v>16</v>
      </c>
      <c r="B46" s="5">
        <f t="shared" si="0"/>
        <v>1</v>
      </c>
      <c r="C46" s="5">
        <f t="shared" si="1"/>
        <v>3.2939434659113762</v>
      </c>
      <c r="D46" s="5">
        <f t="shared" ref="D46" si="114">D17/D17</f>
        <v>1</v>
      </c>
      <c r="E46" s="5">
        <f t="shared" ref="E46:K46" si="115">E17/D17</f>
        <v>5.3039162016570138</v>
      </c>
      <c r="F46" s="5">
        <f t="shared" ref="F46:K46" si="116">F17/F17</f>
        <v>1</v>
      </c>
      <c r="G46" s="5">
        <f t="shared" ref="G46:K46" si="117">G17/F17</f>
        <v>5.4633277055753924</v>
      </c>
      <c r="H46" s="5">
        <f t="shared" ref="H46:K46" si="118">H17/H17</f>
        <v>1</v>
      </c>
      <c r="I46" s="5">
        <f t="shared" ref="I46:K46" si="119">I17/H17</f>
        <v>5.1760534908147351</v>
      </c>
      <c r="J46" s="5">
        <f t="shared" ref="J46:K46" si="120">J17/J17</f>
        <v>1</v>
      </c>
      <c r="K46" s="5">
        <f t="shared" ref="K46" si="121">K17/J17</f>
        <v>5.3847268175944647</v>
      </c>
      <c r="M46" s="6">
        <f>Table41316[[#This Row],[2 - Pre]]*$N$27/(Table41316[[#This Row],[10 - pre]]*$N$26)</f>
        <v>1.5105493732650053</v>
      </c>
      <c r="N46" s="6">
        <f>Table41316[[#This Row],[2 - Post 5min]]*$N$27/(Table41316[[#This Row],[10 - Post 5min]]*$N$26)</f>
        <v>0.93811139709340152</v>
      </c>
      <c r="O46" s="6">
        <f>Table41316[[#This Row],[2 - Post 10min]]*$N$27/(Table41316[[#This Row],[10 - Post 10min]]*$N$26)</f>
        <v>0.91073874864307747</v>
      </c>
      <c r="P46" s="6">
        <f>Table41316[[#This Row],[2 - Post 15min]]*$N$27/(Table41316[[#This Row],[10 - Post 15min]]*$N$26)</f>
        <v>0.961285320337676</v>
      </c>
      <c r="Q46" s="6">
        <f>Table41316[[#This Row],[2 - Post 20min]]*$N$27/(Table41316[[#This Row],[10 - Post 20min]]*$N$26)</f>
        <v>0.92403280733665571</v>
      </c>
      <c r="R46" s="6">
        <f>-$N$29/LN((Table1317[[#This Row],[G Pre]]-1)/(Table1317[[#This Row],[G Pre]]*$O$26-$O$27))</f>
        <v>5.8757962590103148</v>
      </c>
      <c r="S46" s="6">
        <f>-$N$29/LN((Table1317[[#This Row],[G 5min]]-1)/(Table1317[[#This Row],[G 5min]]*$O$26-$O$27))</f>
        <v>-0.6010994643590416</v>
      </c>
      <c r="T46" s="6">
        <f>-$N$29/LN((Table1317[[#This Row],[G 10min]]-1)/(Table1317[[#This Row],[G 10min]]*$O$26-$O$27))</f>
        <v>-0.90448239902328387</v>
      </c>
      <c r="U46" s="6">
        <f>-$N$29/LN((Table1317[[#This Row],[G 15min]]-1)/(Table1317[[#This Row],[G 15min]]*$O$26-$O$27))</f>
        <v>-0.34200721977918896</v>
      </c>
      <c r="V46" s="6">
        <f>-$N$29/LN((Table1317[[#This Row],[G 20min]]-1)/(Table1317[[#This Row],[G 20min]]*$O$26-$O$27))</f>
        <v>-0.75734695717487899</v>
      </c>
    </row>
    <row r="47" spans="1:22">
      <c r="A47" s="2" t="s">
        <v>17</v>
      </c>
      <c r="B47" s="5">
        <f t="shared" si="0"/>
        <v>1</v>
      </c>
      <c r="C47" s="5">
        <f t="shared" si="1"/>
        <v>3.1703134188574049</v>
      </c>
      <c r="D47" s="5">
        <f t="shared" ref="D47" si="122">D18/D18</f>
        <v>1</v>
      </c>
      <c r="E47" s="5">
        <f t="shared" ref="E47:K47" si="123">E18/D18</f>
        <v>4.3924363281011427</v>
      </c>
      <c r="F47" s="5">
        <f t="shared" ref="F47:K47" si="124">F18/F18</f>
        <v>1</v>
      </c>
      <c r="G47" s="5">
        <f t="shared" ref="G47:K47" si="125">G18/F18</f>
        <v>4.5508059565961503</v>
      </c>
      <c r="H47" s="5">
        <f t="shared" ref="H47:K47" si="126">H18/H18</f>
        <v>1</v>
      </c>
      <c r="I47" s="5">
        <f t="shared" ref="I47:K47" si="127">I18/H18</f>
        <v>4.9373607374596533</v>
      </c>
      <c r="J47" s="5">
        <f t="shared" ref="J47:K47" si="128">J18/J18</f>
        <v>1</v>
      </c>
      <c r="K47" s="5">
        <f t="shared" ref="K47" si="129">K18/J18</f>
        <v>5.0466400041601069</v>
      </c>
      <c r="M47" s="6">
        <f>Table41316[[#This Row],[2 - Pre]]*$N$27/(Table41316[[#This Row],[10 - pre]]*$N$26)</f>
        <v>1.5694549972273848</v>
      </c>
      <c r="N47" s="6">
        <f>Table41316[[#This Row],[2 - Post 5min]]*$N$27/(Table41316[[#This Row],[10 - Post 5min]]*$N$26)</f>
        <v>1.132780048778482</v>
      </c>
      <c r="O47" s="6">
        <f>Table41316[[#This Row],[2 - Post 10min]]*$N$27/(Table41316[[#This Row],[10 - Post 10min]]*$N$26)</f>
        <v>1.0933589094896101</v>
      </c>
      <c r="P47" s="6">
        <f>Table41316[[#This Row],[2 - Post 15min]]*$N$27/(Table41316[[#This Row],[10 - Post 15min]]*$N$26)</f>
        <v>1.0077578898079145</v>
      </c>
      <c r="Q47" s="6">
        <f>Table41316[[#This Row],[2 - Post 20min]]*$N$27/(Table41316[[#This Row],[10 - Post 20min]]*$N$26)</f>
        <v>0.98593603544163833</v>
      </c>
      <c r="R47" s="6">
        <f>-$N$29/LN((Table1317[[#This Row],[G Pre]]-1)/(Table1317[[#This Row],[G Pre]]*$O$26-$O$27))</f>
        <v>6.5607565654040521</v>
      </c>
      <c r="S47" s="6">
        <f>-$N$29/LN((Table1317[[#This Row],[G 5min]]-1)/(Table1317[[#This Row],[G 5min]]*$O$26-$O$27))</f>
        <v>1.5628507169179888</v>
      </c>
      <c r="T47" s="6">
        <f>-$N$29/LN((Table1317[[#This Row],[G 10min]]-1)/(Table1317[[#This Row],[G 10min]]*$O$26-$O$27))</f>
        <v>1.1202113004601619</v>
      </c>
      <c r="U47" s="6">
        <f>-$N$29/LN((Table1317[[#This Row],[G 15min]]-1)/(Table1317[[#This Row],[G 15min]]*$O$26-$O$27))</f>
        <v>0.15319148747148018</v>
      </c>
      <c r="V47" s="6" t="e">
        <f>-$N$29/LN((Table1317[[#This Row],[G 20min]]-1)/(Table1317[[#This Row],[G 20min]]*$O$26-$O$27))</f>
        <v>#NUM!</v>
      </c>
    </row>
    <row r="48" spans="1:22">
      <c r="A48" s="2" t="s">
        <v>18</v>
      </c>
      <c r="B48" s="5">
        <f t="shared" si="0"/>
        <v>1</v>
      </c>
      <c r="C48" s="5">
        <f t="shared" si="1"/>
        <v>11.788352128817154</v>
      </c>
      <c r="D48" s="5">
        <f t="shared" ref="D48" si="130">D19/D19</f>
        <v>1</v>
      </c>
      <c r="E48" s="5">
        <f t="shared" ref="E48:K48" si="131">E19/D19</f>
        <v>12.149015486362247</v>
      </c>
      <c r="F48" s="5">
        <f t="shared" ref="F48:K48" si="132">F19/F19</f>
        <v>1</v>
      </c>
      <c r="G48" s="5">
        <f t="shared" ref="G48:K48" si="133">G19/F19</f>
        <v>12.817094643707549</v>
      </c>
      <c r="H48" s="5">
        <f t="shared" ref="H48:K48" si="134">H19/H19</f>
        <v>1</v>
      </c>
      <c r="I48" s="5">
        <f t="shared" ref="I48:K48" si="135">I19/H19</f>
        <v>12.31277619949495</v>
      </c>
      <c r="J48" s="5">
        <f t="shared" ref="J48:K48" si="136">J19/J19</f>
        <v>1</v>
      </c>
      <c r="K48" s="5">
        <f t="shared" ref="K48" si="137">K19/J19</f>
        <v>12.16943141503298</v>
      </c>
      <c r="M48" s="6">
        <f>Table41316[[#This Row],[2 - Pre]]*$N$27/(Table41316[[#This Row],[10 - pre]]*$N$26)</f>
        <v>0.42208310233960145</v>
      </c>
      <c r="N48" s="6">
        <f>Table41316[[#This Row],[2 - Post 5min]]*$N$27/(Table41316[[#This Row],[10 - Post 5min]]*$N$26)</f>
        <v>0.40955287641111088</v>
      </c>
      <c r="O48" s="6">
        <f>Table41316[[#This Row],[2 - Post 10min]]*$N$27/(Table41316[[#This Row],[10 - Post 10min]]*$N$26)</f>
        <v>0.38820531300715272</v>
      </c>
      <c r="P48" s="6">
        <f>Table41316[[#This Row],[2 - Post 15min]]*$N$27/(Table41316[[#This Row],[10 - Post 15min]]*$N$26)</f>
        <v>0.40410579688818538</v>
      </c>
      <c r="Q48" s="6">
        <f>Table41316[[#This Row],[2 - Post 20min]]*$N$27/(Table41316[[#This Row],[10 - Post 20min]]*$N$26)</f>
        <v>0.40886579399727069</v>
      </c>
      <c r="R48" s="6">
        <f>-$N$29/LN((Table1317[[#This Row],[G Pre]]-1)/(Table1317[[#This Row],[G Pre]]*$O$26-$O$27))</f>
        <v>-6.187260633506745</v>
      </c>
      <c r="S48" s="6">
        <f>-$N$29/LN((Table1317[[#This Row],[G 5min]]-1)/(Table1317[[#This Row],[G 5min]]*$O$26-$O$27))</f>
        <v>-6.3199107504976002</v>
      </c>
      <c r="T48" s="6">
        <f>-$N$29/LN((Table1317[[#This Row],[G 10min]]-1)/(Table1317[[#This Row],[G 10min]]*$O$26-$O$27))</f>
        <v>-6.5455922828312376</v>
      </c>
      <c r="U48" s="6">
        <f>-$N$29/LN((Table1317[[#This Row],[G 15min]]-1)/(Table1317[[#This Row],[G 15min]]*$O$26-$O$27))</f>
        <v>-6.3775334226099849</v>
      </c>
      <c r="V48" s="6">
        <f>-$N$29/LN((Table1317[[#This Row],[G 20min]]-1)/(Table1317[[#This Row],[G 20min]]*$O$26-$O$27))</f>
        <v>-6.3271805588693839</v>
      </c>
    </row>
    <row r="49" spans="1:22">
      <c r="A49" s="2" t="s">
        <v>19</v>
      </c>
      <c r="B49" s="5">
        <f t="shared" si="0"/>
        <v>1</v>
      </c>
      <c r="C49" s="5">
        <f t="shared" si="1"/>
        <v>3.6216626836527892</v>
      </c>
      <c r="D49" s="5">
        <f t="shared" ref="D49" si="138">D20/D20</f>
        <v>1</v>
      </c>
      <c r="E49" s="5">
        <f t="shared" ref="E49:K49" si="139">E20/D20</f>
        <v>4.8418419403267894</v>
      </c>
      <c r="F49" s="5">
        <f t="shared" ref="F49:K49" si="140">F20/F20</f>
        <v>1</v>
      </c>
      <c r="G49" s="5">
        <f t="shared" ref="G49:K49" si="141">G20/F20</f>
        <v>5.1368339791877613</v>
      </c>
      <c r="H49" s="5">
        <f t="shared" ref="H49:K49" si="142">H20/H20</f>
        <v>1</v>
      </c>
      <c r="I49" s="5">
        <f t="shared" ref="I49:K49" si="143">I20/H20</f>
        <v>5.1321002457509364</v>
      </c>
      <c r="J49" s="5">
        <f t="shared" ref="J49:K49" si="144">J20/J20</f>
        <v>1</v>
      </c>
      <c r="K49" s="5">
        <f t="shared" ref="K49" si="145">K20/J20</f>
        <v>5.0024369634731398</v>
      </c>
      <c r="M49" s="6">
        <f>Table41316[[#This Row],[2 - Pre]]*$N$27/(Table41316[[#This Row],[10 - pre]]*$N$26)</f>
        <v>1.3738618619733967</v>
      </c>
      <c r="N49" s="6">
        <f>Table41316[[#This Row],[2 - Post 5min]]*$N$27/(Table41316[[#This Row],[10 - Post 5min]]*$N$26)</f>
        <v>1.0276387166961025</v>
      </c>
      <c r="O49" s="6">
        <f>Table41316[[#This Row],[2 - Post 10min]]*$N$27/(Table41316[[#This Row],[10 - Post 10min]]*$N$26)</f>
        <v>0.96862469337378576</v>
      </c>
      <c r="P49" s="6">
        <f>Table41316[[#This Row],[2 - Post 15min]]*$N$27/(Table41316[[#This Row],[10 - Post 15min]]*$N$26)</f>
        <v>0.96951813092940531</v>
      </c>
      <c r="Q49" s="6">
        <f>Table41316[[#This Row],[2 - Post 20min]]*$N$27/(Table41316[[#This Row],[10 - Post 20min]]*$N$26)</f>
        <v>0.99464806340073042</v>
      </c>
      <c r="R49" s="6">
        <f>-$N$29/LN((Table1317[[#This Row],[G Pre]]-1)/(Table1317[[#This Row],[G Pre]]*$O$26-$O$27))</f>
        <v>4.2995258386704629</v>
      </c>
      <c r="S49" s="6">
        <f>-$N$29/LN((Table1317[[#This Row],[G 5min]]-1)/(Table1317[[#This Row],[G 5min]]*$O$26-$O$27))</f>
        <v>0.38268918457866852</v>
      </c>
      <c r="T49" s="6">
        <f>-$N$29/LN((Table1317[[#This Row],[G 10min]]-1)/(Table1317[[#This Row],[G 10min]]*$O$26-$O$27))</f>
        <v>-0.2586852836048521</v>
      </c>
      <c r="U49" s="6">
        <f>-$N$29/LN((Table1317[[#This Row],[G 15min]]-1)/(Table1317[[#This Row],[G 15min]]*$O$26-$O$27))</f>
        <v>-0.2484444076124856</v>
      </c>
      <c r="V49" s="6" t="e">
        <f>-$N$29/LN((Table1317[[#This Row],[G 20min]]-1)/(Table1317[[#This Row],[G 20min]]*$O$26-$O$27))</f>
        <v>#NUM!</v>
      </c>
    </row>
    <row r="50" spans="1:22">
      <c r="A50" s="2" t="s">
        <v>20</v>
      </c>
      <c r="B50" s="5">
        <f t="shared" si="0"/>
        <v>1</v>
      </c>
      <c r="C50" s="5">
        <f t="shared" si="1"/>
        <v>4.3158299306197421</v>
      </c>
      <c r="D50" s="5">
        <f t="shared" ref="D50" si="146">D21/D21</f>
        <v>1</v>
      </c>
      <c r="E50" s="5">
        <f t="shared" ref="E50:K50" si="147">E21/D21</f>
        <v>4.1970031007324433</v>
      </c>
      <c r="F50" s="5">
        <f t="shared" ref="F50:K50" si="148">F21/F21</f>
        <v>1</v>
      </c>
      <c r="G50" s="5">
        <f t="shared" ref="G50:K50" si="149">G21/F21</f>
        <v>5.7899048593169997</v>
      </c>
      <c r="H50" s="5">
        <f t="shared" ref="H50:K50" si="150">H21/H21</f>
        <v>1</v>
      </c>
      <c r="I50" s="5">
        <f t="shared" ref="I50:K50" si="151">I21/H21</f>
        <v>6.210512890855286</v>
      </c>
      <c r="J50" s="5">
        <f t="shared" ref="J50:K50" si="152">J21/J21</f>
        <v>1</v>
      </c>
      <c r="K50" s="5">
        <f t="shared" ref="K50" si="153">K21/J21</f>
        <v>6.1613625607494544</v>
      </c>
      <c r="M50" s="6">
        <f>Table41316[[#This Row],[2 - Pre]]*$N$27/(Table41316[[#This Row],[10 - pre]]*$N$26)</f>
        <v>1.1528870038881018</v>
      </c>
      <c r="N50" s="6">
        <f>Table41316[[#This Row],[2 - Post 5min]]*$N$27/(Table41316[[#This Row],[10 - Post 5min]]*$N$26)</f>
        <v>1.1855278918270173</v>
      </c>
      <c r="O50" s="6">
        <f>Table41316[[#This Row],[2 - Post 10min]]*$N$27/(Table41316[[#This Row],[10 - Post 10min]]*$N$26)</f>
        <v>0.85936891173540597</v>
      </c>
      <c r="P50" s="6">
        <f>Table41316[[#This Row],[2 - Post 15min]]*$N$27/(Table41316[[#This Row],[10 - Post 15min]]*$N$26)</f>
        <v>0.80116800744898886</v>
      </c>
      <c r="Q50" s="6">
        <f>Table41316[[#This Row],[2 - Post 20min]]*$N$27/(Table41316[[#This Row],[10 - Post 20min]]*$N$26)</f>
        <v>0.80755907300439078</v>
      </c>
      <c r="R50" s="6">
        <f>-$N$29/LN((Table1317[[#This Row],[G Pre]]-1)/(Table1317[[#This Row],[G Pre]]*$O$26-$O$27))</f>
        <v>1.7890805986638842</v>
      </c>
      <c r="S50" s="6">
        <f>-$N$29/LN((Table1317[[#This Row],[G 5min]]-1)/(Table1317[[#This Row],[G 5min]]*$O$26-$O$27))</f>
        <v>2.1570700726473273</v>
      </c>
      <c r="T50" s="6">
        <f>-$N$29/LN((Table1317[[#This Row],[G 10min]]-1)/(Table1317[[#This Row],[G 10min]]*$O$26-$O$27))</f>
        <v>-1.4706276373867542</v>
      </c>
      <c r="U50" s="6">
        <f>-$N$29/LN((Table1317[[#This Row],[G 15min]]-1)/(Table1317[[#This Row],[G 15min]]*$O$26-$O$27))</f>
        <v>-2.1085471620444682</v>
      </c>
      <c r="V50" s="6">
        <f>-$N$29/LN((Table1317[[#This Row],[G 20min]]-1)/(Table1317[[#This Row],[G 20min]]*$O$26-$O$27))</f>
        <v>-2.0386610813912238</v>
      </c>
    </row>
    <row r="51" spans="1:22">
      <c r="A51" s="2" t="s">
        <v>21</v>
      </c>
      <c r="B51" s="5">
        <f t="shared" si="0"/>
        <v>1</v>
      </c>
      <c r="C51" s="5">
        <f t="shared" si="1"/>
        <v>6.0469659321170521</v>
      </c>
      <c r="D51" s="5">
        <f t="shared" ref="D51" si="154">D22/D22</f>
        <v>1</v>
      </c>
      <c r="E51" s="5">
        <f t="shared" ref="E51:K51" si="155">E22/D22</f>
        <v>6.9470060927347355</v>
      </c>
      <c r="F51" s="5">
        <f t="shared" ref="F51:K51" si="156">F22/F22</f>
        <v>1</v>
      </c>
      <c r="G51" s="5">
        <f t="shared" ref="G51:K51" si="157">G22/F22</f>
        <v>5.3377559906129362</v>
      </c>
      <c r="H51" s="5">
        <f t="shared" ref="H51:K51" si="158">H22/H22</f>
        <v>1</v>
      </c>
      <c r="I51" s="5">
        <f t="shared" ref="I51:K51" si="159">I22/H22</f>
        <v>7.3985924870053523</v>
      </c>
      <c r="J51" s="5">
        <f t="shared" ref="J51:K51" si="160">J22/J22</f>
        <v>1</v>
      </c>
      <c r="K51" s="5">
        <f t="shared" ref="K51" si="161">K22/J22</f>
        <v>7.4425938228646986</v>
      </c>
      <c r="M51" s="6">
        <f>Table41316[[#This Row],[2 - Pre]]*$N$27/(Table41316[[#This Row],[10 - pre]]*$N$26)</f>
        <v>0.82283649252523583</v>
      </c>
      <c r="N51" s="6">
        <f>Table41316[[#This Row],[2 - Post 5min]]*$N$27/(Table41316[[#This Row],[10 - Post 5min]]*$N$26)</f>
        <v>0.71623144871089139</v>
      </c>
      <c r="O51" s="6">
        <f>Table41316[[#This Row],[2 - Post 10min]]*$N$27/(Table41316[[#This Row],[10 - Post 10min]]*$N$26)</f>
        <v>0.93216404922837848</v>
      </c>
      <c r="P51" s="6">
        <f>Table41316[[#This Row],[2 - Post 15min]]*$N$27/(Table41316[[#This Row],[10 - Post 15min]]*$N$26)</f>
        <v>0.67251497453628972</v>
      </c>
      <c r="Q51" s="6">
        <f>Table41316[[#This Row],[2 - Post 20min]]*$N$27/(Table41316[[#This Row],[10 - Post 20min]]*$N$26)</f>
        <v>0.66853900084092266</v>
      </c>
      <c r="R51" s="6">
        <f>-$N$29/LN((Table1317[[#This Row],[G Pre]]-1)/(Table1317[[#This Row],[G Pre]]*$O$26-$O$27))</f>
        <v>-1.8714421488718875</v>
      </c>
      <c r="S51" s="6">
        <f>-$N$29/LN((Table1317[[#This Row],[G 5min]]-1)/(Table1317[[#This Row],[G 5min]]*$O$26-$O$27))</f>
        <v>-3.0336693408316258</v>
      </c>
      <c r="T51" s="6">
        <f>-$N$29/LN((Table1317[[#This Row],[G 10min]]-1)/(Table1317[[#This Row],[G 10min]]*$O$26-$O$27))</f>
        <v>-0.66716973858460538</v>
      </c>
      <c r="U51" s="6">
        <f>-$N$29/LN((Table1317[[#This Row],[G 15min]]-1)/(Table1317[[#This Row],[G 15min]]*$O$26-$O$27))</f>
        <v>-3.5072366853081554</v>
      </c>
      <c r="V51" s="6">
        <f>-$N$29/LN((Table1317[[#This Row],[G 20min]]-1)/(Table1317[[#This Row],[G 20min]]*$O$26-$O$27))</f>
        <v>-3.5502212856090787</v>
      </c>
    </row>
    <row r="52" spans="1:22">
      <c r="A52" s="2" t="s">
        <v>22</v>
      </c>
      <c r="B52" s="5">
        <f t="shared" si="0"/>
        <v>1</v>
      </c>
      <c r="C52" s="5">
        <f t="shared" si="1"/>
        <v>3.7185368369801535</v>
      </c>
      <c r="D52" s="5">
        <f t="shared" ref="D52" si="162">D23/D23</f>
        <v>1</v>
      </c>
      <c r="E52" s="5">
        <f t="shared" ref="E52:K52" si="163">E23/D23</f>
        <v>5.4113698040687996</v>
      </c>
      <c r="F52" s="5">
        <f t="shared" ref="F52:K52" si="164">F23/F23</f>
        <v>1</v>
      </c>
      <c r="G52" s="5">
        <f t="shared" ref="G52:K52" si="165">G23/F23</f>
        <v>5.6301886726004993</v>
      </c>
      <c r="H52" s="5">
        <f t="shared" ref="H52:K52" si="166">H23/H23</f>
        <v>1</v>
      </c>
      <c r="I52" s="5">
        <f t="shared" ref="I52:K52" si="167">I23/H23</f>
        <v>5.5778067752262732</v>
      </c>
      <c r="J52" s="5">
        <f t="shared" ref="J52:K52" si="168">J23/J23</f>
        <v>1</v>
      </c>
      <c r="K52" s="5">
        <f t="shared" ref="K52" si="169">K23/J23</f>
        <v>5.6649762758585274</v>
      </c>
      <c r="M52" s="6">
        <f>Table41316[[#This Row],[2 - Pre]]*$N$27/(Table41316[[#This Row],[10 - pre]]*$N$26)</f>
        <v>1.3380704444072569</v>
      </c>
      <c r="N52" s="6">
        <f>Table41316[[#This Row],[2 - Post 5min]]*$N$27/(Table41316[[#This Row],[10 - Post 5min]]*$N$26)</f>
        <v>0.91948331349699941</v>
      </c>
      <c r="O52" s="6">
        <f>Table41316[[#This Row],[2 - Post 10min]]*$N$27/(Table41316[[#This Row],[10 - Post 10min]]*$N$26)</f>
        <v>0.88374733554081841</v>
      </c>
      <c r="P52" s="6">
        <f>Table41316[[#This Row],[2 - Post 15min]]*$N$27/(Table41316[[#This Row],[10 - Post 15min]]*$N$26)</f>
        <v>0.89204671988676809</v>
      </c>
      <c r="Q52" s="6">
        <f>Table41316[[#This Row],[2 - Post 20min]]*$N$27/(Table41316[[#This Row],[10 - Post 20min]]*$N$26)</f>
        <v>0.87832040165935676</v>
      </c>
      <c r="R52" s="6">
        <f>-$N$29/LN((Table1317[[#This Row],[G Pre]]-1)/(Table1317[[#This Row],[G Pre]]*$O$26-$O$27))</f>
        <v>3.8897800838098955</v>
      </c>
      <c r="S52" s="6">
        <f>-$N$29/LN((Table1317[[#This Row],[G 5min]]-1)/(Table1317[[#This Row],[G 5min]]*$O$26-$O$27))</f>
        <v>-0.8077372463342255</v>
      </c>
      <c r="T52" s="6">
        <f>-$N$29/LN((Table1317[[#This Row],[G 10min]]-1)/(Table1317[[#This Row],[G 10min]]*$O$26-$O$27))</f>
        <v>-1.2023645505387219</v>
      </c>
      <c r="U52" s="6">
        <f>-$N$29/LN((Table1317[[#This Row],[G 15min]]-1)/(Table1317[[#This Row],[G 15min]]*$O$26-$O$27))</f>
        <v>-1.1108764007328651</v>
      </c>
      <c r="V52" s="6">
        <f>-$N$29/LN((Table1317[[#This Row],[G 20min]]-1)/(Table1317[[#This Row],[G 20min]]*$O$26-$O$27))</f>
        <v>-1.2621424254374349</v>
      </c>
    </row>
  </sheetData>
  <conditionalFormatting sqref="R2:V23">
    <cfRule type="cellIs" dxfId="0" priority="1" operator="lessThan">
      <formula>0</formula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T52"/>
  <sheetViews>
    <sheetView topLeftCell="AA1" zoomScaleNormal="100" workbookViewId="0">
      <selection activeCell="X1" sqref="X1:AT1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3" max="13" width="8.42578125" bestFit="1" customWidth="1"/>
    <col min="14" max="14" width="8.7109375" customWidth="1"/>
    <col min="15" max="15" width="9.140625" customWidth="1"/>
    <col min="16" max="16" width="8.140625" customWidth="1"/>
    <col min="17" max="17" width="9.5703125" customWidth="1"/>
    <col min="18" max="18" width="7.7109375" bestFit="1" customWidth="1"/>
    <col min="19" max="19" width="9" customWidth="1"/>
    <col min="20" max="20" width="9.140625" customWidth="1"/>
    <col min="21" max="21" width="9.7109375" customWidth="1"/>
    <col min="22" max="22" width="8.5703125" customWidth="1"/>
    <col min="24" max="32" width="11" customWidth="1"/>
    <col min="33" max="46" width="12" customWidth="1"/>
  </cols>
  <sheetData>
    <row r="1" spans="1:46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X1" t="s">
        <v>38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</row>
    <row r="2" spans="1:46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M2" s="6" t="e">
        <f>Table41319[[#This Row],[2 - Pre]]*$N$27/(Table41319[[#This Row],[10 - pre]]*$N$26)</f>
        <v>#DIV/0!</v>
      </c>
      <c r="N2" s="6" t="e">
        <f>Table41319[[#This Row],[2 - Post 5min]]*$N$27/(Table41319[[#This Row],[10 - Post 5min]]*$N$26)</f>
        <v>#DIV/0!</v>
      </c>
      <c r="O2" s="6" t="e">
        <f>Table41319[[#This Row],[2 - Post 10min]]*$N$27/(Table41319[[#This Row],[10 - Post 10min]]*$N$26)</f>
        <v>#DIV/0!</v>
      </c>
      <c r="P2" s="6" t="e">
        <f>Table41319[[#This Row],[2 - Post 15min]]*$N$27/(Table41319[[#This Row],[10 - Post 15min]]*$N$26)</f>
        <v>#DIV/0!</v>
      </c>
      <c r="Q2" s="6" t="e">
        <f>Table41319[[#This Row],[2 - Post 20min]]*$N$27/(Table41319[[#This Row],[10 - Post 20min]]*$N$26)</f>
        <v>#DIV/0!</v>
      </c>
      <c r="R2" s="6" t="e">
        <f>-$N$29/LN((Table1320[[#This Row],[G Pre]]-1)/(Table1320[[#This Row],[G Pre]]*$O$26-$O$27))</f>
        <v>#DIV/0!</v>
      </c>
      <c r="S2" s="6" t="e">
        <f>-$N$29/LN((Table1320[[#This Row],[G 5min]]-1)/(Table1320[[#This Row],[G 5min]]*$O$26-$O$27))</f>
        <v>#DIV/0!</v>
      </c>
      <c r="T2" s="6" t="e">
        <f>-$N$29/LN((Table1320[[#This Row],[G 10min]]-1)/(Table1320[[#This Row],[G 10min]]*$O$26-$O$27))</f>
        <v>#DIV/0!</v>
      </c>
      <c r="U2" s="6" t="e">
        <f>-$N$29/LN((Table1320[[#This Row],[G 15min]]-1)/(Table1320[[#This Row],[G 15min]]*$O$26-$O$27))</f>
        <v>#DIV/0!</v>
      </c>
      <c r="V2" s="6" t="e">
        <f>-$N$29/LN((Table1320[[#This Row],[G 20min]]-1)/(Table1320[[#This Row],[G 20min]]*$O$26-$O$27))</f>
        <v>#DIV/0!</v>
      </c>
      <c r="X2" t="s">
        <v>54</v>
      </c>
      <c r="Y2" t="e">
        <v>#DIV/0!</v>
      </c>
      <c r="Z2">
        <v>3.4644722702092752</v>
      </c>
      <c r="AA2">
        <v>-0.13605787131971925</v>
      </c>
      <c r="AB2">
        <v>1.2779698364201741</v>
      </c>
      <c r="AC2">
        <v>0.52133078970952551</v>
      </c>
      <c r="AD2">
        <v>1.6211478483778388</v>
      </c>
      <c r="AE2">
        <v>10.05211151516966</v>
      </c>
      <c r="AF2">
        <v>0.92680581004725049</v>
      </c>
      <c r="AG2">
        <v>2.6036530622777003</v>
      </c>
      <c r="AH2">
        <v>4.8092811493515999</v>
      </c>
      <c r="AI2">
        <v>-2.5222166532319452</v>
      </c>
      <c r="AJ2">
        <v>2.7314522927350668</v>
      </c>
      <c r="AK2">
        <v>0.767828532523677</v>
      </c>
      <c r="AL2">
        <v>-0.17134143476079591</v>
      </c>
      <c r="AM2" t="e">
        <v>#DIV/0!</v>
      </c>
      <c r="AN2">
        <v>5.8757962590103148</v>
      </c>
      <c r="AO2">
        <v>6.5607565654040521</v>
      </c>
      <c r="AQ2">
        <v>4.2995258386704629</v>
      </c>
      <c r="AR2">
        <v>1.7890805986638842</v>
      </c>
      <c r="AS2">
        <v>-1.8714421488718875</v>
      </c>
      <c r="AT2">
        <v>3.8897800838098955</v>
      </c>
    </row>
    <row r="3" spans="1:46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A_2]]</f>
        <v>15.266443701226308</v>
      </c>
      <c r="E3" s="5">
        <f>Table1[[#This Row],[10 - Post 5min]]/Table1[[#This Row],[Rescale A_10]]</f>
        <v>82.237735849056605</v>
      </c>
      <c r="F3" s="5">
        <f>Table1[[#This Row],[2 - Post 10min]]/Table1[[#This Row],[Rescale A_2]]</f>
        <v>15.865105908584168</v>
      </c>
      <c r="G3" s="5">
        <f>Table1[[#This Row],[10 - Post 10min]]/Table1[[#This Row],[Rescale A_10]]</f>
        <v>89.647169811320751</v>
      </c>
      <c r="H3" s="5">
        <f>Table1[[#This Row],[2 - Post 15min]]/Table1[[#This Row],[Rescale A_2]]</f>
        <v>15.683389074693423</v>
      </c>
      <c r="I3" s="5">
        <f>Table1[[#This Row],[10 - Post 15min]]/Table1[[#This Row],[Rescale A_10]]</f>
        <v>91.649056603773587</v>
      </c>
      <c r="J3" s="5">
        <f>Table1[[#This Row],[2 - Post 20min]]/Table1[[#This Row],[Rescale A_2]]</f>
        <v>16.01560758082497</v>
      </c>
      <c r="K3" s="5">
        <f>Table1[[#This Row],[10 - Post 20min]]/Table1[[#This Row],[Rescale A_10]]</f>
        <v>90.164150943396237</v>
      </c>
      <c r="M3" s="6">
        <f>Table41319[[#This Row],[2 - Pre]]*$N$27/(Table41319[[#This Row],[10 - pre]]*$N$26)</f>
        <v>1.3008056773482592</v>
      </c>
      <c r="N3" s="6">
        <f>Table41319[[#This Row],[2 - Post 5min]]*$N$27/(Table41319[[#This Row],[10 - Post 5min]]*$N$26)</f>
        <v>0.92367204886448795</v>
      </c>
      <c r="O3" s="6">
        <f>Table41319[[#This Row],[2 - Post 10min]]*$N$27/(Table41319[[#This Row],[10 - Post 10min]]*$N$26)</f>
        <v>0.88055696869864164</v>
      </c>
      <c r="P3" s="6">
        <f>Table41319[[#This Row],[2 - Post 15min]]*$N$27/(Table41319[[#This Row],[10 - Post 15min]]*$N$26)</f>
        <v>0.85145751676425518</v>
      </c>
      <c r="Q3" s="6">
        <f>Table41319[[#This Row],[2 - Post 20min]]*$N$27/(Table41319[[#This Row],[10 - Post 20min]]*$N$26)</f>
        <v>0.88381341204914499</v>
      </c>
      <c r="R3" s="6">
        <f>-$N$29/LN((Table1320[[#This Row],[G Pre]]-1)/(Table1320[[#This Row],[G Pre]]*$O$26-$O$27))</f>
        <v>3.4644722702092752</v>
      </c>
      <c r="S3" s="6">
        <f>-$N$29/LN((Table1320[[#This Row],[G 5min]]-1)/(Table1320[[#This Row],[G 5min]]*$O$26-$O$27))</f>
        <v>-0.76134429263199177</v>
      </c>
      <c r="T3" s="6">
        <f>-$N$29/LN((Table1320[[#This Row],[G 10min]]-1)/(Table1320[[#This Row],[G 10min]]*$O$26-$O$27))</f>
        <v>-1.2375108326079596</v>
      </c>
      <c r="U3" s="6">
        <f>-$N$29/LN((Table1320[[#This Row],[G 15min]]-1)/(Table1320[[#This Row],[G 15min]]*$O$26-$O$27))</f>
        <v>-1.5575443587894182</v>
      </c>
      <c r="V3" s="6">
        <f>-$N$29/LN((Table1320[[#This Row],[G 20min]]-1)/(Table1320[[#This Row],[G 20min]]*$O$26-$O$27))</f>
        <v>-1.201636496371207</v>
      </c>
      <c r="X3" t="s">
        <v>55</v>
      </c>
      <c r="Y3" t="e">
        <v>#DIV/0!</v>
      </c>
      <c r="Z3">
        <v>-0.76134429263199177</v>
      </c>
      <c r="AA3">
        <v>3.401670283718857</v>
      </c>
      <c r="AB3">
        <v>-2.6414417213358417</v>
      </c>
      <c r="AC3">
        <v>-3.3550020284117257</v>
      </c>
      <c r="AD3">
        <v>0.796989787836902</v>
      </c>
      <c r="AE3">
        <v>3.0539415376578245</v>
      </c>
      <c r="AF3">
        <v>-2.4204147801813725</v>
      </c>
      <c r="AH3">
        <v>-0.50056277920889292</v>
      </c>
      <c r="AI3">
        <v>-4.4430511104524664</v>
      </c>
      <c r="AJ3">
        <v>-0.82296098429966091</v>
      </c>
      <c r="AK3">
        <v>-3.2056360650171656</v>
      </c>
      <c r="AL3">
        <v>-2.9034724287482621</v>
      </c>
      <c r="AM3" t="e">
        <v>#DIV/0!</v>
      </c>
      <c r="AN3">
        <v>-0.60109946435904049</v>
      </c>
      <c r="AO3">
        <v>1.5628507169179926</v>
      </c>
      <c r="AQ3">
        <v>0.38268918457866852</v>
      </c>
      <c r="AR3">
        <v>2.1570700726473273</v>
      </c>
      <c r="AS3">
        <v>-3.0336693408316258</v>
      </c>
      <c r="AT3">
        <v>-0.8077372463342255</v>
      </c>
    </row>
    <row r="4" spans="1:46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A_2]]</f>
        <v>11.337813620071685</v>
      </c>
      <c r="E4" s="5">
        <f>Table1[[#This Row],[10 - Post 5min]]/Table1[[#This Row],[Rescale A_10]]</f>
        <v>43.552419354838712</v>
      </c>
      <c r="F4" s="5">
        <f>Table1[[#This Row],[2 - Post 10min]]/Table1[[#This Row],[Rescale A_2]]</f>
        <v>11.36021505376344</v>
      </c>
      <c r="G4" s="5">
        <f>Table1[[#This Row],[10 - Post 10min]]/Table1[[#This Row],[Rescale A_10]]</f>
        <v>79.554435483870961</v>
      </c>
      <c r="H4" s="5">
        <f>Table1[[#This Row],[2 - Post 15min]]/Table1[[#This Row],[Rescale A_2]]</f>
        <v>11.350358422939069</v>
      </c>
      <c r="I4" s="5">
        <f>Table1[[#This Row],[10 - Post 15min]]/Table1[[#This Row],[Rescale A_10]]</f>
        <v>80.243951612903231</v>
      </c>
      <c r="J4" s="5">
        <f>Table1[[#This Row],[2 - Post 20min]]/Table1[[#This Row],[Rescale A_2]]</f>
        <v>11.753584229390679</v>
      </c>
      <c r="K4" s="5">
        <f>Table1[[#This Row],[10 - Post 20min]]/Table1[[#This Row],[Rescale A_10]]</f>
        <v>79.977822580645167</v>
      </c>
      <c r="M4" s="6">
        <f>Table41319[[#This Row],[2 - Pre]]*$N$27/(Table41319[[#This Row],[10 - pre]]*$N$26)</f>
        <v>0.97902842296696546</v>
      </c>
      <c r="N4" s="6">
        <f>Table41319[[#This Row],[2 - Post 5min]]*$N$27/(Table41319[[#This Row],[10 - Post 5min]]*$N$26)</f>
        <v>1.2952932260068366</v>
      </c>
      <c r="O4" s="6">
        <f>Table41319[[#This Row],[2 - Post 10min]]*$N$27/(Table41319[[#This Row],[10 - Post 10min]]*$N$26)</f>
        <v>0.7105149503636613</v>
      </c>
      <c r="P4" s="6">
        <f>Table41319[[#This Row],[2 - Post 15min]]*$N$27/(Table41319[[#This Row],[10 - Post 15min]]*$N$26)</f>
        <v>0.70379849643957948</v>
      </c>
      <c r="Q4" s="6">
        <f>Table41319[[#This Row],[2 - Post 20min]]*$N$27/(Table41319[[#This Row],[10 - Post 20min]]*$N$26)</f>
        <v>0.73122631789034898</v>
      </c>
      <c r="R4" s="6">
        <f>-$N$29/LN((Table1320[[#This Row],[G Pre]]-1)/(Table1320[[#This Row],[G Pre]]*$O$26-$O$27))</f>
        <v>-0.13605787131971925</v>
      </c>
      <c r="S4" s="6">
        <f>-$N$29/LN((Table1320[[#This Row],[G 5min]]-1)/(Table1320[[#This Row],[G 5min]]*$O$26-$O$27))</f>
        <v>3.401670283718857</v>
      </c>
      <c r="T4" s="6">
        <f>-$N$29/LN((Table1320[[#This Row],[G 10min]]-1)/(Table1320[[#This Row],[G 10min]]*$O$26-$O$27))</f>
        <v>-3.0956932563087141</v>
      </c>
      <c r="U4" s="6">
        <f>-$N$29/LN((Table1320[[#This Row],[G 15min]]-1)/(Table1320[[#This Row],[G 15min]]*$O$26-$O$27))</f>
        <v>-3.1685285671456773</v>
      </c>
      <c r="V4" s="6">
        <f>-$N$29/LN((Table1320[[#This Row],[G 20min]]-1)/(Table1320[[#This Row],[G 20min]]*$O$26-$O$27))</f>
        <v>-2.8708330856222002</v>
      </c>
      <c r="X4" t="s">
        <v>56</v>
      </c>
      <c r="Y4" t="e">
        <v>#DIV/0!</v>
      </c>
      <c r="Z4">
        <v>-1.2375108326079596</v>
      </c>
      <c r="AA4">
        <v>-3.0956932563087141</v>
      </c>
      <c r="AB4">
        <v>-2.2810584451894376</v>
      </c>
      <c r="AC4">
        <v>-3.6345971493160154</v>
      </c>
      <c r="AD4">
        <v>0.69009611250599445</v>
      </c>
      <c r="AE4">
        <v>2.1154938855825884</v>
      </c>
      <c r="AF4">
        <v>-2.9613427905736875</v>
      </c>
      <c r="AG4">
        <v>-2.8216187428861237</v>
      </c>
      <c r="AH4">
        <v>-0.94636852503729008</v>
      </c>
      <c r="AI4">
        <v>-4.6073880567360641</v>
      </c>
      <c r="AJ4">
        <v>-0.12031044052702607</v>
      </c>
      <c r="AK4">
        <v>-2.3481481700775264</v>
      </c>
      <c r="AL4">
        <v>-3.3566228290089271</v>
      </c>
      <c r="AM4" t="e">
        <v>#DIV/0!</v>
      </c>
      <c r="AN4">
        <v>-0.90448239902328387</v>
      </c>
      <c r="AO4">
        <v>1.1202113004601639</v>
      </c>
      <c r="AQ4">
        <v>-0.2586852836048521</v>
      </c>
      <c r="AR4">
        <v>-1.4706276373867542</v>
      </c>
      <c r="AS4">
        <v>-0.66716973858460538</v>
      </c>
      <c r="AT4">
        <v>-1.2023645505387202</v>
      </c>
    </row>
    <row r="5" spans="1:46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A_2]]</f>
        <v>11.476190476190476</v>
      </c>
      <c r="E5" s="5">
        <f>Table1[[#This Row],[10 - Post 5min]]/Table1[[#This Row],[Rescale A_10]]</f>
        <v>75.901006711409394</v>
      </c>
      <c r="F5" s="5">
        <f>Table1[[#This Row],[2 - Post 10min]]/Table1[[#This Row],[Rescale A_2]]</f>
        <v>11.418498168498168</v>
      </c>
      <c r="G5" s="5">
        <f>Table1[[#This Row],[10 - Post 10min]]/Table1[[#This Row],[Rescale A_10]]</f>
        <v>72.340604026845639</v>
      </c>
      <c r="H5" s="5">
        <f>Table1[[#This Row],[2 - Post 15min]]/Table1[[#This Row],[Rescale A_2]]</f>
        <v>11.175824175824177</v>
      </c>
      <c r="I5" s="5">
        <f>Table1[[#This Row],[10 - Post 15min]]/Table1[[#This Row],[Rescale A_10]]</f>
        <v>78.057046979865774</v>
      </c>
      <c r="J5" s="5">
        <f>Table1[[#This Row],[2 - Post 20min]]/Table1[[#This Row],[Rescale A_2]]</f>
        <v>11.187728937728938</v>
      </c>
      <c r="K5" s="5">
        <f>Table1[[#This Row],[10 - Post 20min]]/Table1[[#This Row],[Rescale A_10]]</f>
        <v>60.191275167785236</v>
      </c>
      <c r="M5" s="6">
        <f>Table41319[[#This Row],[2 - Pre]]*$N$27/(Table41319[[#This Row],[10 - pre]]*$N$26)</f>
        <v>1.1074198196834613</v>
      </c>
      <c r="N5" s="6">
        <f>Table41319[[#This Row],[2 - Post 5min]]*$N$27/(Table41319[[#This Row],[10 - Post 5min]]*$N$26)</f>
        <v>0.75231769662820114</v>
      </c>
      <c r="O5" s="6">
        <f>Table41319[[#This Row],[2 - Post 10min]]*$N$27/(Table41319[[#This Row],[10 - Post 10min]]*$N$26)</f>
        <v>0.78537653580571076</v>
      </c>
      <c r="P5" s="6">
        <f>Table41319[[#This Row],[2 - Post 15min]]*$N$27/(Table41319[[#This Row],[10 - Post 15min]]*$N$26)</f>
        <v>0.71239113998507786</v>
      </c>
      <c r="Q5" s="6">
        <f>Table41319[[#This Row],[2 - Post 20min]]*$N$27/(Table41319[[#This Row],[10 - Post 20min]]*$N$26)</f>
        <v>0.9248247794178619</v>
      </c>
      <c r="R5" s="6">
        <f>-$N$29/LN((Table1320[[#This Row],[G Pre]]-1)/(Table1320[[#This Row],[G Pre]]*$O$26-$O$27))</f>
        <v>1.2779698364201741</v>
      </c>
      <c r="S5" s="6">
        <f>-$N$29/LN((Table1320[[#This Row],[G 5min]]-1)/(Table1320[[#This Row],[G 5min]]*$O$26-$O$27))</f>
        <v>-2.6414417213358417</v>
      </c>
      <c r="T5" s="6">
        <f>-$N$29/LN((Table1320[[#This Row],[G 10min]]-1)/(Table1320[[#This Row],[G 10min]]*$O$26-$O$27))</f>
        <v>-2.2810584451894376</v>
      </c>
      <c r="U5" s="6">
        <f>-$N$29/LN((Table1320[[#This Row],[G 15min]]-1)/(Table1320[[#This Row],[G 15min]]*$O$26-$O$27))</f>
        <v>-3.0753399200337297</v>
      </c>
      <c r="V5" s="6">
        <f>-$N$29/LN((Table1320[[#This Row],[G 20min]]-1)/(Table1320[[#This Row],[G 20min]]*$O$26-$O$27))</f>
        <v>-0.74857062884268455</v>
      </c>
      <c r="X5" t="s">
        <v>57</v>
      </c>
      <c r="Y5" t="e">
        <v>#DIV/0!</v>
      </c>
      <c r="Z5">
        <v>-1.5575443587894182</v>
      </c>
      <c r="AA5">
        <v>-3.1685285671456773</v>
      </c>
      <c r="AB5">
        <v>-3.0753399200337297</v>
      </c>
      <c r="AC5">
        <v>-3.8400979523051717</v>
      </c>
      <c r="AD5" t="e">
        <v>#NUM!</v>
      </c>
      <c r="AE5">
        <v>2.0262318952111538</v>
      </c>
      <c r="AF5">
        <v>-3.1379798518811008</v>
      </c>
      <c r="AG5">
        <v>-3.262023823391174</v>
      </c>
      <c r="AH5">
        <v>-1.0975104733522025</v>
      </c>
      <c r="AI5">
        <v>-4.7131295383449823</v>
      </c>
      <c r="AJ5">
        <v>-0.94469204933930118</v>
      </c>
      <c r="AK5">
        <v>-3.1308873890929005</v>
      </c>
      <c r="AL5">
        <v>-3.5779977554029143</v>
      </c>
      <c r="AM5" t="e">
        <v>#DIV/0!</v>
      </c>
      <c r="AN5">
        <v>-0.34200721977918763</v>
      </c>
      <c r="AO5">
        <v>0.15319148747147746</v>
      </c>
      <c r="AQ5">
        <v>-0.24844440761248687</v>
      </c>
      <c r="AR5">
        <v>-2.1085471620444682</v>
      </c>
      <c r="AS5">
        <v>-3.5072366853081554</v>
      </c>
      <c r="AT5">
        <v>-1.1108764007328664</v>
      </c>
    </row>
    <row r="6" spans="1:46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A_2]]</f>
        <v>9.2803234501347713</v>
      </c>
      <c r="E6" s="5">
        <f>Table1[[#This Row],[10 - Post 5min]]/Table1[[#This Row],[Rescale A_10]]</f>
        <v>67.254201680672267</v>
      </c>
      <c r="F6" s="5">
        <f>Table1[[#This Row],[2 - Post 10min]]/Table1[[#This Row],[Rescale A_2]]</f>
        <v>9.3629829290206636</v>
      </c>
      <c r="G6" s="5">
        <f>Table1[[#This Row],[10 - Post 10min]]/Table1[[#This Row],[Rescale A_10]]</f>
        <v>70.508403361344548</v>
      </c>
      <c r="H6" s="5">
        <f>Table1[[#This Row],[2 - Post 15min]]/Table1[[#This Row],[Rescale A_2]]</f>
        <v>9.752920035938903</v>
      </c>
      <c r="I6" s="5">
        <f>Table1[[#This Row],[10 - Post 15min]]/Table1[[#This Row],[Rescale A_10]]</f>
        <v>75.623949579831944</v>
      </c>
      <c r="J6" s="5">
        <f>Table1[[#This Row],[2 - Post 20min]]/Table1[[#This Row],[Rescale A_2]]</f>
        <v>9.219227313566936</v>
      </c>
      <c r="K6" s="5">
        <f>Table1[[#This Row],[10 - Post 20min]]/Table1[[#This Row],[Rescale A_10]]</f>
        <v>69.491596638655466</v>
      </c>
      <c r="M6" s="6">
        <f>Table41319[[#This Row],[2 - Pre]]*$N$27/(Table41319[[#This Row],[10 - pre]]*$N$26)</f>
        <v>1.0399483775522547</v>
      </c>
      <c r="N6" s="6">
        <f>Table41319[[#This Row],[2 - Post 5min]]*$N$27/(Table41319[[#This Row],[10 - Post 5min]]*$N$26)</f>
        <v>0.68658570548766751</v>
      </c>
      <c r="O6" s="6">
        <f>Table41319[[#This Row],[2 - Post 10min]]*$N$27/(Table41319[[#This Row],[10 - Post 10min]]*$N$26)</f>
        <v>0.66073059522008071</v>
      </c>
      <c r="P6" s="6">
        <f>Table41319[[#This Row],[2 - Post 15min]]*$N$27/(Table41319[[#This Row],[10 - Post 15min]]*$N$26)</f>
        <v>0.64169162955043213</v>
      </c>
      <c r="Q6" s="6">
        <f>Table41319[[#This Row],[2 - Post 20min]]*$N$27/(Table41319[[#This Row],[10 - Post 20min]]*$N$26)</f>
        <v>0.66010542087065605</v>
      </c>
      <c r="R6" s="6">
        <f>-$N$29/LN((Table1320[[#This Row],[G Pre]]-1)/(Table1320[[#This Row],[G Pre]]*$O$26-$O$27))</f>
        <v>0.52133078970952551</v>
      </c>
      <c r="S6" s="6">
        <f>-$N$29/LN((Table1320[[#This Row],[G 5min]]-1)/(Table1320[[#This Row],[G 5min]]*$O$26-$O$27))</f>
        <v>-3.3550020284117257</v>
      </c>
      <c r="T6" s="6">
        <f>-$N$29/LN((Table1320[[#This Row],[G 10min]]-1)/(Table1320[[#This Row],[G 10min]]*$O$26-$O$27))</f>
        <v>-3.6345971493160154</v>
      </c>
      <c r="U6" s="6">
        <f>-$N$29/LN((Table1320[[#This Row],[G 15min]]-1)/(Table1320[[#This Row],[G 15min]]*$O$26-$O$27))</f>
        <v>-3.8400979523051717</v>
      </c>
      <c r="V6" s="6">
        <f>-$N$29/LN((Table1320[[#This Row],[G 20min]]-1)/(Table1320[[#This Row],[G 20min]]*$O$26-$O$27))</f>
        <v>-3.6413502665921014</v>
      </c>
      <c r="X6" t="s">
        <v>58</v>
      </c>
      <c r="Y6" t="e">
        <v>#DIV/0!</v>
      </c>
      <c r="Z6">
        <v>-1.201636496371207</v>
      </c>
      <c r="AA6">
        <v>-2.8708330856222002</v>
      </c>
      <c r="AB6">
        <v>-0.74857062884268455</v>
      </c>
      <c r="AC6">
        <v>-3.6413502665921014</v>
      </c>
      <c r="AD6">
        <v>0.91349168299202355</v>
      </c>
      <c r="AE6">
        <v>2.342315164160063</v>
      </c>
      <c r="AF6">
        <v>-3.3865913526460427</v>
      </c>
      <c r="AG6">
        <v>-3.1442295028809548</v>
      </c>
      <c r="AH6">
        <v>-0.73103433884982005</v>
      </c>
      <c r="AI6">
        <v>-4.6531478984516781</v>
      </c>
      <c r="AJ6">
        <v>-1.2494641118756387</v>
      </c>
      <c r="AK6">
        <v>-3.1595197285181276</v>
      </c>
      <c r="AL6">
        <v>-3.333344691312722</v>
      </c>
      <c r="AM6" t="e">
        <v>#DIV/0!</v>
      </c>
      <c r="AN6">
        <v>-0.75734695717488032</v>
      </c>
      <c r="AO6" t="e">
        <v>#NUM!</v>
      </c>
      <c r="AQ6" t="e">
        <v>#NUM!</v>
      </c>
      <c r="AR6">
        <v>-2.0386610813912238</v>
      </c>
      <c r="AS6">
        <v>-3.5502212856090787</v>
      </c>
      <c r="AT6">
        <v>-1.2621424254374329</v>
      </c>
    </row>
    <row r="7" spans="1:46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A_2]]</f>
        <v>24.707350901525658</v>
      </c>
      <c r="E7" s="5">
        <f>Table1[[#This Row],[10 - Post 5min]]/Table1[[#This Row],[Rescale A_10]]</f>
        <v>115.48387096774194</v>
      </c>
      <c r="F7" s="5">
        <f>Table1[[#This Row],[2 - Post 10min]]/Table1[[#This Row],[Rescale A_2]]</f>
        <v>24.940360610263522</v>
      </c>
      <c r="G7" s="5">
        <f>Table1[[#This Row],[10 - Post 10min]]/Table1[[#This Row],[Rescale A_10]]</f>
        <v>117.62672811059909</v>
      </c>
      <c r="H7" s="5">
        <f>Table1[[#This Row],[2 - Post 15min]]/Table1[[#This Row],[Rescale A_2]]</f>
        <v>23.615811373092928</v>
      </c>
      <c r="I7" s="5">
        <f>Table1[[#This Row],[10 - Post 15min]]/Table1[[#This Row],[Rescale A_10]]</f>
        <v>119.22119815668202</v>
      </c>
      <c r="J7" s="5">
        <f>Table1[[#This Row],[2 - Post 20min]]/Table1[[#This Row],[Rescale A_2]]</f>
        <v>25.650485436893202</v>
      </c>
      <c r="K7" s="5">
        <f>Table1[[#This Row],[10 - Post 20min]]/Table1[[#This Row],[Rescale A_10]]</f>
        <v>118.73271889400921</v>
      </c>
      <c r="M7" s="6">
        <f>Table41319[[#This Row],[2 - Pre]]*$N$27/(Table41319[[#This Row],[10 - pre]]*$N$26)</f>
        <v>1.1379642365071603</v>
      </c>
      <c r="N7" s="6">
        <f>Table41319[[#This Row],[2 - Post 5min]]*$N$27/(Table41319[[#This Row],[10 - Post 5min]]*$N$26)</f>
        <v>1.0645251260312074</v>
      </c>
      <c r="O7" s="6">
        <f>Table41319[[#This Row],[2 - Post 10min]]*$N$27/(Table41319[[#This Row],[10 - Post 10min]]*$N$26)</f>
        <v>1.0549886268595421</v>
      </c>
      <c r="P7" s="6">
        <f>Table41319[[#This Row],[2 - Post 15min]]*$N$27/(Table41319[[#This Row],[10 - Post 15min]]*$N$26)</f>
        <v>0.98559945644978575</v>
      </c>
      <c r="Q7" s="6">
        <f>Table41319[[#This Row],[2 - Post 20min]]*$N$27/(Table41319[[#This Row],[10 - Post 20min]]*$N$26)</f>
        <v>1.074920243254031</v>
      </c>
      <c r="R7" s="6">
        <f>-$N$29/LN((Table1320[[#This Row],[G Pre]]-1)/(Table1320[[#This Row],[G Pre]]*$O$26-$O$27))</f>
        <v>1.6211478483778388</v>
      </c>
      <c r="S7" s="6">
        <f>-$N$29/LN((Table1320[[#This Row],[G 5min]]-1)/(Table1320[[#This Row],[G 5min]]*$O$26-$O$27))</f>
        <v>0.796989787836902</v>
      </c>
      <c r="T7" s="6">
        <f>-$N$29/LN((Table1320[[#This Row],[G 10min]]-1)/(Table1320[[#This Row],[G 10min]]*$O$26-$O$27))</f>
        <v>0.69009611250599445</v>
      </c>
      <c r="U7" s="6" t="e">
        <f>-$N$29/LN((Table1320[[#This Row],[G 15min]]-1)/(Table1320[[#This Row],[G 15min]]*$O$26-$O$27))</f>
        <v>#NUM!</v>
      </c>
      <c r="V7" s="6">
        <f>-$N$29/LN((Table1320[[#This Row],[G 20min]]-1)/(Table1320[[#This Row],[G 20min]]*$O$26-$O$27))</f>
        <v>0.91349168299202355</v>
      </c>
    </row>
    <row r="8" spans="1:46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A_2]]</f>
        <v>17.33080808080808</v>
      </c>
      <c r="E8" s="5">
        <f>Table1[[#This Row],[10 - Post 5min]]/Table1[[#This Row],[Rescale A_10]]</f>
        <v>68.182608695652178</v>
      </c>
      <c r="F8" s="5">
        <f>Table1[[#This Row],[2 - Post 10min]]/Table1[[#This Row],[Rescale A_2]]</f>
        <v>16.763888888888889</v>
      </c>
      <c r="G8" s="5">
        <f>Table1[[#This Row],[10 - Post 10min]]/Table1[[#This Row],[Rescale A_10]]</f>
        <v>70.577391304347827</v>
      </c>
      <c r="H8" s="5">
        <f>Table1[[#This Row],[2 - Post 15min]]/Table1[[#This Row],[Rescale A_2]]</f>
        <v>16.853535353535353</v>
      </c>
      <c r="I8" s="5">
        <f>Table1[[#This Row],[10 - Post 15min]]/Table1[[#This Row],[Rescale A_10]]</f>
        <v>71.433043478260871</v>
      </c>
      <c r="J8" s="5">
        <f>Table1[[#This Row],[2 - Post 20min]]/Table1[[#This Row],[Rescale A_2]]</f>
        <v>17.935606060606062</v>
      </c>
      <c r="K8" s="5">
        <f>Table1[[#This Row],[10 - Post 20min]]/Table1[[#This Row],[Rescale A_10]]</f>
        <v>74.248695652173907</v>
      </c>
      <c r="M8" s="6">
        <f>Table41319[[#This Row],[2 - Pre]]*$N$27/(Table41319[[#This Row],[10 - pre]]*$N$26)</f>
        <v>1.8651689214168614</v>
      </c>
      <c r="N8" s="6">
        <f>Table41319[[#This Row],[2 - Post 5min]]*$N$27/(Table41319[[#This Row],[10 - Post 5min]]*$N$26)</f>
        <v>1.2647254722723056</v>
      </c>
      <c r="O8" s="6">
        <f>Table41319[[#This Row],[2 - Post 10min]]*$N$27/(Table41319[[#This Row],[10 - Post 10min]]*$N$26)</f>
        <v>1.1818442264974776</v>
      </c>
      <c r="P8" s="6">
        <f>Table41319[[#This Row],[2 - Post 15min]]*$N$27/(Table41319[[#This Row],[10 - Post 15min]]*$N$26)</f>
        <v>1.1739319656458682</v>
      </c>
      <c r="Q8" s="6">
        <f>Table41319[[#This Row],[2 - Post 20min]]*$N$27/(Table41319[[#This Row],[10 - Post 20min]]*$N$26)</f>
        <v>1.2019275608655191</v>
      </c>
      <c r="R8" s="6">
        <f>-$N$29/LN((Table1320[[#This Row],[G Pre]]-1)/(Table1320[[#This Row],[G Pre]]*$O$26-$O$27))</f>
        <v>10.05211151516966</v>
      </c>
      <c r="S8" s="6">
        <f>-$N$29/LN((Table1320[[#This Row],[G 5min]]-1)/(Table1320[[#This Row],[G 5min]]*$O$26-$O$27))</f>
        <v>3.0539415376578245</v>
      </c>
      <c r="T8" s="6">
        <f>-$N$29/LN((Table1320[[#This Row],[G 10min]]-1)/(Table1320[[#This Row],[G 10min]]*$O$26-$O$27))</f>
        <v>2.1154938855825884</v>
      </c>
      <c r="U8" s="6">
        <f>-$N$29/LN((Table1320[[#This Row],[G 15min]]-1)/(Table1320[[#This Row],[G 15min]]*$O$26-$O$27))</f>
        <v>2.0262318952111538</v>
      </c>
      <c r="V8" s="6">
        <f>-$N$29/LN((Table1320[[#This Row],[G 20min]]-1)/(Table1320[[#This Row],[G 20min]]*$O$26-$O$27))</f>
        <v>2.342315164160063</v>
      </c>
    </row>
    <row r="9" spans="1:46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A_2]]</f>
        <v>14.379487179487178</v>
      </c>
      <c r="E9" s="5">
        <f>Table1[[#This Row],[10 - Post 5min]]/Table1[[#This Row],[Rescale A_10]]</f>
        <v>92.605633802816911</v>
      </c>
      <c r="F9" s="5">
        <f>Table1[[#This Row],[2 - Post 10min]]/Table1[[#This Row],[Rescale A_2]]</f>
        <v>14.387692307692308</v>
      </c>
      <c r="G9" s="5">
        <f>Table1[[#This Row],[10 - Post 10min]]/Table1[[#This Row],[Rescale A_10]]</f>
        <v>99.030181086519121</v>
      </c>
      <c r="H9" s="5">
        <f>Table1[[#This Row],[2 - Post 15min]]/Table1[[#This Row],[Rescale A_2]]</f>
        <v>14.447179487179488</v>
      </c>
      <c r="I9" s="5">
        <f>Table1[[#This Row],[10 - Post 15min]]/Table1[[#This Row],[Rescale A_10]]</f>
        <v>101.73038229376259</v>
      </c>
      <c r="J9" s="5">
        <f>Table1[[#This Row],[2 - Post 20min]]/Table1[[#This Row],[Rescale A_2]]</f>
        <v>14.348717948717949</v>
      </c>
      <c r="K9" s="5">
        <f>Table1[[#This Row],[10 - Post 20min]]/Table1[[#This Row],[Rescale A_10]]</f>
        <v>104.42857142857143</v>
      </c>
      <c r="M9" s="6">
        <f>Table41319[[#This Row],[2 - Pre]]*$N$27/(Table41319[[#This Row],[10 - pre]]*$N$26)</f>
        <v>1.0761081462020172</v>
      </c>
      <c r="N9" s="6">
        <f>Table41319[[#This Row],[2 - Post 5min]]*$N$27/(Table41319[[#This Row],[10 - Post 5min]]*$N$26)</f>
        <v>0.77260418380309803</v>
      </c>
      <c r="O9" s="6">
        <f>Table41319[[#This Row],[2 - Post 10min]]*$N$27/(Table41319[[#This Row],[10 - Post 10min]]*$N$26)</f>
        <v>0.72289402379491041</v>
      </c>
      <c r="P9" s="6">
        <f>Table41319[[#This Row],[2 - Post 15min]]*$N$27/(Table41319[[#This Row],[10 - Post 15min]]*$N$26)</f>
        <v>0.70661598525000235</v>
      </c>
      <c r="Q9" s="6">
        <f>Table41319[[#This Row],[2 - Post 20min]]*$N$27/(Table41319[[#This Row],[10 - Post 20min]]*$N$26)</f>
        <v>0.68366733147793768</v>
      </c>
      <c r="R9" s="6">
        <f>-$N$29/LN((Table1320[[#This Row],[G Pre]]-1)/(Table1320[[#This Row],[G Pre]]*$O$26-$O$27))</f>
        <v>0.92680581004725049</v>
      </c>
      <c r="S9" s="6">
        <f>-$N$29/LN((Table1320[[#This Row],[G 5min]]-1)/(Table1320[[#This Row],[G 5min]]*$O$26-$O$27))</f>
        <v>-2.4204147801813725</v>
      </c>
      <c r="T9" s="6">
        <f>-$N$29/LN((Table1320[[#This Row],[G 10min]]-1)/(Table1320[[#This Row],[G 10min]]*$O$26-$O$27))</f>
        <v>-2.9613427905736875</v>
      </c>
      <c r="U9" s="6">
        <f>-$N$29/LN((Table1320[[#This Row],[G 15min]]-1)/(Table1320[[#This Row],[G 15min]]*$O$26-$O$27))</f>
        <v>-3.1379798518811008</v>
      </c>
      <c r="V9" s="6">
        <f>-$N$29/LN((Table1320[[#This Row],[G 20min]]-1)/(Table1320[[#This Row],[G 20min]]*$O$26-$O$27))</f>
        <v>-3.3865913526460427</v>
      </c>
    </row>
    <row r="10" spans="1:46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/>
      <c r="E10" s="5"/>
      <c r="F10" s="5">
        <f>Table1[[#This Row],[2 - Post 10min]]/Table1[[#This Row],[Rescale A_2]]</f>
        <v>27.495212038303695</v>
      </c>
      <c r="G10" s="5">
        <f>Table1[[#This Row],[10 - Post 10min]]/Table1[[#This Row],[Rescale A_10]]</f>
        <v>185.94101876675603</v>
      </c>
      <c r="H10" s="5">
        <f>Table1[[#This Row],[2 - Post 15min]]/Table1[[#This Row],[Rescale A_2]]</f>
        <v>26.857729138166899</v>
      </c>
      <c r="I10" s="5">
        <f>Table1[[#This Row],[10 - Post 15min]]/Table1[[#This Row],[Rescale A_10]]</f>
        <v>192.2332439678284</v>
      </c>
      <c r="J10" s="5">
        <f>Table1[[#This Row],[2 - Post 20min]]/Table1[[#This Row],[Rescale A_2]]</f>
        <v>26.875512995896035</v>
      </c>
      <c r="K10" s="5">
        <f>Table1[[#This Row],[10 - Post 20min]]/Table1[[#This Row],[Rescale A_10]]</f>
        <v>189.39946380697052</v>
      </c>
      <c r="M10" s="6">
        <f>Table41319[[#This Row],[2 - Pre]]*$N$27/(Table41319[[#This Row],[10 - pre]]*$N$26)</f>
        <v>1.2250269361684927</v>
      </c>
      <c r="N10" s="6" t="e">
        <f>Table41319[[#This Row],[2 - Post 5min]]*$N$27/(Table41319[[#This Row],[10 - Post 5min]]*$N$26)</f>
        <v>#DIV/0!</v>
      </c>
      <c r="O10" s="6">
        <f>Table41319[[#This Row],[2 - Post 10min]]*$N$27/(Table41319[[#This Row],[10 - Post 10min]]*$N$26)</f>
        <v>0.73575451055746743</v>
      </c>
      <c r="P10" s="6">
        <f>Table41319[[#This Row],[2 - Post 15min]]*$N$27/(Table41319[[#This Row],[10 - Post 15min]]*$N$26)</f>
        <v>0.69517134304359585</v>
      </c>
      <c r="Q10" s="6">
        <f>Table41319[[#This Row],[2 - Post 20min]]*$N$27/(Table41319[[#This Row],[10 - Post 20min]]*$N$26)</f>
        <v>0.70603963814779103</v>
      </c>
      <c r="R10" s="6">
        <f>-$N$29/LN((Table1320[[#This Row],[G Pre]]-1)/(Table1320[[#This Row],[G Pre]]*$O$26-$O$27))</f>
        <v>2.6036530622777003</v>
      </c>
      <c r="S10" s="6" t="e">
        <f>-$N$29/LN((Table1320[[#This Row],[G 5min]]-1)/(Table1320[[#This Row],[G 5min]]*$O$26-$O$27))</f>
        <v>#DIV/0!</v>
      </c>
      <c r="T10" s="6">
        <f>-$N$29/LN((Table1320[[#This Row],[G 10min]]-1)/(Table1320[[#This Row],[G 10min]]*$O$26-$O$27))</f>
        <v>-2.8216187428861237</v>
      </c>
      <c r="U10" s="6">
        <f>-$N$29/LN((Table1320[[#This Row],[G 15min]]-1)/(Table1320[[#This Row],[G 15min]]*$O$26-$O$27))</f>
        <v>-3.262023823391174</v>
      </c>
      <c r="V10" s="6">
        <f>-$N$29/LN((Table1320[[#This Row],[G 20min]]-1)/(Table1320[[#This Row],[G 20min]]*$O$26-$O$27))</f>
        <v>-3.1442295028809548</v>
      </c>
    </row>
    <row r="11" spans="1:46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A_2]]</f>
        <v>17.052749719416386</v>
      </c>
      <c r="E11" s="5">
        <f>Table1[[#This Row],[10 - Post 5min]]/Table1[[#This Row],[Rescale A_10]]</f>
        <v>89.58424908424908</v>
      </c>
      <c r="F11" s="5">
        <f>Table1[[#This Row],[2 - Post 10min]]/Table1[[#This Row],[Rescale A_2]]</f>
        <v>17.20314253647587</v>
      </c>
      <c r="G11" s="5">
        <f>Table1[[#This Row],[10 - Post 10min]]/Table1[[#This Row],[Rescale A_10]]</f>
        <v>94.379120879120876</v>
      </c>
      <c r="H11" s="5">
        <f>Table1[[#This Row],[2 - Post 15min]]/Table1[[#This Row],[Rescale A_2]]</f>
        <v>17.30415263748597</v>
      </c>
      <c r="I11" s="5">
        <f>Table1[[#This Row],[10 - Post 15min]]/Table1[[#This Row],[Rescale A_10]]</f>
        <v>96.38827838827838</v>
      </c>
      <c r="J11" s="5">
        <f>Table1[[#This Row],[2 - Post 20min]]/Table1[[#This Row],[Rescale A_2]]</f>
        <v>17.932659932659931</v>
      </c>
      <c r="K11" s="5">
        <f>Table1[[#This Row],[10 - Post 20min]]/Table1[[#This Row],[Rescale A_10]]</f>
        <v>96.315018315018321</v>
      </c>
      <c r="M11" s="6">
        <f>Table41319[[#This Row],[2 - Pre]]*$N$27/(Table41319[[#This Row],[10 - pre]]*$N$26)</f>
        <v>1.4182390032924583</v>
      </c>
      <c r="N11" s="6">
        <f>Table41319[[#This Row],[2 - Post 5min]]*$N$27/(Table41319[[#This Row],[10 - Post 5min]]*$N$26)</f>
        <v>0.94713923268717248</v>
      </c>
      <c r="O11" s="6">
        <f>Table41319[[#This Row],[2 - Post 10min]]*$N$27/(Table41319[[#This Row],[10 - Post 10min]]*$N$26)</f>
        <v>0.90694912500444658</v>
      </c>
      <c r="P11" s="6">
        <f>Table41319[[#This Row],[2 - Post 15min]]*$N$27/(Table41319[[#This Row],[10 - Post 15min]]*$N$26)</f>
        <v>0.89325854644324698</v>
      </c>
      <c r="Q11" s="6">
        <f>Table41319[[#This Row],[2 - Post 20min]]*$N$27/(Table41319[[#This Row],[10 - Post 20min]]*$N$26)</f>
        <v>0.92640687070594108</v>
      </c>
      <c r="R11" s="6">
        <f>-$N$29/LN((Table1320[[#This Row],[G Pre]]-1)/(Table1320[[#This Row],[G Pre]]*$O$26-$O$27))</f>
        <v>4.8092811493515999</v>
      </c>
      <c r="S11" s="6">
        <f>-$N$29/LN((Table1320[[#This Row],[G 5min]]-1)/(Table1320[[#This Row],[G 5min]]*$O$26-$O$27))</f>
        <v>-0.50056277920889292</v>
      </c>
      <c r="T11" s="6">
        <f>-$N$29/LN((Table1320[[#This Row],[G 10min]]-1)/(Table1320[[#This Row],[G 10min]]*$O$26-$O$27))</f>
        <v>-0.94636852503729008</v>
      </c>
      <c r="U11" s="6">
        <f>-$N$29/LN((Table1320[[#This Row],[G 15min]]-1)/(Table1320[[#This Row],[G 15min]]*$O$26-$O$27))</f>
        <v>-1.0975104733522025</v>
      </c>
      <c r="V11" s="6">
        <f>-$N$29/LN((Table1320[[#This Row],[G 20min]]-1)/(Table1320[[#This Row],[G 20min]]*$O$26-$O$27))</f>
        <v>-0.73103433884982005</v>
      </c>
    </row>
    <row r="12" spans="1:46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M12" s="6" t="e">
        <f>Table41319[[#This Row],[2 - Pre]]*$N$27/(Table41319[[#This Row],[10 - pre]]*$N$26)</f>
        <v>#DIV/0!</v>
      </c>
      <c r="N12" s="6" t="e">
        <f>Table41319[[#This Row],[2 - Post 5min]]*$N$27/(Table41319[[#This Row],[10 - Post 5min]]*$N$26)</f>
        <v>#DIV/0!</v>
      </c>
      <c r="O12" s="6" t="e">
        <f>Table41319[[#This Row],[2 - Post 10min]]*$N$27/(Table41319[[#This Row],[10 - Post 10min]]*$N$26)</f>
        <v>#DIV/0!</v>
      </c>
      <c r="P12" s="6" t="e">
        <f>Table41319[[#This Row],[2 - Post 15min]]*$N$27/(Table41319[[#This Row],[10 - Post 15min]]*$N$26)</f>
        <v>#DIV/0!</v>
      </c>
      <c r="Q12" s="6" t="e">
        <f>Table41319[[#This Row],[2 - Post 20min]]*$N$27/(Table41319[[#This Row],[10 - Post 20min]]*$N$26)</f>
        <v>#DIV/0!</v>
      </c>
      <c r="R12" s="6" t="e">
        <f>-$N$29/LN((Table1320[[#This Row],[G Pre]]-1)/(Table1320[[#This Row],[G Pre]]*$O$26-$O$27))</f>
        <v>#DIV/0!</v>
      </c>
      <c r="S12" s="6" t="e">
        <f>-$N$29/LN((Table1320[[#This Row],[G 5min]]-1)/(Table1320[[#This Row],[G 5min]]*$O$26-$O$27))</f>
        <v>#DIV/0!</v>
      </c>
      <c r="T12" s="6" t="e">
        <f>-$N$29/LN((Table1320[[#This Row],[G 10min]]-1)/(Table1320[[#This Row],[G 10min]]*$O$26-$O$27))</f>
        <v>#DIV/0!</v>
      </c>
      <c r="U12" s="6" t="e">
        <f>-$N$29/LN((Table1320[[#This Row],[G 15min]]-1)/(Table1320[[#This Row],[G 15min]]*$O$26-$O$27))</f>
        <v>#DIV/0!</v>
      </c>
      <c r="V12" s="6" t="e">
        <f>-$N$29/LN((Table1320[[#This Row],[G 20min]]-1)/(Table1320[[#This Row],[G 20min]]*$O$26-$O$27))</f>
        <v>#DIV/0!</v>
      </c>
    </row>
    <row r="13" spans="1:46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A_2]]</f>
        <v>14.827852998065763</v>
      </c>
      <c r="E13" s="5">
        <f>Table1[[#This Row],[10 - Post 5min]]/Table1[[#This Row],[Rescale A_10]]</f>
        <v>80.359183673469374</v>
      </c>
      <c r="F13" s="5">
        <f>Table1[[#This Row],[2 - Post 10min]]/Table1[[#This Row],[Rescale A_2]]</f>
        <v>15.12862669245648</v>
      </c>
      <c r="G13" s="5">
        <f>Table1[[#This Row],[10 - Post 10min]]/Table1[[#This Row],[Rescale A_10]]</f>
        <v>76.789795918367332</v>
      </c>
      <c r="H13" s="5">
        <f>Table1[[#This Row],[2 - Post 15min]]/Table1[[#This Row],[Rescale A_2]]</f>
        <v>14.528046421663444</v>
      </c>
      <c r="I13" s="5">
        <f>Table1[[#This Row],[10 - Post 15min]]/Table1[[#This Row],[Rescale A_10]]</f>
        <v>79.689795918367338</v>
      </c>
      <c r="J13" s="5">
        <f>Table1[[#This Row],[2 - Post 20min]]/Table1[[#This Row],[Rescale A_2]]</f>
        <v>14.345261121856868</v>
      </c>
      <c r="K13" s="5">
        <f>Table1[[#This Row],[10 - Post 20min]]/Table1[[#This Row],[Rescale A_10]]</f>
        <v>81.159183673469386</v>
      </c>
      <c r="M13" s="6">
        <f>Table41319[[#This Row],[2 - Pre]]*$N$27/(Table41319[[#This Row],[10 - pre]]*$N$26)</f>
        <v>1.2363071881879082</v>
      </c>
      <c r="N13" s="6">
        <f>Table41319[[#This Row],[2 - Post 5min]]*$N$27/(Table41319[[#This Row],[10 - Post 5min]]*$N$26)</f>
        <v>0.91810810558540112</v>
      </c>
      <c r="O13" s="6">
        <f>Table41319[[#This Row],[2 - Post 10min]]*$N$27/(Table41319[[#This Row],[10 - Post 10min]]*$N$26)</f>
        <v>0.98027304153500328</v>
      </c>
      <c r="P13" s="6">
        <f>Table41319[[#This Row],[2 - Post 15min]]*$N$27/(Table41319[[#This Row],[10 - Post 15min]]*$N$26)</f>
        <v>0.90710084265197821</v>
      </c>
      <c r="Q13" s="6">
        <f>Table41319[[#This Row],[2 - Post 20min]]*$N$27/(Table41319[[#This Row],[10 - Post 20min]]*$N$26)</f>
        <v>0.87947166935549048</v>
      </c>
      <c r="R13" s="6">
        <f>-$N$29/LN((Table1320[[#This Row],[G Pre]]-1)/(Table1320[[#This Row],[G Pre]]*$O$26-$O$27))</f>
        <v>2.7314522927350668</v>
      </c>
      <c r="S13" s="6">
        <f>-$N$29/LN((Table1320[[#This Row],[G 5min]]-1)/(Table1320[[#This Row],[G 5min]]*$O$26-$O$27))</f>
        <v>-0.82296098429966091</v>
      </c>
      <c r="T13" s="6">
        <f>-$N$29/LN((Table1320[[#This Row],[G 10min]]-1)/(Table1320[[#This Row],[G 10min]]*$O$26-$O$27))</f>
        <v>-0.12031044052702607</v>
      </c>
      <c r="U13" s="6">
        <f>-$N$29/LN((Table1320[[#This Row],[G 15min]]-1)/(Table1320[[#This Row],[G 15min]]*$O$26-$O$27))</f>
        <v>-0.94469204933930118</v>
      </c>
      <c r="V13" s="6">
        <f>-$N$29/LN((Table1320[[#This Row],[G 20min]]-1)/(Table1320[[#This Row],[G 20min]]*$O$26-$O$27))</f>
        <v>-1.2494641118756387</v>
      </c>
    </row>
    <row r="14" spans="1:46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A_2]]</f>
        <v>15.558352402745994</v>
      </c>
      <c r="E14" s="5">
        <f>Table1[[#This Row],[10 - Post 5min]]/Table1[[#This Row],[Rescale A_10]]</f>
        <v>110.53095238095239</v>
      </c>
      <c r="F14" s="5">
        <f>Table1[[#This Row],[2 - Post 10min]]/Table1[[#This Row],[Rescale A_2]]</f>
        <v>15.83867276887872</v>
      </c>
      <c r="G14" s="5">
        <f>Table1[[#This Row],[10 - Post 10min]]/Table1[[#This Row],[Rescale A_10]]</f>
        <v>101.13571428571427</v>
      </c>
      <c r="H14" s="5">
        <f>Table1[[#This Row],[2 - Post 15min]]/Table1[[#This Row],[Rescale A_2]]</f>
        <v>16.022883295194507</v>
      </c>
      <c r="I14" s="5">
        <f>Table1[[#This Row],[10 - Post 15min]]/Table1[[#This Row],[Rescale A_10]]</f>
        <v>112.72142857142858</v>
      </c>
      <c r="J14" s="5">
        <f>Table1[[#This Row],[2 - Post 20min]]/Table1[[#This Row],[Rescale A_2]]</f>
        <v>15.131578947368421</v>
      </c>
      <c r="K14" s="5">
        <f>Table1[[#This Row],[10 - Post 20min]]/Table1[[#This Row],[Rescale A_10]]</f>
        <v>106.85</v>
      </c>
      <c r="M14" s="6">
        <f>Table41319[[#This Row],[2 - Pre]]*$N$27/(Table41319[[#This Row],[10 - pre]]*$N$26)</f>
        <v>1.0619232192284132</v>
      </c>
      <c r="N14" s="6">
        <f>Table41319[[#This Row],[2 - Post 5min]]*$N$27/(Table41319[[#This Row],[10 - Post 5min]]*$N$26)</f>
        <v>0.70037519794254921</v>
      </c>
      <c r="O14" s="6">
        <f>Table41319[[#This Row],[2 - Post 10min]]*$N$27/(Table41319[[#This Row],[10 - Post 10min]]*$N$26)</f>
        <v>0.77922935760261214</v>
      </c>
      <c r="P14" s="6">
        <f>Table41319[[#This Row],[2 - Post 15min]]*$N$27/(Table41319[[#This Row],[10 - Post 15min]]*$N$26)</f>
        <v>0.70727002320656618</v>
      </c>
      <c r="Q14" s="6">
        <f>Table41319[[#This Row],[2 - Post 20min]]*$N$27/(Table41319[[#This Row],[10 - Post 20min]]*$N$26)</f>
        <v>0.70462944532463212</v>
      </c>
      <c r="R14" s="6">
        <f>-$N$29/LN((Table1320[[#This Row],[G Pre]]-1)/(Table1320[[#This Row],[G Pre]]*$O$26-$O$27))</f>
        <v>0.767828532523677</v>
      </c>
      <c r="S14" s="6">
        <f>-$N$29/LN((Table1320[[#This Row],[G 5min]]-1)/(Table1320[[#This Row],[G 5min]]*$O$26-$O$27))</f>
        <v>-3.2056360650171656</v>
      </c>
      <c r="T14" s="6">
        <f>-$N$29/LN((Table1320[[#This Row],[G 10min]]-1)/(Table1320[[#This Row],[G 10min]]*$O$26-$O$27))</f>
        <v>-2.3481481700775264</v>
      </c>
      <c r="U14" s="6">
        <f>-$N$29/LN((Table1320[[#This Row],[G 15min]]-1)/(Table1320[[#This Row],[G 15min]]*$O$26-$O$27))</f>
        <v>-3.1308873890929005</v>
      </c>
      <c r="V14" s="6">
        <f>-$N$29/LN((Table1320[[#This Row],[G 20min]]-1)/(Table1320[[#This Row],[G 20min]]*$O$26-$O$27))</f>
        <v>-3.1595197285181276</v>
      </c>
    </row>
    <row r="15" spans="1:46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A_2]]</f>
        <v>12.701718907987866</v>
      </c>
      <c r="E15" s="5">
        <f>Table1[[#This Row],[10 - Post 5min]]/Table1[[#This Row],[Rescale A_10]]</f>
        <v>86.785992217898837</v>
      </c>
      <c r="F15" s="5">
        <f>Table1[[#This Row],[2 - Post 10min]]/Table1[[#This Row],[Rescale A_2]]</f>
        <v>12.747219413549038</v>
      </c>
      <c r="G15" s="5">
        <f>Table1[[#This Row],[10 - Post 10min]]/Table1[[#This Row],[Rescale A_10]]</f>
        <v>92.39883268482491</v>
      </c>
      <c r="H15" s="5">
        <f>Table1[[#This Row],[2 - Post 15min]]/Table1[[#This Row],[Rescale A_2]]</f>
        <v>12.467138523761374</v>
      </c>
      <c r="I15" s="5">
        <f>Table1[[#This Row],[10 - Post 15min]]/Table1[[#This Row],[Rescale A_10]]</f>
        <v>93.145914396887164</v>
      </c>
      <c r="J15" s="5">
        <f>Table1[[#This Row],[2 - Post 20min]]/Table1[[#This Row],[Rescale A_2]]</f>
        <v>11.964610717896864</v>
      </c>
      <c r="K15" s="5">
        <f>Table1[[#This Row],[10 - Post 20min]]/Table1[[#This Row],[Rescale A_10]]</f>
        <v>86.45525291828794</v>
      </c>
      <c r="M15" s="6">
        <f>Table41319[[#This Row],[2 - Pre]]*$N$27/(Table41319[[#This Row],[10 - pre]]*$N$26)</f>
        <v>0.97612846352329496</v>
      </c>
      <c r="N15" s="6">
        <f>Table41319[[#This Row],[2 - Post 5min]]*$N$27/(Table41319[[#This Row],[10 - Post 5min]]*$N$26)</f>
        <v>0.72822222707277784</v>
      </c>
      <c r="O15" s="6">
        <f>Table41319[[#This Row],[2 - Post 10min]]*$N$27/(Table41319[[#This Row],[10 - Post 10min]]*$N$26)</f>
        <v>0.68643598546659512</v>
      </c>
      <c r="P15" s="6">
        <f>Table41319[[#This Row],[2 - Post 15min]]*$N$27/(Table41319[[#This Row],[10 - Post 15min]]*$N$26)</f>
        <v>0.66596904120337241</v>
      </c>
      <c r="Q15" s="6">
        <f>Table41319[[#This Row],[2 - Post 20min]]*$N$27/(Table41319[[#This Row],[10 - Post 20min]]*$N$26)</f>
        <v>0.68858610276613363</v>
      </c>
      <c r="R15" s="6">
        <f>-$N$29/LN((Table1320[[#This Row],[G Pre]]-1)/(Table1320[[#This Row],[G Pre]]*$O$26-$O$27))</f>
        <v>-0.17134143476079591</v>
      </c>
      <c r="S15" s="6">
        <f>-$N$29/LN((Table1320[[#This Row],[G 5min]]-1)/(Table1320[[#This Row],[G 5min]]*$O$26-$O$27))</f>
        <v>-2.9034724287482621</v>
      </c>
      <c r="T15" s="6">
        <f>-$N$29/LN((Table1320[[#This Row],[G 10min]]-1)/(Table1320[[#This Row],[G 10min]]*$O$26-$O$27))</f>
        <v>-3.3566228290089271</v>
      </c>
      <c r="U15" s="6">
        <f>-$N$29/LN((Table1320[[#This Row],[G 15min]]-1)/(Table1320[[#This Row],[G 15min]]*$O$26-$O$27))</f>
        <v>-3.5779977554029143</v>
      </c>
      <c r="V15" s="6">
        <f>-$N$29/LN((Table1320[[#This Row],[G 20min]]-1)/(Table1320[[#This Row],[G 20min]]*$O$26-$O$27))</f>
        <v>-3.333344691312722</v>
      </c>
    </row>
    <row r="16" spans="1:46">
      <c r="A16" s="2" t="s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M16" s="6" t="e">
        <f>Table41319[[#This Row],[2 - Pre]]*$N$27/(Table41319[[#This Row],[10 - pre]]*$N$26)</f>
        <v>#DIV/0!</v>
      </c>
      <c r="N16" s="6" t="e">
        <f>Table41319[[#This Row],[2 - Post 5min]]*$N$27/(Table41319[[#This Row],[10 - Post 5min]]*$N$26)</f>
        <v>#DIV/0!</v>
      </c>
      <c r="O16" s="6" t="e">
        <f>Table41319[[#This Row],[2 - Post 10min]]*$N$27/(Table41319[[#This Row],[10 - Post 10min]]*$N$26)</f>
        <v>#DIV/0!</v>
      </c>
      <c r="P16" s="6" t="e">
        <f>Table41319[[#This Row],[2 - Post 15min]]*$N$27/(Table41319[[#This Row],[10 - Post 15min]]*$N$26)</f>
        <v>#DIV/0!</v>
      </c>
      <c r="Q16" s="6" t="e">
        <f>Table41319[[#This Row],[2 - Post 20min]]*$N$27/(Table41319[[#This Row],[10 - Post 20min]]*$N$26)</f>
        <v>#DIV/0!</v>
      </c>
      <c r="R16" s="6" t="e">
        <f>-$N$29/LN((Table1320[[#This Row],[G Pre]]-1)/(Table1320[[#This Row],[G Pre]]*$O$26-$O$27))</f>
        <v>#DIV/0!</v>
      </c>
      <c r="S16" s="6" t="e">
        <f>-$N$29/LN((Table1320[[#This Row],[G 5min]]-1)/(Table1320[[#This Row],[G 5min]]*$O$26-$O$27))</f>
        <v>#DIV/0!</v>
      </c>
      <c r="T16" s="6" t="e">
        <f>-$N$29/LN((Table1320[[#This Row],[G 10min]]-1)/(Table1320[[#This Row],[G 10min]]*$O$26-$O$27))</f>
        <v>#DIV/0!</v>
      </c>
      <c r="U16" s="6" t="e">
        <f>-$N$29/LN((Table1320[[#This Row],[G 15min]]-1)/(Table1320[[#This Row],[G 15min]]*$O$26-$O$27))</f>
        <v>#DIV/0!</v>
      </c>
      <c r="V16" s="6" t="e">
        <f>-$N$29/LN((Table1320[[#This Row],[G 20min]]-1)/(Table1320[[#This Row],[G 20min]]*$O$26-$O$27))</f>
        <v>#DIV/0!</v>
      </c>
    </row>
    <row r="17" spans="1:22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A_2]]</f>
        <v>11.917708333333334</v>
      </c>
      <c r="E17" s="5">
        <f>Table1[[#This Row],[10 - Post 5min]]/Table1[[#This Row],[Rescale A_10]]</f>
        <v>63.21052631578948</v>
      </c>
      <c r="F17" s="5">
        <f>Table1[[#This Row],[2 - Post 10min]]/Table1[[#This Row],[Rescale A_2]]</f>
        <v>11.210416666666667</v>
      </c>
      <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12.401041666666666</v>
      </c>
      <c r="I17" s="5">
        <f>Table1[[#This Row],[10 - Post 15min]]/Table1[[#This Row],[Rescale A_10]]</f>
        <v>64.188455008488972</v>
      </c>
      <c r="J17" s="5">
        <f>Table1[[#This Row],[2 - Post 20min]]/Table1[[#This Row],[Rescale A_2]]</f>
        <v>11.597916666666668</v>
      </c>
      <c r="K17" s="5">
        <f>Table1[[#This Row],[10 - Post 20min]]/Table1[[#This Row],[Rescale A_10]]</f>
        <v>62.451612903225808</v>
      </c>
      <c r="M17" s="6">
        <f>Table41319[[#This Row],[2 - Pre]]*$N$27/(Table41319[[#This Row],[10 - pre]]*$N$26)</f>
        <v>1.5105493732650053</v>
      </c>
      <c r="N17" s="6">
        <f>Table41319[[#This Row],[2 - Post 5min]]*$N$27/(Table41319[[#This Row],[10 - Post 5min]]*$N$26)</f>
        <v>0.93811139709340163</v>
      </c>
      <c r="O17" s="6">
        <f>Table41319[[#This Row],[2 - Post 10min]]*$N$27/(Table41319[[#This Row],[10 - Post 10min]]*$N$26)</f>
        <v>0.91073874864307747</v>
      </c>
      <c r="P17" s="6">
        <f>Table41319[[#This Row],[2 - Post 15min]]*$N$27/(Table41319[[#This Row],[10 - Post 15min]]*$N$26)</f>
        <v>0.96128532033767611</v>
      </c>
      <c r="Q17" s="6">
        <f>Table41319[[#This Row],[2 - Post 20min]]*$N$27/(Table41319[[#This Row],[10 - Post 20min]]*$N$26)</f>
        <v>0.9240328073366556</v>
      </c>
      <c r="R17" s="6">
        <f>-$N$29/LN((Table1320[[#This Row],[G Pre]]-1)/(Table1320[[#This Row],[G Pre]]*$O$26-$O$27))</f>
        <v>5.8757962590103148</v>
      </c>
      <c r="S17" s="6">
        <f>-$N$29/LN((Table1320[[#This Row],[G 5min]]-1)/(Table1320[[#This Row],[G 5min]]*$O$26-$O$27))</f>
        <v>-0.60109946435904049</v>
      </c>
      <c r="T17" s="6">
        <f>-$N$29/LN((Table1320[[#This Row],[G 10min]]-1)/(Table1320[[#This Row],[G 10min]]*$O$26-$O$27))</f>
        <v>-0.90448239902328387</v>
      </c>
      <c r="U17" s="6">
        <f>-$N$29/LN((Table1320[[#This Row],[G 15min]]-1)/(Table1320[[#This Row],[G 15min]]*$O$26-$O$27))</f>
        <v>-0.34200721977918763</v>
      </c>
      <c r="V17" s="6">
        <f>-$N$29/LN((Table1320[[#This Row],[G 20min]]-1)/(Table1320[[#This Row],[G 20min]]*$O$26-$O$27))</f>
        <v>-0.75734695717488032</v>
      </c>
    </row>
    <row r="18" spans="1:22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A_2]]</f>
        <v>9.6334431630971995</v>
      </c>
      <c r="E18" s="5">
        <f>Table1[[#This Row],[10 - Post 5min]]/Table1[[#This Row],[Rescale A_10]]</f>
        <v>42.314285714285717</v>
      </c>
      <c r="F18" s="5">
        <f>Table1[[#This Row],[2 - Post 10min]]/Table1[[#This Row],[Rescale A_2]]</f>
        <v>10.16968698517298</v>
      </c>
      <c r="G18" s="5">
        <f>Table1[[#This Row],[10 - Post 10min]]/Table1[[#This Row],[Rescale A_10]]</f>
        <v>46.28027210884354</v>
      </c>
      <c r="H18" s="5">
        <f>Table1[[#This Row],[2 - Post 15min]]/Table1[[#This Row],[Rescale A_2]]</f>
        <v>9.2792421746293243</v>
      </c>
      <c r="I18" s="5">
        <f>Table1[[#This Row],[10 - Post 15min]]/Table1[[#This Row],[Rescale A_10]]</f>
        <v>45.814965986394562</v>
      </c>
      <c r="J18" s="5">
        <f>Table1[[#This Row],[2 - Post 20min]]/Table1[[#This Row],[Rescale A_2]]</f>
        <v>9.4827018121911042</v>
      </c>
      <c r="K18" s="5">
        <f>Table1[[#This Row],[10 - Post 20min]]/Table1[[#This Row],[Rescale A_10]]</f>
        <v>47.855782312925172</v>
      </c>
      <c r="M18" s="6">
        <f>Table41319[[#This Row],[2 - Pre]]*$N$27/(Table41319[[#This Row],[10 - pre]]*$N$26)</f>
        <v>1.5694549972273848</v>
      </c>
      <c r="N18" s="6">
        <f>Table41319[[#This Row],[2 - Post 5min]]*$N$27/(Table41319[[#This Row],[10 - Post 5min]]*$N$26)</f>
        <v>1.1327800487784823</v>
      </c>
      <c r="O18" s="6">
        <f>Table41319[[#This Row],[2 - Post 10min]]*$N$27/(Table41319[[#This Row],[10 - Post 10min]]*$N$26)</f>
        <v>1.0933589094896103</v>
      </c>
      <c r="P18" s="6">
        <f>Table41319[[#This Row],[2 - Post 15min]]*$N$27/(Table41319[[#This Row],[10 - Post 15min]]*$N$26)</f>
        <v>1.0077578898079143</v>
      </c>
      <c r="Q18" s="6">
        <f>Table41319[[#This Row],[2 - Post 20min]]*$N$27/(Table41319[[#This Row],[10 - Post 20min]]*$N$26)</f>
        <v>0.98593603544163821</v>
      </c>
      <c r="R18" s="6">
        <f>-$N$29/LN((Table1320[[#This Row],[G Pre]]-1)/(Table1320[[#This Row],[G Pre]]*$O$26-$O$27))</f>
        <v>6.5607565654040521</v>
      </c>
      <c r="S18" s="6">
        <f>-$N$29/LN((Table1320[[#This Row],[G 5min]]-1)/(Table1320[[#This Row],[G 5min]]*$O$26-$O$27))</f>
        <v>1.5628507169179926</v>
      </c>
      <c r="T18" s="6">
        <f>-$N$29/LN((Table1320[[#This Row],[G 10min]]-1)/(Table1320[[#This Row],[G 10min]]*$O$26-$O$27))</f>
        <v>1.1202113004601639</v>
      </c>
      <c r="U18" s="6">
        <f>-$N$29/LN((Table1320[[#This Row],[G 15min]]-1)/(Table1320[[#This Row],[G 15min]]*$O$26-$O$27))</f>
        <v>0.15319148747147746</v>
      </c>
      <c r="V18" s="6" t="e">
        <f>-$N$29/LN((Table1320[[#This Row],[G 20min]]-1)/(Table1320[[#This Row],[G 20min]]*$O$26-$O$27))</f>
        <v>#NUM!</v>
      </c>
    </row>
    <row r="19" spans="1:22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M19" s="6" t="e">
        <f>Table41319[[#This Row],[2 - Pre]]*$N$27/(Table41319[[#This Row],[10 - pre]]*$N$26)</f>
        <v>#DIV/0!</v>
      </c>
      <c r="N19" s="6" t="e">
        <f>Table41319[[#This Row],[2 - Post 5min]]*$N$27/(Table41319[[#This Row],[10 - Post 5min]]*$N$26)</f>
        <v>#DIV/0!</v>
      </c>
      <c r="O19" s="6" t="e">
        <f>Table41319[[#This Row],[2 - Post 10min]]*$N$27/(Table41319[[#This Row],[10 - Post 10min]]*$N$26)</f>
        <v>#DIV/0!</v>
      </c>
      <c r="P19" s="6" t="e">
        <f>Table41319[[#This Row],[2 - Post 15min]]*$N$27/(Table41319[[#This Row],[10 - Post 15min]]*$N$26)</f>
        <v>#DIV/0!</v>
      </c>
      <c r="Q19" s="6" t="e">
        <f>Table41319[[#This Row],[2 - Post 20min]]*$N$27/(Table41319[[#This Row],[10 - Post 20min]]*$N$26)</f>
        <v>#DIV/0!</v>
      </c>
      <c r="R19" s="6" t="e">
        <f>-$N$29/LN((Table1320[[#This Row],[G Pre]]-1)/(Table1320[[#This Row],[G Pre]]*$O$26-$O$27))</f>
        <v>#DIV/0!</v>
      </c>
      <c r="S19" s="6" t="e">
        <f>-$N$29/LN((Table1320[[#This Row],[G 5min]]-1)/(Table1320[[#This Row],[G 5min]]*$O$26-$O$27))</f>
        <v>#DIV/0!</v>
      </c>
      <c r="T19" s="6" t="e">
        <f>-$N$29/LN((Table1320[[#This Row],[G 10min]]-1)/(Table1320[[#This Row],[G 10min]]*$O$26-$O$27))</f>
        <v>#DIV/0!</v>
      </c>
      <c r="U19" s="6" t="e">
        <f>-$N$29/LN((Table1320[[#This Row],[G 15min]]-1)/(Table1320[[#This Row],[G 15min]]*$O$26-$O$27))</f>
        <v>#DIV/0!</v>
      </c>
      <c r="V19" s="6" t="e">
        <f>-$N$29/LN((Table1320[[#This Row],[G 20min]]-1)/(Table1320[[#This Row],[G 20min]]*$O$26-$O$27))</f>
        <v>#DIV/0!</v>
      </c>
    </row>
    <row r="20" spans="1:22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A_2]]</f>
        <v>19.869837296620773</v>
      </c>
      <c r="E20" s="5">
        <f>Table1[[#This Row],[10 - Post 5min]]/Table1[[#This Row],[Rescale A_10]]</f>
        <v>96.206611570247929</v>
      </c>
      <c r="F20" s="5">
        <f>Table1[[#This Row],[2 - Post 10min]]/Table1[[#This Row],[Rescale A_2]]</f>
        <v>19.511889862327909</v>
      </c>
      <c r="G20" s="5">
        <f>Table1[[#This Row],[10 - Post 10min]]/Table1[[#This Row],[Rescale A_10]]</f>
        <v>100.22933884297521</v>
      </c>
      <c r="H20" s="5">
        <f>Table1[[#This Row],[2 - Post 15min]]/Table1[[#This Row],[Rescale A_2]]</f>
        <v>19.853566958698373</v>
      </c>
      <c r="I20" s="5">
        <f>Table1[[#This Row],[10 - Post 15min]]/Table1[[#This Row],[Rescale A_10]]</f>
        <v>101.89049586776859</v>
      </c>
      <c r="J20" s="5">
        <f>Table1[[#This Row],[2 - Post 20min]]/Table1[[#This Row],[Rescale A_2]]</f>
        <v>20.430538172715895</v>
      </c>
      <c r="K20" s="5">
        <f>Table1[[#This Row],[10 - Post 20min]]/Table1[[#This Row],[Rescale A_10]]</f>
        <v>102.20247933884298</v>
      </c>
      <c r="M20" s="6">
        <f>Table41319[[#This Row],[2 - Pre]]*$N$27/(Table41319[[#This Row],[10 - pre]]*$N$26)</f>
        <v>1.3738618619733964</v>
      </c>
      <c r="N20" s="6">
        <f>Table41319[[#This Row],[2 - Post 5min]]*$N$27/(Table41319[[#This Row],[10 - Post 5min]]*$N$26)</f>
        <v>1.0276387166961025</v>
      </c>
      <c r="O20" s="6">
        <f>Table41319[[#This Row],[2 - Post 10min]]*$N$27/(Table41319[[#This Row],[10 - Post 10min]]*$N$26)</f>
        <v>0.96862469337378576</v>
      </c>
      <c r="P20" s="6">
        <f>Table41319[[#This Row],[2 - Post 15min]]*$N$27/(Table41319[[#This Row],[10 - Post 15min]]*$N$26)</f>
        <v>0.9695181309294052</v>
      </c>
      <c r="Q20" s="6">
        <f>Table41319[[#This Row],[2 - Post 20min]]*$N$27/(Table41319[[#This Row],[10 - Post 20min]]*$N$26)</f>
        <v>0.99464806340073042</v>
      </c>
      <c r="R20" s="6">
        <f>-$N$29/LN((Table1320[[#This Row],[G Pre]]-1)/(Table1320[[#This Row],[G Pre]]*$O$26-$O$27))</f>
        <v>4.2995258386704629</v>
      </c>
      <c r="S20" s="6">
        <f>-$N$29/LN((Table1320[[#This Row],[G 5min]]-1)/(Table1320[[#This Row],[G 5min]]*$O$26-$O$27))</f>
        <v>0.38268918457866852</v>
      </c>
      <c r="T20" s="6">
        <f>-$N$29/LN((Table1320[[#This Row],[G 10min]]-1)/(Table1320[[#This Row],[G 10min]]*$O$26-$O$27))</f>
        <v>-0.2586852836048521</v>
      </c>
      <c r="U20" s="6">
        <f>-$N$29/LN((Table1320[[#This Row],[G 15min]]-1)/(Table1320[[#This Row],[G 15min]]*$O$26-$O$27))</f>
        <v>-0.24844440761248687</v>
      </c>
      <c r="V20" s="6" t="e">
        <f>-$N$29/LN((Table1320[[#This Row],[G 20min]]-1)/(Table1320[[#This Row],[G 20min]]*$O$26-$O$27))</f>
        <v>#NUM!</v>
      </c>
    </row>
    <row r="21" spans="1:22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A_2]]</f>
        <v>7.2260034904013954</v>
      </c>
      <c r="E21" s="5">
        <f>Table1[[#This Row],[10 - Post 5min]]/Table1[[#This Row],[Rescale A_10]]</f>
        <v>30.327559055118115</v>
      </c>
      <c r="F21" s="5">
        <f>Table1[[#This Row],[2 - Post 10min]]/Table1[[#This Row],[Rescale A_2]]</f>
        <v>9.3507853403141343</v>
      </c>
      <c r="G21" s="5">
        <f>Table1[[#This Row],[10 - Post 10min]]/Table1[[#This Row],[Rescale A_10]]</f>
        <v>54.140157480314969</v>
      </c>
      <c r="H21" s="5">
        <f>Table1[[#This Row],[2 - Post 15min]]/Table1[[#This Row],[Rescale A_2]]</f>
        <v>9.4171029668411865</v>
      </c>
      <c r="I21" s="5">
        <f>Table1[[#This Row],[10 - Post 15min]]/Table1[[#This Row],[Rescale A_10]]</f>
        <v>58.485039370078745</v>
      </c>
      <c r="J21" s="5">
        <f>Table1[[#This Row],[2 - Post 20min]]/Table1[[#This Row],[Rescale A_2]]</f>
        <v>9.6108202443280977</v>
      </c>
      <c r="K21" s="5">
        <f>Table1[[#This Row],[10 - Post 20min]]/Table1[[#This Row],[Rescale A_10]]</f>
        <v>59.215748031496062</v>
      </c>
      <c r="M21" s="6">
        <f>Table41319[[#This Row],[2 - Pre]]*$N$27/(Table41319[[#This Row],[10 - pre]]*$N$26)</f>
        <v>1.1528870038881018</v>
      </c>
      <c r="N21" s="6">
        <f>Table41319[[#This Row],[2 - Post 5min]]*$N$27/(Table41319[[#This Row],[10 - Post 5min]]*$N$26)</f>
        <v>1.1855278918270173</v>
      </c>
      <c r="O21" s="6">
        <f>Table41319[[#This Row],[2 - Post 10min]]*$N$27/(Table41319[[#This Row],[10 - Post 10min]]*$N$26)</f>
        <v>0.85936891173540597</v>
      </c>
      <c r="P21" s="6">
        <f>Table41319[[#This Row],[2 - Post 15min]]*$N$27/(Table41319[[#This Row],[10 - Post 15min]]*$N$26)</f>
        <v>0.80116800744898897</v>
      </c>
      <c r="Q21" s="6">
        <f>Table41319[[#This Row],[2 - Post 20min]]*$N$27/(Table41319[[#This Row],[10 - Post 20min]]*$N$26)</f>
        <v>0.80755907300439089</v>
      </c>
      <c r="R21" s="6">
        <f>-$N$29/LN((Table1320[[#This Row],[G Pre]]-1)/(Table1320[[#This Row],[G Pre]]*$O$26-$O$27))</f>
        <v>1.7890805986638842</v>
      </c>
      <c r="S21" s="6">
        <f>-$N$29/LN((Table1320[[#This Row],[G 5min]]-1)/(Table1320[[#This Row],[G 5min]]*$O$26-$O$27))</f>
        <v>2.1570700726473273</v>
      </c>
      <c r="T21" s="6">
        <f>-$N$29/LN((Table1320[[#This Row],[G 10min]]-1)/(Table1320[[#This Row],[G 10min]]*$O$26-$O$27))</f>
        <v>-1.4706276373867542</v>
      </c>
      <c r="U21" s="6">
        <f>-$N$29/LN((Table1320[[#This Row],[G 15min]]-1)/(Table1320[[#This Row],[G 15min]]*$O$26-$O$27))</f>
        <v>-2.1085471620444682</v>
      </c>
      <c r="V21" s="6">
        <f>-$N$29/LN((Table1320[[#This Row],[G 20min]]-1)/(Table1320[[#This Row],[G 20min]]*$O$26-$O$27))</f>
        <v>-2.0386610813912238</v>
      </c>
    </row>
    <row r="22" spans="1:22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M22" s="6" t="e">
        <f>Table41319[[#This Row],[2 - Pre]]*$N$27/(Table41319[[#This Row],[10 - pre]]*$N$26)</f>
        <v>#DIV/0!</v>
      </c>
      <c r="N22" s="6" t="e">
        <f>Table41319[[#This Row],[2 - Post 5min]]*$N$27/(Table41319[[#This Row],[10 - Post 5min]]*$N$26)</f>
        <v>#DIV/0!</v>
      </c>
      <c r="O22" s="6" t="e">
        <f>Table41319[[#This Row],[2 - Post 10min]]*$N$27/(Table41319[[#This Row],[10 - Post 10min]]*$N$26)</f>
        <v>#DIV/0!</v>
      </c>
      <c r="P22" s="6" t="e">
        <f>Table41319[[#This Row],[2 - Post 15min]]*$N$27/(Table41319[[#This Row],[10 - Post 15min]]*$N$26)</f>
        <v>#DIV/0!</v>
      </c>
      <c r="Q22" s="6" t="e">
        <f>Table41319[[#This Row],[2 - Post 20min]]*$N$27/(Table41319[[#This Row],[10 - Post 20min]]*$N$26)</f>
        <v>#DIV/0!</v>
      </c>
      <c r="R22" s="6" t="e">
        <f>-$N$29/LN((Table1320[[#This Row],[G Pre]]-1)/(Table1320[[#This Row],[G Pre]]*$O$26-$O$27))</f>
        <v>#DIV/0!</v>
      </c>
      <c r="S22" s="6" t="e">
        <f>-$N$29/LN((Table1320[[#This Row],[G 5min]]-1)/(Table1320[[#This Row],[G 5min]]*$O$26-$O$27))</f>
        <v>#DIV/0!</v>
      </c>
      <c r="T22" s="6" t="e">
        <f>-$N$29/LN((Table1320[[#This Row],[G 10min]]-1)/(Table1320[[#This Row],[G 10min]]*$O$26-$O$27))</f>
        <v>#DIV/0!</v>
      </c>
      <c r="U22" s="6" t="e">
        <f>-$N$29/LN((Table1320[[#This Row],[G 15min]]-1)/(Table1320[[#This Row],[G 15min]]*$O$26-$O$27))</f>
        <v>#DIV/0!</v>
      </c>
      <c r="V22" s="6" t="e">
        <f>-$N$29/LN((Table1320[[#This Row],[G 20min]]-1)/(Table1320[[#This Row],[G 20min]]*$O$26-$O$27))</f>
        <v>#DIV/0!</v>
      </c>
    </row>
    <row r="23" spans="1:22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A_2]]</f>
        <v>11.476744186046512</v>
      </c>
      <c r="E23" s="5">
        <f>Table1[[#This Row],[10 - Post 5min]]/Table1[[#This Row],[Rescale A_10]]</f>
        <v>62.104906937394247</v>
      </c>
      <c r="F23" s="5">
        <f>Table1[[#This Row],[2 - Post 10min]]/Table1[[#This Row],[Rescale A_2]]</f>
        <v>11.1734496124031</v>
      </c>
      <c r="G23" s="5">
        <f>Table1[[#This Row],[10 - Post 10min]]/Table1[[#This Row],[Rescale A_10]]</f>
        <v>62.90862944162437</v>
      </c>
      <c r="H23" s="5">
        <f>Table1[[#This Row],[2 - Post 15min]]/Table1[[#This Row],[Rescale A_2]]</f>
        <v>11.696705426356589</v>
      </c>
      <c r="I23" s="5">
        <f>Table1[[#This Row],[10 - Post 15min]]/Table1[[#This Row],[Rescale A_10]]</f>
        <v>65.241962774957699</v>
      </c>
      <c r="J23" s="5">
        <f>Table1[[#This Row],[2 - Post 20min]]/Table1[[#This Row],[Rescale A_2]]</f>
        <v>11.876937984496124</v>
      </c>
      <c r="K23" s="5">
        <f>Table1[[#This Row],[10 - Post 20min]]/Table1[[#This Row],[Rescale A_10]]</f>
        <v>67.282571912013537</v>
      </c>
      <c r="M23" s="6">
        <f>Table41319[[#This Row],[2 - Pre]]*$N$27/(Table41319[[#This Row],[10 - pre]]*$N$26)</f>
        <v>1.3380704444072569</v>
      </c>
      <c r="N23" s="6">
        <f>Table41319[[#This Row],[2 - Post 5min]]*$N$27/(Table41319[[#This Row],[10 - Post 5min]]*$N$26)</f>
        <v>0.91948331349699941</v>
      </c>
      <c r="O23" s="6">
        <f>Table41319[[#This Row],[2 - Post 10min]]*$N$27/(Table41319[[#This Row],[10 - Post 10min]]*$N$26)</f>
        <v>0.88374733554081852</v>
      </c>
      <c r="P23" s="6">
        <f>Table41319[[#This Row],[2 - Post 15min]]*$N$27/(Table41319[[#This Row],[10 - Post 15min]]*$N$26)</f>
        <v>0.89204671988676798</v>
      </c>
      <c r="Q23" s="6">
        <f>Table41319[[#This Row],[2 - Post 20min]]*$N$27/(Table41319[[#This Row],[10 - Post 20min]]*$N$26)</f>
        <v>0.87832040165935688</v>
      </c>
      <c r="R23" s="6">
        <f>-$N$29/LN((Table1320[[#This Row],[G Pre]]-1)/(Table1320[[#This Row],[G Pre]]*$O$26-$O$27))</f>
        <v>3.8897800838098955</v>
      </c>
      <c r="S23" s="6">
        <f>-$N$29/LN((Table1320[[#This Row],[G 5min]]-1)/(Table1320[[#This Row],[G 5min]]*$O$26-$O$27))</f>
        <v>-0.8077372463342255</v>
      </c>
      <c r="T23" s="6">
        <f>-$N$29/LN((Table1320[[#This Row],[G 10min]]-1)/(Table1320[[#This Row],[G 10min]]*$O$26-$O$27))</f>
        <v>-1.2023645505387202</v>
      </c>
      <c r="U23" s="6">
        <f>-$N$29/LN((Table1320[[#This Row],[G 15min]]-1)/(Table1320[[#This Row],[G 15min]]*$O$26-$O$27))</f>
        <v>-1.1108764007328664</v>
      </c>
      <c r="V23" s="6">
        <f>-$N$29/LN((Table1320[[#This Row],[G 20min]]-1)/(Table1320[[#This Row],[G 20min]]*$O$26-$O$27))</f>
        <v>-1.2621424254374329</v>
      </c>
    </row>
    <row r="24" spans="1:22">
      <c r="M24" s="12"/>
      <c r="N24" s="12"/>
      <c r="O24" s="12"/>
      <c r="P24" s="12"/>
      <c r="Q24" s="12"/>
    </row>
    <row r="25" spans="1:22">
      <c r="M25" s="2" t="s">
        <v>32</v>
      </c>
      <c r="N25" s="2" t="s">
        <v>33</v>
      </c>
      <c r="O25" s="2" t="s">
        <v>34</v>
      </c>
      <c r="P25" s="2" t="s">
        <v>35</v>
      </c>
    </row>
    <row r="26" spans="1:22">
      <c r="M26" s="2">
        <v>2</v>
      </c>
      <c r="N26" s="2">
        <f>SIN(M26*PI()/180)</f>
        <v>3.4899496702500969E-2</v>
      </c>
      <c r="O26" s="2">
        <f>COS(M26*PI()/180)</f>
        <v>0.99939082701909576</v>
      </c>
      <c r="P26" s="2">
        <f>TAN(M26*PI()/180)/2</f>
        <v>1.7460384745873865E-2</v>
      </c>
    </row>
    <row r="27" spans="1:22">
      <c r="M27" s="2">
        <v>10</v>
      </c>
      <c r="N27" s="2">
        <f>SIN(M27*PI()/180)</f>
        <v>0.17364817766693033</v>
      </c>
      <c r="O27" s="2">
        <f>COS(M27*PI()/180)</f>
        <v>0.98480775301220802</v>
      </c>
      <c r="P27" s="2">
        <f>TAN(M27*PI()/180)/2</f>
        <v>8.8163490354232488E-2</v>
      </c>
    </row>
    <row r="28" spans="1:22">
      <c r="M28" s="2"/>
      <c r="N28" s="2"/>
      <c r="O28" s="2"/>
      <c r="P28" s="2"/>
    </row>
    <row r="29" spans="1:22">
      <c r="M29" s="2" t="s">
        <v>29</v>
      </c>
      <c r="N29" s="2">
        <v>0.16200000000000001</v>
      </c>
      <c r="O29" s="2"/>
      <c r="P29" s="2"/>
    </row>
    <row r="30" spans="1:22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M30" s="1" t="s">
        <v>49</v>
      </c>
      <c r="N30" s="1" t="s">
        <v>50</v>
      </c>
      <c r="O30" s="1" t="s">
        <v>51</v>
      </c>
      <c r="P30" s="1" t="s">
        <v>52</v>
      </c>
      <c r="Q30" s="1" t="s">
        <v>53</v>
      </c>
      <c r="R30" s="1" t="s">
        <v>54</v>
      </c>
      <c r="S30" s="1" t="s">
        <v>55</v>
      </c>
      <c r="T30" s="1" t="s">
        <v>56</v>
      </c>
      <c r="U30" s="1" t="s">
        <v>57</v>
      </c>
      <c r="V30" s="1" t="s">
        <v>58</v>
      </c>
    </row>
    <row r="31" spans="1:22">
      <c r="A31" s="2" t="s">
        <v>1</v>
      </c>
      <c r="B31" s="5" t="e">
        <f t="shared" ref="B31:J46" si="0">B2/B2</f>
        <v>#DIV/0!</v>
      </c>
      <c r="C31" s="5" t="e">
        <f t="shared" ref="C31:K46" si="1">C2/B2</f>
        <v>#DIV/0!</v>
      </c>
      <c r="D31" s="5" t="e">
        <f t="shared" si="0"/>
        <v>#DIV/0!</v>
      </c>
      <c r="E31" s="5" t="e">
        <f t="shared" si="1"/>
        <v>#DIV/0!</v>
      </c>
      <c r="F31" s="5" t="e">
        <f t="shared" si="0"/>
        <v>#DIV/0!</v>
      </c>
      <c r="G31" s="5" t="e">
        <f t="shared" si="1"/>
        <v>#DIV/0!</v>
      </c>
      <c r="H31" s="5" t="e">
        <f t="shared" si="0"/>
        <v>#DIV/0!</v>
      </c>
      <c r="I31" s="5" t="e">
        <f t="shared" si="1"/>
        <v>#DIV/0!</v>
      </c>
      <c r="J31" s="5" t="e">
        <f t="shared" si="0"/>
        <v>#DIV/0!</v>
      </c>
      <c r="K31" s="5" t="e">
        <f t="shared" si="1"/>
        <v>#DIV/0!</v>
      </c>
      <c r="M31" s="6" t="e">
        <f>Table4131621[[#This Row],[2 - Pre]]*$N$27/(Table4131621[[#This Row],[10 - pre]]*$N$26)</f>
        <v>#DIV/0!</v>
      </c>
      <c r="N31" s="6" t="e">
        <f>Table4131621[[#This Row],[2 - Post 5min]]*$N$27/(Table4131621[[#This Row],[10 - Post 5min]]*$N$26)</f>
        <v>#DIV/0!</v>
      </c>
      <c r="O31" s="6" t="e">
        <f>Table4131621[[#This Row],[2 - Post 10min]]*$N$27/(Table4131621[[#This Row],[10 - Post 10min]]*$N$26)</f>
        <v>#DIV/0!</v>
      </c>
      <c r="P31" s="6" t="e">
        <f>Table4131621[[#This Row],[2 - Post 15min]]*$N$27/(Table4131621[[#This Row],[10 - Post 15min]]*$N$26)</f>
        <v>#DIV/0!</v>
      </c>
      <c r="Q31" s="6" t="e">
        <f>Table4131621[[#This Row],[2 - Post 20min]]*$N$27/(Table4131621[[#This Row],[10 - Post 20min]]*$N$26)</f>
        <v>#DIV/0!</v>
      </c>
      <c r="R31" s="6" t="e">
        <f>-$N$29/LN((Table131722[[#This Row],[G Pre]]-1)/(Table131722[[#This Row],[G Pre]]*$O$26-$O$27))</f>
        <v>#DIV/0!</v>
      </c>
      <c r="S31" s="6" t="e">
        <f>-$N$29/LN((Table131722[[#This Row],[G 5min]]-1)/(Table131722[[#This Row],[G 5min]]*$O$26-$O$27))</f>
        <v>#DIV/0!</v>
      </c>
      <c r="T31" s="6" t="e">
        <f>-$N$29/LN((Table131722[[#This Row],[G 10min]]-1)/(Table131722[[#This Row],[G 10min]]*$O$26-$O$27))</f>
        <v>#DIV/0!</v>
      </c>
      <c r="U31" s="6" t="e">
        <f>-$N$29/LN((Table131722[[#This Row],[G 15min]]-1)/(Table131722[[#This Row],[G 15min]]*$O$26-$O$27))</f>
        <v>#DIV/0!</v>
      </c>
      <c r="V31" s="6" t="e">
        <f>-$N$29/LN((Table131722[[#This Row],[G 20min]]-1)/(Table131722[[#This Row],[G 20min]]*$O$26-$O$27))</f>
        <v>#DIV/0!</v>
      </c>
    </row>
    <row r="32" spans="1:22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si="0"/>
        <v>1</v>
      </c>
      <c r="E32" s="5">
        <f t="shared" si="1"/>
        <v>5.3868299296482975</v>
      </c>
      <c r="F32" s="5">
        <f t="shared" si="0"/>
        <v>1</v>
      </c>
      <c r="G32" s="5">
        <f t="shared" si="1"/>
        <v>5.6505875427415306</v>
      </c>
      <c r="H32" s="5">
        <f t="shared" si="0"/>
        <v>1</v>
      </c>
      <c r="I32" s="5">
        <f t="shared" si="1"/>
        <v>5.8437022870048976</v>
      </c>
      <c r="J32" s="5">
        <f t="shared" si="0"/>
        <v>1</v>
      </c>
      <c r="K32" s="5">
        <f t="shared" si="1"/>
        <v>5.6297677430200777</v>
      </c>
      <c r="M32" s="6">
        <f>Table4131621[[#This Row],[2 - Pre]]*$N$27/(Table4131621[[#This Row],[10 - pre]]*$N$26)</f>
        <v>1.3008056773482592</v>
      </c>
      <c r="N32" s="6">
        <f>Table4131621[[#This Row],[2 - Post 5min]]*$N$27/(Table4131621[[#This Row],[10 - Post 5min]]*$N$26)</f>
        <v>0.92367204886448795</v>
      </c>
      <c r="O32" s="6">
        <f>Table4131621[[#This Row],[2 - Post 10min]]*$N$27/(Table4131621[[#This Row],[10 - Post 10min]]*$N$26)</f>
        <v>0.88055696869864175</v>
      </c>
      <c r="P32" s="6">
        <f>Table4131621[[#This Row],[2 - Post 15min]]*$N$27/(Table4131621[[#This Row],[10 - Post 15min]]*$N$26)</f>
        <v>0.85145751676425518</v>
      </c>
      <c r="Q32" s="6">
        <f>Table4131621[[#This Row],[2 - Post 20min]]*$N$27/(Table4131621[[#This Row],[10 - Post 20min]]*$N$26)</f>
        <v>0.8838134120491451</v>
      </c>
      <c r="R32" s="6">
        <f>-$N$29/LN((Table131722[[#This Row],[G Pre]]-1)/(Table131722[[#This Row],[G Pre]]*$O$26-$O$27))</f>
        <v>3.4644722702092752</v>
      </c>
      <c r="S32" s="6">
        <f>-$N$29/LN((Table131722[[#This Row],[G 5min]]-1)/(Table131722[[#This Row],[G 5min]]*$O$26-$O$27))</f>
        <v>-0.76134429263199177</v>
      </c>
      <c r="T32" s="6">
        <f>-$N$29/LN((Table131722[[#This Row],[G 10min]]-1)/(Table131722[[#This Row],[G 10min]]*$O$26-$O$27))</f>
        <v>-1.2375108326079576</v>
      </c>
      <c r="U32" s="6">
        <f>-$N$29/LN((Table131722[[#This Row],[G 15min]]-1)/(Table131722[[#This Row],[G 15min]]*$O$26-$O$27))</f>
        <v>-1.5575443587894182</v>
      </c>
      <c r="V32" s="6">
        <f>-$N$29/LN((Table131722[[#This Row],[G 20min]]-1)/(Table131722[[#This Row],[G 20min]]*$O$26-$O$27))</f>
        <v>-1.2016364963712052</v>
      </c>
    </row>
    <row r="33" spans="1:22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si="0"/>
        <v>1</v>
      </c>
      <c r="E33" s="5">
        <f t="shared" si="1"/>
        <v>3.8413419742353589</v>
      </c>
      <c r="F33" s="5">
        <f t="shared" si="0"/>
        <v>1</v>
      </c>
      <c r="G33" s="5">
        <f t="shared" si="1"/>
        <v>7.0028987221959298</v>
      </c>
      <c r="H33" s="5">
        <f t="shared" si="0"/>
        <v>1</v>
      </c>
      <c r="I33" s="5">
        <f t="shared" si="1"/>
        <v>7.0697284281992578</v>
      </c>
      <c r="J33" s="5">
        <f t="shared" si="0"/>
        <v>1</v>
      </c>
      <c r="K33" s="5">
        <f t="shared" si="1"/>
        <v>6.8045475337348496</v>
      </c>
      <c r="M33" s="6">
        <f>Table4131621[[#This Row],[2 - Pre]]*$N$27/(Table4131621[[#This Row],[10 - pre]]*$N$26)</f>
        <v>0.97902842296696546</v>
      </c>
      <c r="N33" s="6">
        <f>Table4131621[[#This Row],[2 - Post 5min]]*$N$27/(Table4131621[[#This Row],[10 - Post 5min]]*$N$26)</f>
        <v>1.2952932260068366</v>
      </c>
      <c r="O33" s="6">
        <f>Table4131621[[#This Row],[2 - Post 10min]]*$N$27/(Table4131621[[#This Row],[10 - Post 10min]]*$N$26)</f>
        <v>0.71051495036366141</v>
      </c>
      <c r="P33" s="6">
        <f>Table4131621[[#This Row],[2 - Post 15min]]*$N$27/(Table4131621[[#This Row],[10 - Post 15min]]*$N$26)</f>
        <v>0.70379849643957937</v>
      </c>
      <c r="Q33" s="6">
        <f>Table4131621[[#This Row],[2 - Post 20min]]*$N$27/(Table4131621[[#This Row],[10 - Post 20min]]*$N$26)</f>
        <v>0.73122631789034898</v>
      </c>
      <c r="R33" s="6">
        <f>-$N$29/LN((Table131722[[#This Row],[G Pre]]-1)/(Table131722[[#This Row],[G Pre]]*$O$26-$O$27))</f>
        <v>-0.13605787131971925</v>
      </c>
      <c r="S33" s="6">
        <f>-$N$29/LN((Table131722[[#This Row],[G 5min]]-1)/(Table131722[[#This Row],[G 5min]]*$O$26-$O$27))</f>
        <v>3.401670283718857</v>
      </c>
      <c r="T33" s="6">
        <f>-$N$29/LN((Table131722[[#This Row],[G 10min]]-1)/(Table131722[[#This Row],[G 10min]]*$O$26-$O$27))</f>
        <v>-3.0956932563087141</v>
      </c>
      <c r="U33" s="6">
        <f>-$N$29/LN((Table131722[[#This Row],[G 15min]]-1)/(Table131722[[#This Row],[G 15min]]*$O$26-$O$27))</f>
        <v>-3.1685285671456773</v>
      </c>
      <c r="V33" s="6">
        <f>-$N$29/LN((Table131722[[#This Row],[G 20min]]-1)/(Table131722[[#This Row],[G 20min]]*$O$26-$O$27))</f>
        <v>-2.8708330856222002</v>
      </c>
    </row>
    <row r="34" spans="1:22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si="0"/>
        <v>1</v>
      </c>
      <c r="E34" s="5">
        <f t="shared" si="1"/>
        <v>6.6137806677991584</v>
      </c>
      <c r="F34" s="5">
        <f t="shared" si="0"/>
        <v>1</v>
      </c>
      <c r="G34" s="5">
        <f t="shared" si="1"/>
        <v>6.3353869273651009</v>
      </c>
      <c r="H34" s="5">
        <f t="shared" si="0"/>
        <v>1</v>
      </c>
      <c r="I34" s="5">
        <f t="shared" si="1"/>
        <v>6.9844555311384315</v>
      </c>
      <c r="J34" s="5">
        <f t="shared" si="0"/>
        <v>1</v>
      </c>
      <c r="K34" s="5">
        <f t="shared" si="1"/>
        <v>5.3801156162086823</v>
      </c>
      <c r="M34" s="6">
        <f>Table4131621[[#This Row],[2 - Pre]]*$N$27/(Table4131621[[#This Row],[10 - pre]]*$N$26)</f>
        <v>1.1074198196834615</v>
      </c>
      <c r="N34" s="6">
        <f>Table4131621[[#This Row],[2 - Post 5min]]*$N$27/(Table4131621[[#This Row],[10 - Post 5min]]*$N$26)</f>
        <v>0.75231769662820125</v>
      </c>
      <c r="O34" s="6">
        <f>Table4131621[[#This Row],[2 - Post 10min]]*$N$27/(Table4131621[[#This Row],[10 - Post 10min]]*$N$26)</f>
        <v>0.78537653580571076</v>
      </c>
      <c r="P34" s="6">
        <f>Table4131621[[#This Row],[2 - Post 15min]]*$N$27/(Table4131621[[#This Row],[10 - Post 15min]]*$N$26)</f>
        <v>0.71239113998507775</v>
      </c>
      <c r="Q34" s="6">
        <f>Table4131621[[#This Row],[2 - Post 20min]]*$N$27/(Table4131621[[#This Row],[10 - Post 20min]]*$N$26)</f>
        <v>0.9248247794178619</v>
      </c>
      <c r="R34" s="6">
        <f>-$N$29/LN((Table131722[[#This Row],[G Pre]]-1)/(Table131722[[#This Row],[G Pre]]*$O$26-$O$27))</f>
        <v>1.277969836420177</v>
      </c>
      <c r="S34" s="6">
        <f>-$N$29/LN((Table131722[[#This Row],[G 5min]]-1)/(Table131722[[#This Row],[G 5min]]*$O$26-$O$27))</f>
        <v>-2.6414417213358417</v>
      </c>
      <c r="T34" s="6">
        <f>-$N$29/LN((Table131722[[#This Row],[G 10min]]-1)/(Table131722[[#This Row],[G 10min]]*$O$26-$O$27))</f>
        <v>-2.2810584451894376</v>
      </c>
      <c r="U34" s="6">
        <f>-$N$29/LN((Table131722[[#This Row],[G 15min]]-1)/(Table131722[[#This Row],[G 15min]]*$O$26-$O$27))</f>
        <v>-3.0753399200337297</v>
      </c>
      <c r="V34" s="6">
        <f>-$N$29/LN((Table131722[[#This Row],[G 20min]]-1)/(Table131722[[#This Row],[G 20min]]*$O$26-$O$27))</f>
        <v>-0.74857062884268455</v>
      </c>
    </row>
    <row r="35" spans="1:22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si="0"/>
        <v>1</v>
      </c>
      <c r="E35" s="5">
        <f t="shared" si="1"/>
        <v>7.2469674189745596</v>
      </c>
      <c r="F35" s="5">
        <f t="shared" si="0"/>
        <v>1</v>
      </c>
      <c r="G35" s="5">
        <f t="shared" si="1"/>
        <v>7.5305491738966026</v>
      </c>
      <c r="H35" s="5">
        <f t="shared" si="0"/>
        <v>1</v>
      </c>
      <c r="I35" s="5">
        <f t="shared" si="1"/>
        <v>7.75398027474463</v>
      </c>
      <c r="J35" s="5">
        <f t="shared" si="0"/>
        <v>1</v>
      </c>
      <c r="K35" s="5">
        <f t="shared" si="1"/>
        <v>7.5376812258867103</v>
      </c>
      <c r="M35" s="6">
        <f>Table4131621[[#This Row],[2 - Pre]]*$N$27/(Table4131621[[#This Row],[10 - pre]]*$N$26)</f>
        <v>1.0399483775522544</v>
      </c>
      <c r="N35" s="6">
        <f>Table4131621[[#This Row],[2 - Post 5min]]*$N$27/(Table4131621[[#This Row],[10 - Post 5min]]*$N$26)</f>
        <v>0.68658570548766751</v>
      </c>
      <c r="O35" s="6">
        <f>Table4131621[[#This Row],[2 - Post 10min]]*$N$27/(Table4131621[[#This Row],[10 - Post 10min]]*$N$26)</f>
        <v>0.66073059522008071</v>
      </c>
      <c r="P35" s="6">
        <f>Table4131621[[#This Row],[2 - Post 15min]]*$N$27/(Table4131621[[#This Row],[10 - Post 15min]]*$N$26)</f>
        <v>0.64169162955043213</v>
      </c>
      <c r="Q35" s="6">
        <f>Table4131621[[#This Row],[2 - Post 20min]]*$N$27/(Table4131621[[#This Row],[10 - Post 20min]]*$N$26)</f>
        <v>0.66010542087065593</v>
      </c>
      <c r="R35" s="6">
        <f>-$N$29/LN((Table131722[[#This Row],[G Pre]]-1)/(Table131722[[#This Row],[G Pre]]*$O$26-$O$27))</f>
        <v>0.52133078970952307</v>
      </c>
      <c r="S35" s="6">
        <f>-$N$29/LN((Table131722[[#This Row],[G 5min]]-1)/(Table131722[[#This Row],[G 5min]]*$O$26-$O$27))</f>
        <v>-3.3550020284117257</v>
      </c>
      <c r="T35" s="6">
        <f>-$N$29/LN((Table131722[[#This Row],[G 10min]]-1)/(Table131722[[#This Row],[G 10min]]*$O$26-$O$27))</f>
        <v>-3.6345971493160154</v>
      </c>
      <c r="U35" s="6">
        <f>-$N$29/LN((Table131722[[#This Row],[G 15min]]-1)/(Table131722[[#This Row],[G 15min]]*$O$26-$O$27))</f>
        <v>-3.8400979523051717</v>
      </c>
      <c r="V35" s="6">
        <f>-$N$29/LN((Table131722[[#This Row],[G 20min]]-1)/(Table131722[[#This Row],[G 20min]]*$O$26-$O$27))</f>
        <v>-3.6413502665921014</v>
      </c>
    </row>
    <row r="36" spans="1:22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si="0"/>
        <v>1</v>
      </c>
      <c r="E36" s="5">
        <f t="shared" si="1"/>
        <v>4.6740693256844024</v>
      </c>
      <c r="F36" s="5">
        <f t="shared" si="0"/>
        <v>1</v>
      </c>
      <c r="G36" s="5">
        <f t="shared" si="1"/>
        <v>4.7163202629152456</v>
      </c>
      <c r="H36" s="5">
        <f t="shared" si="0"/>
        <v>1</v>
      </c>
      <c r="I36" s="5">
        <f t="shared" si="1"/>
        <v>5.0483634152209866</v>
      </c>
      <c r="J36" s="5">
        <f t="shared" si="0"/>
        <v>1</v>
      </c>
      <c r="K36" s="5">
        <f t="shared" si="1"/>
        <v>4.6288682990472934</v>
      </c>
      <c r="M36" s="6">
        <f>Table4131621[[#This Row],[2 - Pre]]*$N$27/(Table4131621[[#This Row],[10 - pre]]*$N$26)</f>
        <v>1.1379642365071603</v>
      </c>
      <c r="N36" s="6">
        <f>Table4131621[[#This Row],[2 - Post 5min]]*$N$27/(Table4131621[[#This Row],[10 - Post 5min]]*$N$26)</f>
        <v>1.0645251260312074</v>
      </c>
      <c r="O36" s="6">
        <f>Table4131621[[#This Row],[2 - Post 10min]]*$N$27/(Table4131621[[#This Row],[10 - Post 10min]]*$N$26)</f>
        <v>1.0549886268595421</v>
      </c>
      <c r="P36" s="6">
        <f>Table4131621[[#This Row],[2 - Post 15min]]*$N$27/(Table4131621[[#This Row],[10 - Post 15min]]*$N$26)</f>
        <v>0.98559945644978586</v>
      </c>
      <c r="Q36" s="6">
        <f>Table4131621[[#This Row],[2 - Post 20min]]*$N$27/(Table4131621[[#This Row],[10 - Post 20min]]*$N$26)</f>
        <v>1.0749202432540308</v>
      </c>
      <c r="R36" s="6">
        <f>-$N$29/LN((Table131722[[#This Row],[G Pre]]-1)/(Table131722[[#This Row],[G Pre]]*$O$26-$O$27))</f>
        <v>1.6211478483778388</v>
      </c>
      <c r="S36" s="6">
        <f>-$N$29/LN((Table131722[[#This Row],[G 5min]]-1)/(Table131722[[#This Row],[G 5min]]*$O$26-$O$27))</f>
        <v>0.796989787836902</v>
      </c>
      <c r="T36" s="6">
        <f>-$N$29/LN((Table131722[[#This Row],[G 10min]]-1)/(Table131722[[#This Row],[G 10min]]*$O$26-$O$27))</f>
        <v>0.69009611250599445</v>
      </c>
      <c r="U36" s="6" t="e">
        <f>-$N$29/LN((Table131722[[#This Row],[G 15min]]-1)/(Table131722[[#This Row],[G 15min]]*$O$26-$O$27))</f>
        <v>#NUM!</v>
      </c>
      <c r="V36" s="6">
        <f>-$N$29/LN((Table131722[[#This Row],[G 20min]]-1)/(Table131722[[#This Row],[G 20min]]*$O$26-$O$27))</f>
        <v>0.91349168299202088</v>
      </c>
    </row>
    <row r="37" spans="1:22">
      <c r="A37" s="2" t="s">
        <v>7</v>
      </c>
      <c r="B37" s="5">
        <f t="shared" si="0"/>
        <v>1</v>
      </c>
      <c r="C37" s="5">
        <f t="shared" si="1"/>
        <v>2.6676748582230623</v>
      </c>
      <c r="D37" s="5">
        <f t="shared" si="0"/>
        <v>1</v>
      </c>
      <c r="E37" s="5">
        <f t="shared" si="1"/>
        <v>3.9341852023136039</v>
      </c>
      <c r="F37" s="5">
        <f t="shared" si="0"/>
        <v>1</v>
      </c>
      <c r="G37" s="5">
        <f t="shared" si="1"/>
        <v>4.2100846511292822</v>
      </c>
      <c r="H37" s="5">
        <f t="shared" si="0"/>
        <v>1</v>
      </c>
      <c r="I37" s="5">
        <f t="shared" si="1"/>
        <v>4.2384604760850024</v>
      </c>
      <c r="J37" s="5">
        <f t="shared" si="0"/>
        <v>1</v>
      </c>
      <c r="K37" s="5">
        <f t="shared" si="1"/>
        <v>4.1397372021486607</v>
      </c>
      <c r="M37" s="6">
        <f>Table4131621[[#This Row],[2 - Pre]]*$N$27/(Table4131621[[#This Row],[10 - pre]]*$N$26)</f>
        <v>1.8651689214168619</v>
      </c>
      <c r="N37" s="6">
        <f>Table4131621[[#This Row],[2 - Post 5min]]*$N$27/(Table4131621[[#This Row],[10 - Post 5min]]*$N$26)</f>
        <v>1.2647254722723056</v>
      </c>
      <c r="O37" s="6">
        <f>Table4131621[[#This Row],[2 - Post 10min]]*$N$27/(Table4131621[[#This Row],[10 - Post 10min]]*$N$26)</f>
        <v>1.1818442264974776</v>
      </c>
      <c r="P37" s="6">
        <f>Table4131621[[#This Row],[2 - Post 15min]]*$N$27/(Table4131621[[#This Row],[10 - Post 15min]]*$N$26)</f>
        <v>1.173931965645868</v>
      </c>
      <c r="Q37" s="6">
        <f>Table4131621[[#This Row],[2 - Post 20min]]*$N$27/(Table4131621[[#This Row],[10 - Post 20min]]*$N$26)</f>
        <v>1.2019275608655193</v>
      </c>
      <c r="R37" s="6">
        <f>-$N$29/LN((Table131722[[#This Row],[G Pre]]-1)/(Table131722[[#This Row],[G Pre]]*$O$26-$O$27))</f>
        <v>10.05211151516966</v>
      </c>
      <c r="S37" s="6">
        <f>-$N$29/LN((Table131722[[#This Row],[G 5min]]-1)/(Table131722[[#This Row],[G 5min]]*$O$26-$O$27))</f>
        <v>3.0539415376578245</v>
      </c>
      <c r="T37" s="6">
        <f>-$N$29/LN((Table131722[[#This Row],[G 10min]]-1)/(Table131722[[#This Row],[G 10min]]*$O$26-$O$27))</f>
        <v>2.1154938855825884</v>
      </c>
      <c r="U37" s="6">
        <f>-$N$29/LN((Table131722[[#This Row],[G 15min]]-1)/(Table131722[[#This Row],[G 15min]]*$O$26-$O$27))</f>
        <v>2.0262318952111511</v>
      </c>
      <c r="V37" s="6">
        <f>-$N$29/LN((Table131722[[#This Row],[G 20min]]-1)/(Table131722[[#This Row],[G 20min]]*$O$26-$O$27))</f>
        <v>2.3423151641600666</v>
      </c>
    </row>
    <row r="38" spans="1:22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si="0"/>
        <v>1</v>
      </c>
      <c r="E38" s="5">
        <f t="shared" si="1"/>
        <v>6.4401207530489657</v>
      </c>
      <c r="F38" s="5">
        <f t="shared" si="0"/>
        <v>1</v>
      </c>
      <c r="G38" s="5">
        <f t="shared" si="1"/>
        <v>6.8829787966464311</v>
      </c>
      <c r="H38" s="5">
        <f t="shared" si="0"/>
        <v>1</v>
      </c>
      <c r="I38" s="5">
        <f t="shared" si="1"/>
        <v>7.0415393111187363</v>
      </c>
      <c r="J38" s="5">
        <f t="shared" si="0"/>
        <v>1</v>
      </c>
      <c r="K38" s="5">
        <f t="shared" si="1"/>
        <v>7.277902583477994</v>
      </c>
      <c r="M38" s="6">
        <f>Table4131621[[#This Row],[2 - Pre]]*$N$27/(Table4131621[[#This Row],[10 - pre]]*$N$26)</f>
        <v>1.0761081462020172</v>
      </c>
      <c r="N38" s="6">
        <f>Table4131621[[#This Row],[2 - Post 5min]]*$N$27/(Table4131621[[#This Row],[10 - Post 5min]]*$N$26)</f>
        <v>0.77260418380309803</v>
      </c>
      <c r="O38" s="6">
        <f>Table4131621[[#This Row],[2 - Post 10min]]*$N$27/(Table4131621[[#This Row],[10 - Post 10min]]*$N$26)</f>
        <v>0.72289402379491041</v>
      </c>
      <c r="P38" s="6">
        <f>Table4131621[[#This Row],[2 - Post 15min]]*$N$27/(Table4131621[[#This Row],[10 - Post 15min]]*$N$26)</f>
        <v>0.70661598525000235</v>
      </c>
      <c r="Q38" s="6">
        <f>Table4131621[[#This Row],[2 - Post 20min]]*$N$27/(Table4131621[[#This Row],[10 - Post 20min]]*$N$26)</f>
        <v>0.68366733147793768</v>
      </c>
      <c r="R38" s="6">
        <f>-$N$29/LN((Table131722[[#This Row],[G Pre]]-1)/(Table131722[[#This Row],[G Pre]]*$O$26-$O$27))</f>
        <v>0.92680581004725049</v>
      </c>
      <c r="S38" s="6">
        <f>-$N$29/LN((Table131722[[#This Row],[G 5min]]-1)/(Table131722[[#This Row],[G 5min]]*$O$26-$O$27))</f>
        <v>-2.4204147801813725</v>
      </c>
      <c r="T38" s="6">
        <f>-$N$29/LN((Table131722[[#This Row],[G 10min]]-1)/(Table131722[[#This Row],[G 10min]]*$O$26-$O$27))</f>
        <v>-2.9613427905736875</v>
      </c>
      <c r="U38" s="6">
        <f>-$N$29/LN((Table131722[[#This Row],[G 15min]]-1)/(Table131722[[#This Row],[G 15min]]*$O$26-$O$27))</f>
        <v>-3.1379798518811008</v>
      </c>
      <c r="V38" s="6">
        <f>-$N$29/LN((Table131722[[#This Row],[G 20min]]-1)/(Table131722[[#This Row],[G 20min]]*$O$26-$O$27))</f>
        <v>-3.3865913526460427</v>
      </c>
    </row>
    <row r="39" spans="1:22">
      <c r="A39" s="2" t="s">
        <v>9</v>
      </c>
      <c r="B39" s="5">
        <f t="shared" si="0"/>
        <v>1</v>
      </c>
      <c r="C39" s="5">
        <f t="shared" si="1"/>
        <v>4.0616774138576375</v>
      </c>
      <c r="D39" s="5" t="e">
        <f t="shared" si="0"/>
        <v>#DIV/0!</v>
      </c>
      <c r="E39" s="5" t="e">
        <f t="shared" si="1"/>
        <v>#DIV/0!</v>
      </c>
      <c r="F39" s="5">
        <f t="shared" si="0"/>
        <v>1</v>
      </c>
      <c r="G39" s="5">
        <f t="shared" si="1"/>
        <v>6.7626690242548708</v>
      </c>
      <c r="H39" s="5">
        <f t="shared" si="0"/>
        <v>1</v>
      </c>
      <c r="I39" s="5">
        <f t="shared" si="1"/>
        <v>7.1574645413580473</v>
      </c>
      <c r="J39" s="5">
        <f t="shared" si="0"/>
        <v>1</v>
      </c>
      <c r="K39" s="5">
        <f t="shared" si="1"/>
        <v>7.0472873889288117</v>
      </c>
      <c r="M39" s="6">
        <f>Table4131621[[#This Row],[2 - Pre]]*$N$27/(Table4131621[[#This Row],[10 - pre]]*$N$26)</f>
        <v>1.2250269361684929</v>
      </c>
      <c r="N39" s="6" t="e">
        <f>Table4131621[[#This Row],[2 - Post 5min]]*$N$27/(Table4131621[[#This Row],[10 - Post 5min]]*$N$26)</f>
        <v>#DIV/0!</v>
      </c>
      <c r="O39" s="6">
        <f>Table4131621[[#This Row],[2 - Post 10min]]*$N$27/(Table4131621[[#This Row],[10 - Post 10min]]*$N$26)</f>
        <v>0.73575451055746743</v>
      </c>
      <c r="P39" s="6">
        <f>Table4131621[[#This Row],[2 - Post 15min]]*$N$27/(Table4131621[[#This Row],[10 - Post 15min]]*$N$26)</f>
        <v>0.69517134304359596</v>
      </c>
      <c r="Q39" s="6">
        <f>Table4131621[[#This Row],[2 - Post 20min]]*$N$27/(Table4131621[[#This Row],[10 - Post 20min]]*$N$26)</f>
        <v>0.70603963814779103</v>
      </c>
      <c r="R39" s="6">
        <f>-$N$29/LN((Table131722[[#This Row],[G Pre]]-1)/(Table131722[[#This Row],[G Pre]]*$O$26-$O$27))</f>
        <v>2.6036530622777052</v>
      </c>
      <c r="S39" s="6" t="e">
        <f>-$N$29/LN((Table131722[[#This Row],[G 5min]]-1)/(Table131722[[#This Row],[G 5min]]*$O$26-$O$27))</f>
        <v>#DIV/0!</v>
      </c>
      <c r="T39" s="6">
        <f>-$N$29/LN((Table131722[[#This Row],[G 10min]]-1)/(Table131722[[#This Row],[G 10min]]*$O$26-$O$27))</f>
        <v>-2.8216187428861237</v>
      </c>
      <c r="U39" s="6">
        <f>-$N$29/LN((Table131722[[#This Row],[G 15min]]-1)/(Table131722[[#This Row],[G 15min]]*$O$26-$O$27))</f>
        <v>-3.262023823391174</v>
      </c>
      <c r="V39" s="6">
        <f>-$N$29/LN((Table131722[[#This Row],[G 20min]]-1)/(Table131722[[#This Row],[G 20min]]*$O$26-$O$27))</f>
        <v>-3.1442295028809548</v>
      </c>
    </row>
    <row r="40" spans="1:22">
      <c r="A40" s="2" t="s">
        <v>10</v>
      </c>
      <c r="B40" s="5">
        <f t="shared" si="0"/>
        <v>1</v>
      </c>
      <c r="C40" s="5">
        <f t="shared" si="1"/>
        <v>3.5083397272615731</v>
      </c>
      <c r="D40" s="5">
        <f t="shared" si="0"/>
        <v>1</v>
      </c>
      <c r="E40" s="5">
        <f t="shared" si="1"/>
        <v>5.2533609276073401</v>
      </c>
      <c r="F40" s="5">
        <f t="shared" si="0"/>
        <v>1</v>
      </c>
      <c r="G40" s="5">
        <f t="shared" si="1"/>
        <v>5.4861558392025511</v>
      </c>
      <c r="H40" s="5">
        <f t="shared" si="0"/>
        <v>1</v>
      </c>
      <c r="I40" s="5">
        <f t="shared" si="1"/>
        <v>5.5702397226589726</v>
      </c>
      <c r="J40" s="5">
        <f t="shared" si="0"/>
        <v>1</v>
      </c>
      <c r="K40" s="5">
        <f t="shared" si="1"/>
        <v>5.3709276078784161</v>
      </c>
      <c r="M40" s="6">
        <f>Table4131621[[#This Row],[2 - Pre]]*$N$27/(Table4131621[[#This Row],[10 - pre]]*$N$26)</f>
        <v>1.4182390032924583</v>
      </c>
      <c r="N40" s="6">
        <f>Table4131621[[#This Row],[2 - Post 5min]]*$N$27/(Table4131621[[#This Row],[10 - Post 5min]]*$N$26)</f>
        <v>0.94713923268717259</v>
      </c>
      <c r="O40" s="6">
        <f>Table4131621[[#This Row],[2 - Post 10min]]*$N$27/(Table4131621[[#This Row],[10 - Post 10min]]*$N$26)</f>
        <v>0.90694912500444658</v>
      </c>
      <c r="P40" s="6">
        <f>Table4131621[[#This Row],[2 - Post 15min]]*$N$27/(Table4131621[[#This Row],[10 - Post 15min]]*$N$26)</f>
        <v>0.89325854644324698</v>
      </c>
      <c r="Q40" s="6">
        <f>Table4131621[[#This Row],[2 - Post 20min]]*$N$27/(Table4131621[[#This Row],[10 - Post 20min]]*$N$26)</f>
        <v>0.92640687070594108</v>
      </c>
      <c r="R40" s="6">
        <f>-$N$29/LN((Table131722[[#This Row],[G Pre]]-1)/(Table131722[[#This Row],[G Pre]]*$O$26-$O$27))</f>
        <v>4.8092811493515999</v>
      </c>
      <c r="S40" s="6">
        <f>-$N$29/LN((Table131722[[#This Row],[G 5min]]-1)/(Table131722[[#This Row],[G 5min]]*$O$26-$O$27))</f>
        <v>-0.50056277920889158</v>
      </c>
      <c r="T40" s="6">
        <f>-$N$29/LN((Table131722[[#This Row],[G 10min]]-1)/(Table131722[[#This Row],[G 10min]]*$O$26-$O$27))</f>
        <v>-0.94636852503729008</v>
      </c>
      <c r="U40" s="6">
        <f>-$N$29/LN((Table131722[[#This Row],[G 15min]]-1)/(Table131722[[#This Row],[G 15min]]*$O$26-$O$27))</f>
        <v>-1.0975104733522025</v>
      </c>
      <c r="V40" s="6">
        <f>-$N$29/LN((Table131722[[#This Row],[G 20min]]-1)/(Table131722[[#This Row],[G 20min]]*$O$26-$O$27))</f>
        <v>-0.73103433884982005</v>
      </c>
    </row>
    <row r="41" spans="1:22">
      <c r="A41" s="2" t="s">
        <v>11</v>
      </c>
      <c r="B41" s="5" t="e">
        <f t="shared" si="0"/>
        <v>#DIV/0!</v>
      </c>
      <c r="C41" s="5" t="e">
        <f t="shared" si="1"/>
        <v>#DIV/0!</v>
      </c>
      <c r="D41" s="5" t="e">
        <f t="shared" si="0"/>
        <v>#DIV/0!</v>
      </c>
      <c r="E41" s="5" t="e">
        <f t="shared" si="1"/>
        <v>#DIV/0!</v>
      </c>
      <c r="F41" s="5" t="e">
        <f t="shared" si="0"/>
        <v>#DIV/0!</v>
      </c>
      <c r="G41" s="5" t="e">
        <f t="shared" si="1"/>
        <v>#DIV/0!</v>
      </c>
      <c r="H41" s="5" t="e">
        <f t="shared" si="0"/>
        <v>#DIV/0!</v>
      </c>
      <c r="I41" s="5" t="e">
        <f t="shared" si="1"/>
        <v>#DIV/0!</v>
      </c>
      <c r="J41" s="5" t="e">
        <f t="shared" si="0"/>
        <v>#DIV/0!</v>
      </c>
      <c r="K41" s="5" t="e">
        <f t="shared" si="1"/>
        <v>#DIV/0!</v>
      </c>
      <c r="M41" s="6" t="e">
        <f>Table4131621[[#This Row],[2 - Pre]]*$N$27/(Table4131621[[#This Row],[10 - pre]]*$N$26)</f>
        <v>#DIV/0!</v>
      </c>
      <c r="N41" s="6" t="e">
        <f>Table4131621[[#This Row],[2 - Post 5min]]*$N$27/(Table4131621[[#This Row],[10 - Post 5min]]*$N$26)</f>
        <v>#DIV/0!</v>
      </c>
      <c r="O41" s="6" t="e">
        <f>Table4131621[[#This Row],[2 - Post 10min]]*$N$27/(Table4131621[[#This Row],[10 - Post 10min]]*$N$26)</f>
        <v>#DIV/0!</v>
      </c>
      <c r="P41" s="6" t="e">
        <f>Table4131621[[#This Row],[2 - Post 15min]]*$N$27/(Table4131621[[#This Row],[10 - Post 15min]]*$N$26)</f>
        <v>#DIV/0!</v>
      </c>
      <c r="Q41" s="6" t="e">
        <f>Table4131621[[#This Row],[2 - Post 20min]]*$N$27/(Table4131621[[#This Row],[10 - Post 20min]]*$N$26)</f>
        <v>#DIV/0!</v>
      </c>
      <c r="R41" s="6" t="e">
        <f>-$N$29/LN((Table131722[[#This Row],[G Pre]]-1)/(Table131722[[#This Row],[G Pre]]*$O$26-$O$27))</f>
        <v>#DIV/0!</v>
      </c>
      <c r="S41" s="6" t="e">
        <f>-$N$29/LN((Table131722[[#This Row],[G 5min]]-1)/(Table131722[[#This Row],[G 5min]]*$O$26-$O$27))</f>
        <v>#DIV/0!</v>
      </c>
      <c r="T41" s="6" t="e">
        <f>-$N$29/LN((Table131722[[#This Row],[G 10min]]-1)/(Table131722[[#This Row],[G 10min]]*$O$26-$O$27))</f>
        <v>#DIV/0!</v>
      </c>
      <c r="U41" s="6" t="e">
        <f>-$N$29/LN((Table131722[[#This Row],[G 15min]]-1)/(Table131722[[#This Row],[G 15min]]*$O$26-$O$27))</f>
        <v>#DIV/0!</v>
      </c>
      <c r="V41" s="6" t="e">
        <f>-$N$29/LN((Table131722[[#This Row],[G 20min]]-1)/(Table131722[[#This Row],[G 20min]]*$O$26-$O$27))</f>
        <v>#DIV/0!</v>
      </c>
    </row>
    <row r="42" spans="1:22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si="0"/>
        <v>1</v>
      </c>
      <c r="E42" s="5">
        <f t="shared" si="1"/>
        <v>5.4194753403579012</v>
      </c>
      <c r="F42" s="5">
        <f t="shared" si="0"/>
        <v>1</v>
      </c>
      <c r="G42" s="5">
        <f t="shared" si="1"/>
        <v>5.075794219752721</v>
      </c>
      <c r="H42" s="5">
        <f t="shared" si="0"/>
        <v>1</v>
      </c>
      <c r="I42" s="5">
        <f t="shared" si="1"/>
        <v>5.485238249207284</v>
      </c>
      <c r="J42" s="5">
        <f t="shared" si="0"/>
        <v>1</v>
      </c>
      <c r="K42" s="5">
        <f t="shared" si="1"/>
        <v>5.6575605688914807</v>
      </c>
      <c r="M42" s="6">
        <f>Table4131621[[#This Row],[2 - Pre]]*$N$27/(Table4131621[[#This Row],[10 - pre]]*$N$26)</f>
        <v>1.236307188187908</v>
      </c>
      <c r="N42" s="6">
        <f>Table4131621[[#This Row],[2 - Post 5min]]*$N$27/(Table4131621[[#This Row],[10 - Post 5min]]*$N$26)</f>
        <v>0.91810810558540101</v>
      </c>
      <c r="O42" s="6">
        <f>Table4131621[[#This Row],[2 - Post 10min]]*$N$27/(Table4131621[[#This Row],[10 - Post 10min]]*$N$26)</f>
        <v>0.98027304153500328</v>
      </c>
      <c r="P42" s="6">
        <f>Table4131621[[#This Row],[2 - Post 15min]]*$N$27/(Table4131621[[#This Row],[10 - Post 15min]]*$N$26)</f>
        <v>0.90710084265197821</v>
      </c>
      <c r="Q42" s="6">
        <f>Table4131621[[#This Row],[2 - Post 20min]]*$N$27/(Table4131621[[#This Row],[10 - Post 20min]]*$N$26)</f>
        <v>0.87947166935549048</v>
      </c>
      <c r="R42" s="6">
        <f>-$N$29/LN((Table131722[[#This Row],[G Pre]]-1)/(Table131722[[#This Row],[G Pre]]*$O$26-$O$27))</f>
        <v>2.7314522927350611</v>
      </c>
      <c r="S42" s="6">
        <f>-$N$29/LN((Table131722[[#This Row],[G 5min]]-1)/(Table131722[[#This Row],[G 5min]]*$O$26-$O$27))</f>
        <v>-0.8229609842996618</v>
      </c>
      <c r="T42" s="6">
        <f>-$N$29/LN((Table131722[[#This Row],[G 10min]]-1)/(Table131722[[#This Row],[G 10min]]*$O$26-$O$27))</f>
        <v>-0.12031044052702607</v>
      </c>
      <c r="U42" s="6">
        <f>-$N$29/LN((Table131722[[#This Row],[G 15min]]-1)/(Table131722[[#This Row],[G 15min]]*$O$26-$O$27))</f>
        <v>-0.94469204933930118</v>
      </c>
      <c r="V42" s="6">
        <f>-$N$29/LN((Table131722[[#This Row],[G 20min]]-1)/(Table131722[[#This Row],[G 20min]]*$O$26-$O$27))</f>
        <v>-1.2494641118756387</v>
      </c>
    </row>
    <row r="43" spans="1:22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si="0"/>
        <v>1</v>
      </c>
      <c r="E43" s="5">
        <f t="shared" si="1"/>
        <v>7.1042838932896304</v>
      </c>
      <c r="F43" s="5">
        <f t="shared" si="0"/>
        <v>1</v>
      </c>
      <c r="G43" s="5">
        <f t="shared" si="1"/>
        <v>6.385365476104476</v>
      </c>
      <c r="H43" s="5">
        <f t="shared" si="0"/>
        <v>1</v>
      </c>
      <c r="I43" s="5">
        <f t="shared" si="1"/>
        <v>7.0350277471742775</v>
      </c>
      <c r="J43" s="5">
        <f t="shared" si="0"/>
        <v>1</v>
      </c>
      <c r="K43" s="5">
        <f t="shared" si="1"/>
        <v>7.0613913043478256</v>
      </c>
      <c r="M43" s="6">
        <f>Table4131621[[#This Row],[2 - Pre]]*$N$27/(Table4131621[[#This Row],[10 - pre]]*$N$26)</f>
        <v>1.0619232192284132</v>
      </c>
      <c r="N43" s="6">
        <f>Table4131621[[#This Row],[2 - Post 5min]]*$N$27/(Table4131621[[#This Row],[10 - Post 5min]]*$N$26)</f>
        <v>0.70037519794254921</v>
      </c>
      <c r="O43" s="6">
        <f>Table4131621[[#This Row],[2 - Post 10min]]*$N$27/(Table4131621[[#This Row],[10 - Post 10min]]*$N$26)</f>
        <v>0.77922935760261225</v>
      </c>
      <c r="P43" s="6">
        <f>Table4131621[[#This Row],[2 - Post 15min]]*$N$27/(Table4131621[[#This Row],[10 - Post 15min]]*$N$26)</f>
        <v>0.70727002320656629</v>
      </c>
      <c r="Q43" s="6">
        <f>Table4131621[[#This Row],[2 - Post 20min]]*$N$27/(Table4131621[[#This Row],[10 - Post 20min]]*$N$26)</f>
        <v>0.70462944532463212</v>
      </c>
      <c r="R43" s="6">
        <f>-$N$29/LN((Table131722[[#This Row],[G Pre]]-1)/(Table131722[[#This Row],[G Pre]]*$O$26-$O$27))</f>
        <v>0.767828532523677</v>
      </c>
      <c r="S43" s="6">
        <f>-$N$29/LN((Table131722[[#This Row],[G 5min]]-1)/(Table131722[[#This Row],[G 5min]]*$O$26-$O$27))</f>
        <v>-3.2056360650171656</v>
      </c>
      <c r="T43" s="6">
        <f>-$N$29/LN((Table131722[[#This Row],[G 10min]]-1)/(Table131722[[#This Row],[G 10min]]*$O$26-$O$27))</f>
        <v>-2.3481481700775264</v>
      </c>
      <c r="U43" s="6">
        <f>-$N$29/LN((Table131722[[#This Row],[G 15min]]-1)/(Table131722[[#This Row],[G 15min]]*$O$26-$O$27))</f>
        <v>-3.1308873890929005</v>
      </c>
      <c r="V43" s="6">
        <f>-$N$29/LN((Table131722[[#This Row],[G 20min]]-1)/(Table131722[[#This Row],[G 20min]]*$O$26-$O$27))</f>
        <v>-3.1595197285181276</v>
      </c>
    </row>
    <row r="44" spans="1:22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si="0"/>
        <v>1</v>
      </c>
      <c r="E44" s="5">
        <f t="shared" si="1"/>
        <v>6.832617919399933</v>
      </c>
      <c r="F44" s="5">
        <f t="shared" si="0"/>
        <v>1</v>
      </c>
      <c r="G44" s="5">
        <f t="shared" si="1"/>
        <v>7.2485480705395293</v>
      </c>
      <c r="H44" s="5">
        <f t="shared" si="0"/>
        <v>1</v>
      </c>
      <c r="I44" s="5">
        <f t="shared" si="1"/>
        <v>7.4713146259952481</v>
      </c>
      <c r="J44" s="5">
        <f t="shared" si="0"/>
        <v>1</v>
      </c>
      <c r="K44" s="5">
        <f t="shared" si="1"/>
        <v>7.2259144034637695</v>
      </c>
      <c r="M44" s="6">
        <f>Table4131621[[#This Row],[2 - Pre]]*$N$27/(Table4131621[[#This Row],[10 - pre]]*$N$26)</f>
        <v>0.97612846352329496</v>
      </c>
      <c r="N44" s="6">
        <f>Table4131621[[#This Row],[2 - Post 5min]]*$N$27/(Table4131621[[#This Row],[10 - Post 5min]]*$N$26)</f>
        <v>0.72822222707277784</v>
      </c>
      <c r="O44" s="6">
        <f>Table4131621[[#This Row],[2 - Post 10min]]*$N$27/(Table4131621[[#This Row],[10 - Post 10min]]*$N$26)</f>
        <v>0.68643598546659523</v>
      </c>
      <c r="P44" s="6">
        <f>Table4131621[[#This Row],[2 - Post 15min]]*$N$27/(Table4131621[[#This Row],[10 - Post 15min]]*$N$26)</f>
        <v>0.66596904120337241</v>
      </c>
      <c r="Q44" s="6">
        <f>Table4131621[[#This Row],[2 - Post 20min]]*$N$27/(Table4131621[[#This Row],[10 - Post 20min]]*$N$26)</f>
        <v>0.68858610276613363</v>
      </c>
      <c r="R44" s="6">
        <f>-$N$29/LN((Table131722[[#This Row],[G Pre]]-1)/(Table131722[[#This Row],[G Pre]]*$O$26-$O$27))</f>
        <v>-0.17134143476079591</v>
      </c>
      <c r="S44" s="6">
        <f>-$N$29/LN((Table131722[[#This Row],[G 5min]]-1)/(Table131722[[#This Row],[G 5min]]*$O$26-$O$27))</f>
        <v>-2.9034724287482621</v>
      </c>
      <c r="T44" s="6">
        <f>-$N$29/LN((Table131722[[#This Row],[G 10min]]-1)/(Table131722[[#This Row],[G 10min]]*$O$26-$O$27))</f>
        <v>-3.3566228290089271</v>
      </c>
      <c r="U44" s="6">
        <f>-$N$29/LN((Table131722[[#This Row],[G 15min]]-1)/(Table131722[[#This Row],[G 15min]]*$O$26-$O$27))</f>
        <v>-3.5779977554029143</v>
      </c>
      <c r="V44" s="6">
        <f>-$N$29/LN((Table131722[[#This Row],[G 20min]]-1)/(Table131722[[#This Row],[G 20min]]*$O$26-$O$27))</f>
        <v>-3.333344691312722</v>
      </c>
    </row>
    <row r="45" spans="1:22">
      <c r="A45" s="2" t="s">
        <v>15</v>
      </c>
      <c r="B45" s="5" t="e">
        <f t="shared" si="0"/>
        <v>#DIV/0!</v>
      </c>
      <c r="C45" s="5" t="e">
        <f t="shared" si="1"/>
        <v>#DIV/0!</v>
      </c>
      <c r="D45" s="5" t="e">
        <f t="shared" si="0"/>
        <v>#DIV/0!</v>
      </c>
      <c r="E45" s="5" t="e">
        <f t="shared" si="1"/>
        <v>#DIV/0!</v>
      </c>
      <c r="F45" s="5" t="e">
        <f t="shared" si="0"/>
        <v>#DIV/0!</v>
      </c>
      <c r="G45" s="5" t="e">
        <f t="shared" si="1"/>
        <v>#DIV/0!</v>
      </c>
      <c r="H45" s="5" t="e">
        <f t="shared" si="0"/>
        <v>#DIV/0!</v>
      </c>
      <c r="I45" s="5" t="e">
        <f t="shared" si="1"/>
        <v>#DIV/0!</v>
      </c>
      <c r="J45" s="5" t="e">
        <f t="shared" si="0"/>
        <v>#DIV/0!</v>
      </c>
      <c r="K45" s="5" t="e">
        <f t="shared" si="1"/>
        <v>#DIV/0!</v>
      </c>
      <c r="M45" s="6" t="e">
        <f>Table4131621[[#This Row],[2 - Pre]]*$N$27/(Table4131621[[#This Row],[10 - pre]]*$N$26)</f>
        <v>#DIV/0!</v>
      </c>
      <c r="N45" s="6" t="e">
        <f>Table4131621[[#This Row],[2 - Post 5min]]*$N$27/(Table4131621[[#This Row],[10 - Post 5min]]*$N$26)</f>
        <v>#DIV/0!</v>
      </c>
      <c r="O45" s="6" t="e">
        <f>Table4131621[[#This Row],[2 - Post 10min]]*$N$27/(Table4131621[[#This Row],[10 - Post 10min]]*$N$26)</f>
        <v>#DIV/0!</v>
      </c>
      <c r="P45" s="6" t="e">
        <f>Table4131621[[#This Row],[2 - Post 15min]]*$N$27/(Table4131621[[#This Row],[10 - Post 15min]]*$N$26)</f>
        <v>#DIV/0!</v>
      </c>
      <c r="Q45" s="6" t="e">
        <f>Table4131621[[#This Row],[2 - Post 20min]]*$N$27/(Table4131621[[#This Row],[10 - Post 20min]]*$N$26)</f>
        <v>#DIV/0!</v>
      </c>
      <c r="R45" s="6" t="e">
        <f>-$N$29/LN((Table131722[[#This Row],[G Pre]]-1)/(Table131722[[#This Row],[G Pre]]*$O$26-$O$27))</f>
        <v>#DIV/0!</v>
      </c>
      <c r="S45" s="6" t="e">
        <f>-$N$29/LN((Table131722[[#This Row],[G 5min]]-1)/(Table131722[[#This Row],[G 5min]]*$O$26-$O$27))</f>
        <v>#DIV/0!</v>
      </c>
      <c r="T45" s="6" t="e">
        <f>-$N$29/LN((Table131722[[#This Row],[G 10min]]-1)/(Table131722[[#This Row],[G 10min]]*$O$26-$O$27))</f>
        <v>#DIV/0!</v>
      </c>
      <c r="U45" s="6" t="e">
        <f>-$N$29/LN((Table131722[[#This Row],[G 15min]]-1)/(Table131722[[#This Row],[G 15min]]*$O$26-$O$27))</f>
        <v>#DIV/0!</v>
      </c>
      <c r="V45" s="6" t="e">
        <f>-$N$29/LN((Table131722[[#This Row],[G 20min]]-1)/(Table131722[[#This Row],[G 20min]]*$O$26-$O$27))</f>
        <v>#DIV/0!</v>
      </c>
    </row>
    <row r="46" spans="1:22">
      <c r="A46" s="2" t="s">
        <v>16</v>
      </c>
      <c r="B46" s="5">
        <f t="shared" si="0"/>
        <v>1</v>
      </c>
      <c r="C46" s="5">
        <f t="shared" si="1"/>
        <v>3.2939434659113762</v>
      </c>
      <c r="D46" s="5">
        <f t="shared" si="0"/>
        <v>1</v>
      </c>
      <c r="E46" s="5">
        <f t="shared" si="1"/>
        <v>5.3039162016570138</v>
      </c>
      <c r="F46" s="5">
        <f t="shared" si="0"/>
        <v>1</v>
      </c>
      <c r="G46" s="5">
        <f t="shared" si="1"/>
        <v>5.4633277055753924</v>
      </c>
      <c r="H46" s="5">
        <f t="shared" si="0"/>
        <v>1</v>
      </c>
      <c r="I46" s="5">
        <f t="shared" si="1"/>
        <v>5.1760534908147351</v>
      </c>
      <c r="J46" s="5">
        <f t="shared" si="0"/>
        <v>1</v>
      </c>
      <c r="K46" s="5">
        <f t="shared" si="1"/>
        <v>5.3847268175944647</v>
      </c>
      <c r="M46" s="6">
        <f>Table4131621[[#This Row],[2 - Pre]]*$N$27/(Table4131621[[#This Row],[10 - pre]]*$N$26)</f>
        <v>1.5105493732650053</v>
      </c>
      <c r="N46" s="6">
        <f>Table4131621[[#This Row],[2 - Post 5min]]*$N$27/(Table4131621[[#This Row],[10 - Post 5min]]*$N$26)</f>
        <v>0.93811139709340152</v>
      </c>
      <c r="O46" s="6">
        <f>Table4131621[[#This Row],[2 - Post 10min]]*$N$27/(Table4131621[[#This Row],[10 - Post 10min]]*$N$26)</f>
        <v>0.91073874864307747</v>
      </c>
      <c r="P46" s="6">
        <f>Table4131621[[#This Row],[2 - Post 15min]]*$N$27/(Table4131621[[#This Row],[10 - Post 15min]]*$N$26)</f>
        <v>0.961285320337676</v>
      </c>
      <c r="Q46" s="6">
        <f>Table4131621[[#This Row],[2 - Post 20min]]*$N$27/(Table4131621[[#This Row],[10 - Post 20min]]*$N$26)</f>
        <v>0.92403280733665571</v>
      </c>
      <c r="R46" s="6">
        <f>-$N$29/LN((Table131722[[#This Row],[G Pre]]-1)/(Table131722[[#This Row],[G Pre]]*$O$26-$O$27))</f>
        <v>5.8757962590103148</v>
      </c>
      <c r="S46" s="6">
        <f>-$N$29/LN((Table131722[[#This Row],[G 5min]]-1)/(Table131722[[#This Row],[G 5min]]*$O$26-$O$27))</f>
        <v>-0.6010994643590416</v>
      </c>
      <c r="T46" s="6">
        <f>-$N$29/LN((Table131722[[#This Row],[G 10min]]-1)/(Table131722[[#This Row],[G 10min]]*$O$26-$O$27))</f>
        <v>-0.90448239902328387</v>
      </c>
      <c r="U46" s="6">
        <f>-$N$29/LN((Table131722[[#This Row],[G 15min]]-1)/(Table131722[[#This Row],[G 15min]]*$O$26-$O$27))</f>
        <v>-0.34200721977918896</v>
      </c>
      <c r="V46" s="6">
        <f>-$N$29/LN((Table131722[[#This Row],[G 20min]]-1)/(Table131722[[#This Row],[G 20min]]*$O$26-$O$27))</f>
        <v>-0.75734695717487899</v>
      </c>
    </row>
    <row r="47" spans="1:22">
      <c r="A47" s="2" t="s">
        <v>17</v>
      </c>
      <c r="B47" s="5">
        <f t="shared" ref="B47:J52" si="2">B18/B18</f>
        <v>1</v>
      </c>
      <c r="C47" s="5">
        <f t="shared" ref="C47:K52" si="3">C18/B18</f>
        <v>3.1703134188574049</v>
      </c>
      <c r="D47" s="5">
        <f t="shared" ref="D47:D52" si="4">D18/D18</f>
        <v>1</v>
      </c>
      <c r="E47" s="5">
        <f t="shared" ref="E47:K52" si="5">E18/D18</f>
        <v>4.3924363281011427</v>
      </c>
      <c r="F47" s="5">
        <f t="shared" ref="F47:K52" si="6">F18/F18</f>
        <v>1</v>
      </c>
      <c r="G47" s="5">
        <f t="shared" ref="G47:K52" si="7">G18/F18</f>
        <v>4.5508059565961503</v>
      </c>
      <c r="H47" s="5">
        <f t="shared" ref="H47:K52" si="8">H18/H18</f>
        <v>1</v>
      </c>
      <c r="I47" s="5">
        <f t="shared" ref="I47:K52" si="9">I18/H18</f>
        <v>4.9373607374596533</v>
      </c>
      <c r="J47" s="5">
        <f t="shared" ref="J47:K52" si="10">J18/J18</f>
        <v>1</v>
      </c>
      <c r="K47" s="5">
        <f t="shared" ref="K47:K52" si="11">K18/J18</f>
        <v>5.0466400041601069</v>
      </c>
      <c r="M47" s="6">
        <f>Table4131621[[#This Row],[2 - Pre]]*$N$27/(Table4131621[[#This Row],[10 - pre]]*$N$26)</f>
        <v>1.5694549972273848</v>
      </c>
      <c r="N47" s="6">
        <f>Table4131621[[#This Row],[2 - Post 5min]]*$N$27/(Table4131621[[#This Row],[10 - Post 5min]]*$N$26)</f>
        <v>1.132780048778482</v>
      </c>
      <c r="O47" s="6">
        <f>Table4131621[[#This Row],[2 - Post 10min]]*$N$27/(Table4131621[[#This Row],[10 - Post 10min]]*$N$26)</f>
        <v>1.0933589094896101</v>
      </c>
      <c r="P47" s="6">
        <f>Table4131621[[#This Row],[2 - Post 15min]]*$N$27/(Table4131621[[#This Row],[10 - Post 15min]]*$N$26)</f>
        <v>1.0077578898079145</v>
      </c>
      <c r="Q47" s="6">
        <f>Table4131621[[#This Row],[2 - Post 20min]]*$N$27/(Table4131621[[#This Row],[10 - Post 20min]]*$N$26)</f>
        <v>0.98593603544163833</v>
      </c>
      <c r="R47" s="6">
        <f>-$N$29/LN((Table131722[[#This Row],[G Pre]]-1)/(Table131722[[#This Row],[G Pre]]*$O$26-$O$27))</f>
        <v>6.5607565654040521</v>
      </c>
      <c r="S47" s="6">
        <f>-$N$29/LN((Table131722[[#This Row],[G 5min]]-1)/(Table131722[[#This Row],[G 5min]]*$O$26-$O$27))</f>
        <v>1.5628507169179888</v>
      </c>
      <c r="T47" s="6">
        <f>-$N$29/LN((Table131722[[#This Row],[G 10min]]-1)/(Table131722[[#This Row],[G 10min]]*$O$26-$O$27))</f>
        <v>1.1202113004601619</v>
      </c>
      <c r="U47" s="6">
        <f>-$N$29/LN((Table131722[[#This Row],[G 15min]]-1)/(Table131722[[#This Row],[G 15min]]*$O$26-$O$27))</f>
        <v>0.15319148747148018</v>
      </c>
      <c r="V47" s="6" t="e">
        <f>-$N$29/LN((Table131722[[#This Row],[G 20min]]-1)/(Table131722[[#This Row],[G 20min]]*$O$26-$O$27))</f>
        <v>#NUM!</v>
      </c>
    </row>
    <row r="48" spans="1:22">
      <c r="A48" s="2" t="s">
        <v>18</v>
      </c>
      <c r="B48" s="5"/>
      <c r="C48" s="5"/>
      <c r="D48" s="5"/>
      <c r="E48" s="5"/>
      <c r="F48" s="5"/>
      <c r="G48" s="5"/>
      <c r="H48" s="5"/>
      <c r="I48" s="5"/>
      <c r="J48" s="5"/>
      <c r="K48" s="5"/>
      <c r="M48" s="6" t="e">
        <f>Table4131621[[#This Row],[2 - Pre]]*$N$27/(Table4131621[[#This Row],[10 - pre]]*$N$26)</f>
        <v>#DIV/0!</v>
      </c>
      <c r="N48" s="6" t="e">
        <f>Table4131621[[#This Row],[2 - Post 5min]]*$N$27/(Table4131621[[#This Row],[10 - Post 5min]]*$N$26)</f>
        <v>#DIV/0!</v>
      </c>
      <c r="O48" s="6" t="e">
        <f>Table4131621[[#This Row],[2 - Post 10min]]*$N$27/(Table4131621[[#This Row],[10 - Post 10min]]*$N$26)</f>
        <v>#DIV/0!</v>
      </c>
      <c r="P48" s="6" t="e">
        <f>Table4131621[[#This Row],[2 - Post 15min]]*$N$27/(Table4131621[[#This Row],[10 - Post 15min]]*$N$26)</f>
        <v>#DIV/0!</v>
      </c>
      <c r="Q48" s="6" t="e">
        <f>Table4131621[[#This Row],[2 - Post 20min]]*$N$27/(Table4131621[[#This Row],[10 - Post 20min]]*$N$26)</f>
        <v>#DIV/0!</v>
      </c>
      <c r="R48" s="6" t="e">
        <f>-$N$29/LN((Table131722[[#This Row],[G Pre]]-1)/(Table131722[[#This Row],[G Pre]]*$O$26-$O$27))</f>
        <v>#DIV/0!</v>
      </c>
      <c r="S48" s="6" t="e">
        <f>-$N$29/LN((Table131722[[#This Row],[G 5min]]-1)/(Table131722[[#This Row],[G 5min]]*$O$26-$O$27))</f>
        <v>#DIV/0!</v>
      </c>
      <c r="T48" s="6" t="e">
        <f>-$N$29/LN((Table131722[[#This Row],[G 10min]]-1)/(Table131722[[#This Row],[G 10min]]*$O$26-$O$27))</f>
        <v>#DIV/0!</v>
      </c>
      <c r="U48" s="6" t="e">
        <f>-$N$29/LN((Table131722[[#This Row],[G 15min]]-1)/(Table131722[[#This Row],[G 15min]]*$O$26-$O$27))</f>
        <v>#DIV/0!</v>
      </c>
      <c r="V48" s="6" t="e">
        <f>-$N$29/LN((Table131722[[#This Row],[G 20min]]-1)/(Table131722[[#This Row],[G 20min]]*$O$26-$O$27))</f>
        <v>#DIV/0!</v>
      </c>
    </row>
    <row r="49" spans="1:22">
      <c r="A49" s="2" t="s">
        <v>19</v>
      </c>
      <c r="B49" s="5">
        <f t="shared" si="2"/>
        <v>1</v>
      </c>
      <c r="C49" s="5">
        <f t="shared" si="3"/>
        <v>3.6216626836527892</v>
      </c>
      <c r="D49" s="5">
        <f t="shared" si="4"/>
        <v>1</v>
      </c>
      <c r="E49" s="5">
        <f t="shared" si="5"/>
        <v>4.8418419403267894</v>
      </c>
      <c r="F49" s="5">
        <f t="shared" si="6"/>
        <v>1</v>
      </c>
      <c r="G49" s="5">
        <f t="shared" si="7"/>
        <v>5.1368339791877613</v>
      </c>
      <c r="H49" s="5">
        <f t="shared" si="8"/>
        <v>1</v>
      </c>
      <c r="I49" s="5">
        <f t="shared" si="9"/>
        <v>5.1321002457509364</v>
      </c>
      <c r="J49" s="5">
        <f t="shared" si="10"/>
        <v>1</v>
      </c>
      <c r="K49" s="5">
        <f t="shared" si="11"/>
        <v>5.0024369634731398</v>
      </c>
      <c r="M49" s="6">
        <f>Table4131621[[#This Row],[2 - Pre]]*$N$27/(Table4131621[[#This Row],[10 - pre]]*$N$26)</f>
        <v>1.3738618619733967</v>
      </c>
      <c r="N49" s="6">
        <f>Table4131621[[#This Row],[2 - Post 5min]]*$N$27/(Table4131621[[#This Row],[10 - Post 5min]]*$N$26)</f>
        <v>1.0276387166961025</v>
      </c>
      <c r="O49" s="6">
        <f>Table4131621[[#This Row],[2 - Post 10min]]*$N$27/(Table4131621[[#This Row],[10 - Post 10min]]*$N$26)</f>
        <v>0.96862469337378576</v>
      </c>
      <c r="P49" s="6">
        <f>Table4131621[[#This Row],[2 - Post 15min]]*$N$27/(Table4131621[[#This Row],[10 - Post 15min]]*$N$26)</f>
        <v>0.96951813092940531</v>
      </c>
      <c r="Q49" s="6">
        <f>Table4131621[[#This Row],[2 - Post 20min]]*$N$27/(Table4131621[[#This Row],[10 - Post 20min]]*$N$26)</f>
        <v>0.99464806340073042</v>
      </c>
      <c r="R49" s="6">
        <f>-$N$29/LN((Table131722[[#This Row],[G Pre]]-1)/(Table131722[[#This Row],[G Pre]]*$O$26-$O$27))</f>
        <v>4.2995258386704629</v>
      </c>
      <c r="S49" s="6">
        <f>-$N$29/LN((Table131722[[#This Row],[G 5min]]-1)/(Table131722[[#This Row],[G 5min]]*$O$26-$O$27))</f>
        <v>0.38268918457866852</v>
      </c>
      <c r="T49" s="6">
        <f>-$N$29/LN((Table131722[[#This Row],[G 10min]]-1)/(Table131722[[#This Row],[G 10min]]*$O$26-$O$27))</f>
        <v>-0.2586852836048521</v>
      </c>
      <c r="U49" s="6">
        <f>-$N$29/LN((Table131722[[#This Row],[G 15min]]-1)/(Table131722[[#This Row],[G 15min]]*$O$26-$O$27))</f>
        <v>-0.2484444076124856</v>
      </c>
      <c r="V49" s="6" t="e">
        <f>-$N$29/LN((Table131722[[#This Row],[G 20min]]-1)/(Table131722[[#This Row],[G 20min]]*$O$26-$O$27))</f>
        <v>#NUM!</v>
      </c>
    </row>
    <row r="50" spans="1:22">
      <c r="A50" s="2" t="s">
        <v>20</v>
      </c>
      <c r="B50" s="5">
        <f t="shared" si="2"/>
        <v>1</v>
      </c>
      <c r="C50" s="5">
        <f t="shared" si="3"/>
        <v>4.3158299306197421</v>
      </c>
      <c r="D50" s="5">
        <f t="shared" si="4"/>
        <v>1</v>
      </c>
      <c r="E50" s="5">
        <f t="shared" si="5"/>
        <v>4.1970031007324433</v>
      </c>
      <c r="F50" s="5">
        <f t="shared" si="6"/>
        <v>1</v>
      </c>
      <c r="G50" s="5">
        <f t="shared" si="7"/>
        <v>5.7899048593169997</v>
      </c>
      <c r="H50" s="5">
        <f t="shared" si="8"/>
        <v>1</v>
      </c>
      <c r="I50" s="5">
        <f t="shared" si="9"/>
        <v>6.210512890855286</v>
      </c>
      <c r="J50" s="5">
        <f t="shared" si="10"/>
        <v>1</v>
      </c>
      <c r="K50" s="5">
        <f t="shared" si="11"/>
        <v>6.1613625607494544</v>
      </c>
      <c r="M50" s="6">
        <f>Table4131621[[#This Row],[2 - Pre]]*$N$27/(Table4131621[[#This Row],[10 - pre]]*$N$26)</f>
        <v>1.1528870038881018</v>
      </c>
      <c r="N50" s="6">
        <f>Table4131621[[#This Row],[2 - Post 5min]]*$N$27/(Table4131621[[#This Row],[10 - Post 5min]]*$N$26)</f>
        <v>1.1855278918270173</v>
      </c>
      <c r="O50" s="6">
        <f>Table4131621[[#This Row],[2 - Post 10min]]*$N$27/(Table4131621[[#This Row],[10 - Post 10min]]*$N$26)</f>
        <v>0.85936891173540597</v>
      </c>
      <c r="P50" s="6">
        <f>Table4131621[[#This Row],[2 - Post 15min]]*$N$27/(Table4131621[[#This Row],[10 - Post 15min]]*$N$26)</f>
        <v>0.80116800744898886</v>
      </c>
      <c r="Q50" s="6">
        <f>Table4131621[[#This Row],[2 - Post 20min]]*$N$27/(Table4131621[[#This Row],[10 - Post 20min]]*$N$26)</f>
        <v>0.80755907300439078</v>
      </c>
      <c r="R50" s="6">
        <f>-$N$29/LN((Table131722[[#This Row],[G Pre]]-1)/(Table131722[[#This Row],[G Pre]]*$O$26-$O$27))</f>
        <v>1.7890805986638842</v>
      </c>
      <c r="S50" s="6">
        <f>-$N$29/LN((Table131722[[#This Row],[G 5min]]-1)/(Table131722[[#This Row],[G 5min]]*$O$26-$O$27))</f>
        <v>2.1570700726473273</v>
      </c>
      <c r="T50" s="6">
        <f>-$N$29/LN((Table131722[[#This Row],[G 10min]]-1)/(Table131722[[#This Row],[G 10min]]*$O$26-$O$27))</f>
        <v>-1.4706276373867542</v>
      </c>
      <c r="U50" s="6">
        <f>-$N$29/LN((Table131722[[#This Row],[G 15min]]-1)/(Table131722[[#This Row],[G 15min]]*$O$26-$O$27))</f>
        <v>-2.1085471620444682</v>
      </c>
      <c r="V50" s="6">
        <f>-$N$29/LN((Table131722[[#This Row],[G 20min]]-1)/(Table131722[[#This Row],[G 20min]]*$O$26-$O$27))</f>
        <v>-2.0386610813912238</v>
      </c>
    </row>
    <row r="51" spans="1:22">
      <c r="A51" s="2" t="s">
        <v>21</v>
      </c>
      <c r="B51" s="5" t="e">
        <f t="shared" si="2"/>
        <v>#DIV/0!</v>
      </c>
      <c r="C51" s="5" t="e">
        <f t="shared" si="3"/>
        <v>#DIV/0!</v>
      </c>
      <c r="D51" s="5" t="e">
        <f t="shared" si="4"/>
        <v>#DIV/0!</v>
      </c>
      <c r="E51" s="5" t="e">
        <f t="shared" si="5"/>
        <v>#DIV/0!</v>
      </c>
      <c r="F51" s="5" t="e">
        <f t="shared" si="6"/>
        <v>#DIV/0!</v>
      </c>
      <c r="G51" s="5" t="e">
        <f t="shared" si="7"/>
        <v>#DIV/0!</v>
      </c>
      <c r="H51" s="5" t="e">
        <f t="shared" si="8"/>
        <v>#DIV/0!</v>
      </c>
      <c r="I51" s="5" t="e">
        <f t="shared" si="9"/>
        <v>#DIV/0!</v>
      </c>
      <c r="J51" s="5" t="e">
        <f t="shared" si="10"/>
        <v>#DIV/0!</v>
      </c>
      <c r="K51" s="5" t="e">
        <f t="shared" si="11"/>
        <v>#DIV/0!</v>
      </c>
      <c r="M51" s="6" t="e">
        <f>Table4131621[[#This Row],[2 - Pre]]*$N$27/(Table4131621[[#This Row],[10 - pre]]*$N$26)</f>
        <v>#DIV/0!</v>
      </c>
      <c r="N51" s="6" t="e">
        <f>Table4131621[[#This Row],[2 - Post 5min]]*$N$27/(Table4131621[[#This Row],[10 - Post 5min]]*$N$26)</f>
        <v>#DIV/0!</v>
      </c>
      <c r="O51" s="6" t="e">
        <f>Table4131621[[#This Row],[2 - Post 10min]]*$N$27/(Table4131621[[#This Row],[10 - Post 10min]]*$N$26)</f>
        <v>#DIV/0!</v>
      </c>
      <c r="P51" s="6" t="e">
        <f>Table4131621[[#This Row],[2 - Post 15min]]*$N$27/(Table4131621[[#This Row],[10 - Post 15min]]*$N$26)</f>
        <v>#DIV/0!</v>
      </c>
      <c r="Q51" s="6" t="e">
        <f>Table4131621[[#This Row],[2 - Post 20min]]*$N$27/(Table4131621[[#This Row],[10 - Post 20min]]*$N$26)</f>
        <v>#DIV/0!</v>
      </c>
      <c r="R51" s="6" t="e">
        <f>-$N$29/LN((Table131722[[#This Row],[G Pre]]-1)/(Table131722[[#This Row],[G Pre]]*$O$26-$O$27))</f>
        <v>#DIV/0!</v>
      </c>
      <c r="S51" s="6" t="e">
        <f>-$N$29/LN((Table131722[[#This Row],[G 5min]]-1)/(Table131722[[#This Row],[G 5min]]*$O$26-$O$27))</f>
        <v>#DIV/0!</v>
      </c>
      <c r="T51" s="6" t="e">
        <f>-$N$29/LN((Table131722[[#This Row],[G 10min]]-1)/(Table131722[[#This Row],[G 10min]]*$O$26-$O$27))</f>
        <v>#DIV/0!</v>
      </c>
      <c r="U51" s="6" t="e">
        <f>-$N$29/LN((Table131722[[#This Row],[G 15min]]-1)/(Table131722[[#This Row],[G 15min]]*$O$26-$O$27))</f>
        <v>#DIV/0!</v>
      </c>
      <c r="V51" s="6" t="e">
        <f>-$N$29/LN((Table131722[[#This Row],[G 20min]]-1)/(Table131722[[#This Row],[G 20min]]*$O$26-$O$27))</f>
        <v>#DIV/0!</v>
      </c>
    </row>
    <row r="52" spans="1:22">
      <c r="A52" s="2" t="s">
        <v>22</v>
      </c>
      <c r="B52" s="5">
        <f t="shared" si="2"/>
        <v>1</v>
      </c>
      <c r="C52" s="5">
        <f t="shared" si="3"/>
        <v>3.7185368369801535</v>
      </c>
      <c r="D52" s="5">
        <f t="shared" si="4"/>
        <v>1</v>
      </c>
      <c r="E52" s="5">
        <f t="shared" si="5"/>
        <v>5.4113698040687996</v>
      </c>
      <c r="F52" s="5">
        <f t="shared" si="6"/>
        <v>1</v>
      </c>
      <c r="G52" s="5">
        <f t="shared" si="7"/>
        <v>5.6301886726004993</v>
      </c>
      <c r="H52" s="5">
        <f t="shared" si="8"/>
        <v>1</v>
      </c>
      <c r="I52" s="5">
        <f t="shared" si="9"/>
        <v>5.5778067752262732</v>
      </c>
      <c r="J52" s="5">
        <f t="shared" si="10"/>
        <v>1</v>
      </c>
      <c r="K52" s="5">
        <f t="shared" si="11"/>
        <v>5.6649762758585274</v>
      </c>
      <c r="M52" s="6">
        <f>Table4131621[[#This Row],[2 - Pre]]*$N$27/(Table4131621[[#This Row],[10 - pre]]*$N$26)</f>
        <v>1.3380704444072569</v>
      </c>
      <c r="N52" s="6">
        <f>Table4131621[[#This Row],[2 - Post 5min]]*$N$27/(Table4131621[[#This Row],[10 - Post 5min]]*$N$26)</f>
        <v>0.91948331349699941</v>
      </c>
      <c r="O52" s="6">
        <f>Table4131621[[#This Row],[2 - Post 10min]]*$N$27/(Table4131621[[#This Row],[10 - Post 10min]]*$N$26)</f>
        <v>0.88374733554081841</v>
      </c>
      <c r="P52" s="6">
        <f>Table4131621[[#This Row],[2 - Post 15min]]*$N$27/(Table4131621[[#This Row],[10 - Post 15min]]*$N$26)</f>
        <v>0.89204671988676809</v>
      </c>
      <c r="Q52" s="6">
        <f>Table4131621[[#This Row],[2 - Post 20min]]*$N$27/(Table4131621[[#This Row],[10 - Post 20min]]*$N$26)</f>
        <v>0.87832040165935676</v>
      </c>
      <c r="R52" s="6">
        <f>-$N$29/LN((Table131722[[#This Row],[G Pre]]-1)/(Table131722[[#This Row],[G Pre]]*$O$26-$O$27))</f>
        <v>3.8897800838098955</v>
      </c>
      <c r="S52" s="6">
        <f>-$N$29/LN((Table131722[[#This Row],[G 5min]]-1)/(Table131722[[#This Row],[G 5min]]*$O$26-$O$27))</f>
        <v>-0.8077372463342255</v>
      </c>
      <c r="T52" s="6">
        <f>-$N$29/LN((Table131722[[#This Row],[G 10min]]-1)/(Table131722[[#This Row],[G 10min]]*$O$26-$O$27))</f>
        <v>-1.2023645505387219</v>
      </c>
      <c r="U52" s="6">
        <f>-$N$29/LN((Table131722[[#This Row],[G 15min]]-1)/(Table131722[[#This Row],[G 15min]]*$O$26-$O$27))</f>
        <v>-1.1108764007328651</v>
      </c>
      <c r="V52" s="6">
        <f>-$N$29/LN((Table131722[[#This Row],[G 20min]]-1)/(Table131722[[#This Row],[G 20min]]*$O$26-$O$27))</f>
        <v>-1.2621424254374349</v>
      </c>
    </row>
  </sheetData>
  <conditionalFormatting sqref="R2:V23">
    <cfRule type="cellIs" dxfId="1" priority="1" operator="lessThan">
      <formula>0</formula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Rescaled</vt:lpstr>
      <vt:lpstr>Rescaled (2)</vt:lpstr>
      <vt:lpstr>T1</vt:lpstr>
      <vt:lpstr>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Tonin</dc:creator>
  <cp:lastModifiedBy>Yuri Tonin</cp:lastModifiedBy>
  <dcterms:created xsi:type="dcterms:W3CDTF">2017-10-27T15:30:21Z</dcterms:created>
  <dcterms:modified xsi:type="dcterms:W3CDTF">2017-12-05T16:37:43Z</dcterms:modified>
</cp:coreProperties>
</file>