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 and Assumptions" sheetId="1" r:id="rId4"/>
    <sheet state="visible" name="CFs " sheetId="2" r:id="rId5"/>
    <sheet state="visible" name="D&amp;A" sheetId="3" r:id="rId6"/>
    <sheet state="visible" name="GRID Capex-Opex" sheetId="4" r:id="rId7"/>
    <sheet state="visible" name="Labor Opex" sheetId="5" r:id="rId8"/>
    <sheet state="visible" name="Battery Capex-Opex" sheetId="6" r:id="rId9"/>
    <sheet state="visible" name="Solar Capex-Opex" sheetId="7" r:id="rId10"/>
    <sheet state="visible" name="Electrolyzer Capex-Opex" sheetId="8" r:id="rId11"/>
    <sheet state="visible" name="Comments" sheetId="9" r:id="rId12"/>
  </sheets>
  <definedNames>
    <definedName name="H2_Day">'Model and Assumptions'!$B$6</definedName>
    <definedName name="GRID_ITC">'GRID Capex-Opex'!$B$3</definedName>
    <definedName name="Battery_Cost_Drop_Rate">'Battery Capex-Opex'!$B$11</definedName>
    <definedName name="Grid_Overhead">'GRID Capex-Opex'!$B$5</definedName>
    <definedName name="Grid_Total_Capex">'GRID Capex-Opex'!$B$63</definedName>
    <definedName name="Solar_Size">'Solar Capex-Opex'!$B$1</definedName>
    <definedName name="Grid_Connection_Type">'Model and Assumptions'!$B$29</definedName>
    <definedName name="GRID_CAPEX">'GRID Capex-Opex'!$B$58</definedName>
    <definedName name="Solar_Loss">'Solar Capex-Opex'!$B$11</definedName>
    <definedName name="Solar_ITC">'Solar Capex-Opex'!$B$4</definedName>
    <definedName name="Solar_Cost_Drop">'Solar Capex-Opex'!$B$9</definedName>
    <definedName name="Electrolyser_Heating_Value">'Electrolyzer Capex-Opex'!$B$13</definedName>
    <definedName name="Project_Start_Year">'Model and Assumptions'!$B$3</definedName>
    <definedName name="Solar_Total_Capex">'Solar Capex-Opex'!$B$48</definedName>
    <definedName name="GRID_OPEX">'GRID Capex-Opex'!$C$58</definedName>
    <definedName name="Inflation_Rate">'Model and Assumptions'!$B$13</definedName>
    <definedName name="Electrolyzer_power">'Electrolyzer Capex-Opex'!$B$2</definedName>
    <definedName name="Contingency">'Model and Assumptions'!$B$15</definedName>
    <definedName name="Grid_OM">'GRID Capex-Opex'!$B$6</definedName>
    <definedName name="Grid_Connection_Size">'GRID Capex-Opex'!$B$1</definedName>
    <definedName name="Electrolyser_Total_Opex">'Electrolyzer Capex-Opex'!$B$60</definedName>
    <definedName name="IRR">'Model and Assumptions'!$B$10</definedName>
    <definedName name="BATTERY_OPEX">'Battery Capex-Opex'!$C$35</definedName>
    <definedName name="Battery_CAPEX">'Battery Capex-Opex'!$B$35</definedName>
    <definedName name="Battery_Degradation">'Battery Capex-Opex'!$B$5</definedName>
    <definedName name="Battery_Total_Opex">'Battery Capex-Opex'!$B$50</definedName>
    <definedName name="Battery_ITC_Credit">'Battery Capex-Opex'!$B$13</definedName>
    <definedName name="Solar_Total_Opex">'Solar Capex-Opex'!$B$49</definedName>
    <definedName name="Solar_Total">'Solar Capex-Opex'!$B$55</definedName>
    <definedName name="Electrolyser_Total_Capex">'Electrolyzer Capex-Opex'!$B$57</definedName>
    <definedName name="Grid_Total">'GRID Capex-Opex'!$B$67</definedName>
    <definedName name="Grid_Insurance">'GRID Capex-Opex'!$B$7</definedName>
    <definedName name="Battery_Total_Capex">'Battery Capex-Opex'!$B$49</definedName>
    <definedName name="Electolyser_Total">'Electrolyzer Capex-Opex'!$B$67</definedName>
    <definedName name="Battery_loss">'Battery Capex-Opex'!$B$6</definedName>
    <definedName name="Electrolyzer_Capacity">'Model and Assumptions'!$B$51</definedName>
    <definedName name="Project_Lifetime">'Model and Assumptions'!$B$2</definedName>
    <definedName name="Grid_Total_Opex">'GRID Capex-Opex'!$B$64</definedName>
    <definedName name="Insurance_Rate">'Model and Assumptions'!$B$14</definedName>
    <definedName name="Electolyser_Total_With_ITC">'Electrolyzer Capex-Opex'!$B$68</definedName>
    <definedName name="Solar_MWH_per_MW">'Model and Assumptions'!$B$20</definedName>
    <definedName name="Battery_Total">'Battery Capex-Opex'!$B$56</definedName>
    <definedName name="Battery_capacity">'Battery Capex-Opex'!$B$14</definedName>
    <definedName name="Grid_O_M">'GRID Capex-Opex'!$A$6</definedName>
    <definedName name="Labor_Total">'Labor Opex'!$B$14</definedName>
  </definedNames>
  <calcPr/>
  <extLst>
    <ext uri="GoogleSheetsCustomDataVersion2">
      <go:sheetsCustomData xmlns:go="http://customooxmlschemas.google.com/" r:id="rId13" roundtripDataChecksum="0hjjz9j/3l5mfTVELa5rHVMuB00OaLklq9lAhxVKNEE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8">
      <text>
        <t xml:space="preserve">======
ID#AAAA3KtoFlI
Microsoft Office User    (2023-08-14 00:25:12)
4.5 -- previous version</t>
      </text>
    </comment>
  </commentList>
  <extLst>
    <ext uri="GoogleSheetsCustomDataVersion2">
      <go:sheetsCustomData xmlns:go="http://customooxmlschemas.google.com/" r:id="rId1" roundtripDataSignature="AMtx7mi9Xa0DFdpLkYxyWAmkeOjE/Z9JoA=="/>
    </ext>
  </extLst>
</comments>
</file>

<file path=xl/sharedStrings.xml><?xml version="1.0" encoding="utf-8"?>
<sst xmlns="http://schemas.openxmlformats.org/spreadsheetml/2006/main" count="699" uniqueCount="469">
  <si>
    <t>Production &amp; Project</t>
  </si>
  <si>
    <t>Comment</t>
  </si>
  <si>
    <t>Project Lifetime</t>
  </si>
  <si>
    <t>Yury</t>
  </si>
  <si>
    <t>Project Year</t>
  </si>
  <si>
    <t>LCFS discount USD per kg</t>
  </si>
  <si>
    <t>Will probably disappear after 2030</t>
  </si>
  <si>
    <t>Tax Rate</t>
  </si>
  <si>
    <t>Production GH2 per day</t>
  </si>
  <si>
    <t>(computed as a function of EL power+usage)</t>
  </si>
  <si>
    <t>Economics</t>
  </si>
  <si>
    <t>IRR</t>
  </si>
  <si>
    <t>Val</t>
  </si>
  <si>
    <t>Operating Days</t>
  </si>
  <si>
    <t xml:space="preserve">Yury </t>
  </si>
  <si>
    <t>Project Start Year</t>
  </si>
  <si>
    <t>Inflation Rate</t>
  </si>
  <si>
    <t>(mean 2012-22)</t>
  </si>
  <si>
    <t xml:space="preserve">https://www.usinflationcalculator.com/inflation/current-inflation-rates/#:~:text=The%20annual%20inflation%20rate%20for,ET. </t>
  </si>
  <si>
    <t>Insurance Rate</t>
  </si>
  <si>
    <t>(assume uniform)</t>
  </si>
  <si>
    <t>Contingency</t>
  </si>
  <si>
    <t>what is it? Adds additional 4.5 mil to Opex</t>
  </si>
  <si>
    <t>Constants</t>
  </si>
  <si>
    <t>KWh per KG H2</t>
  </si>
  <si>
    <t>Solar MWH produced per day from 1 MW</t>
  </si>
  <si>
    <t>Setup Type</t>
  </si>
  <si>
    <t>Microgrid</t>
  </si>
  <si>
    <t>Grid_PGE</t>
  </si>
  <si>
    <t>Grid_CAISO</t>
  </si>
  <si>
    <t>Costs</t>
  </si>
  <si>
    <t>Grid Total Capex</t>
  </si>
  <si>
    <t>Grid Total Opex (no Energy Cost)</t>
  </si>
  <si>
    <t>PGE B-20 Electricity Cost</t>
  </si>
  <si>
    <t>Grid Total</t>
  </si>
  <si>
    <t>(user specified)</t>
  </si>
  <si>
    <t>Mean MWh</t>
  </si>
  <si>
    <t>Grid Connection Power, MW (MVA)</t>
  </si>
  <si>
    <t>(by default use electrolyser power)</t>
  </si>
  <si>
    <t>Demand Charge MW/MWh</t>
  </si>
  <si>
    <t>Grid Connection Type</t>
  </si>
  <si>
    <t>CAISO</t>
  </si>
  <si>
    <t>Total</t>
  </si>
  <si>
    <t>Transfer losses</t>
  </si>
  <si>
    <t>(technical 2.5% + economics -- as taking at other timeframe)</t>
  </si>
  <si>
    <t>Battery Total Capex</t>
  </si>
  <si>
    <t>Battery Total Opex</t>
  </si>
  <si>
    <t>Battery Total</t>
  </si>
  <si>
    <t>Battery Capacity</t>
  </si>
  <si>
    <t>Energy need to be stored/sent to grid (min, MWh)</t>
  </si>
  <si>
    <t>(bell curve integral approx)</t>
  </si>
  <si>
    <t>Energy out of Battery with losses</t>
  </si>
  <si>
    <t>Market loss</t>
  </si>
  <si>
    <t>Solar Total Capex</t>
  </si>
  <si>
    <t>Solar Total Opex</t>
  </si>
  <si>
    <t>Solar Total</t>
  </si>
  <si>
    <t>Solar Power, MW</t>
  </si>
  <si>
    <t>Energy Produced by Solar, MWh</t>
  </si>
  <si>
    <t>(losses are included in the statistics)</t>
  </si>
  <si>
    <t>Electrolyzer Total Capex</t>
  </si>
  <si>
    <t>Electrolyzer Total Opex</t>
  </si>
  <si>
    <t>Electrolyzer Total</t>
  </si>
  <si>
    <t>Electrolyzer Total with POSSIBLE ITC</t>
  </si>
  <si>
    <t>(in a microgrid setup we can use ITC, but -3$ IRA is easier)</t>
  </si>
  <si>
    <t>Electrolyser Power MW</t>
  </si>
  <si>
    <t>(demand vs heating value vs usage)</t>
  </si>
  <si>
    <t>Electrolyser Energy Demand MWh per day</t>
  </si>
  <si>
    <t>Electrolyzer Usage %</t>
  </si>
  <si>
    <t>Leftover Energy</t>
  </si>
  <si>
    <t>(should be 0, if negative EL use more energy than available)</t>
  </si>
  <si>
    <t>(leftover = 0 iff microgrid)</t>
  </si>
  <si>
    <t>Extra fee for grid usage (PGE)</t>
  </si>
  <si>
    <t>Extra fee for grid usage (CAISO)</t>
  </si>
  <si>
    <t>Labor Total</t>
  </si>
  <si>
    <t>Overall Expenses Beyond Electricity</t>
  </si>
  <si>
    <t>Electricity Expenses</t>
  </si>
  <si>
    <t>Overall Expenses</t>
  </si>
  <si>
    <t>GH2_Price</t>
  </si>
  <si>
    <t>IRA Discount</t>
  </si>
  <si>
    <t>Production</t>
  </si>
  <si>
    <t>Discounted Volume, KG</t>
  </si>
  <si>
    <t xml:space="preserve">Not counted yet: </t>
  </si>
  <si>
    <t>degradation</t>
  </si>
  <si>
    <t>DO NOT USE</t>
  </si>
  <si>
    <t>Hydrogen Storage</t>
  </si>
  <si>
    <t>Degradation over time</t>
  </si>
  <si>
    <t>needs confirmation</t>
  </si>
  <si>
    <t xml:space="preserve">https://gulfenergyinfo.com/h2tech/articles/2021/q3-2021/long-duration-h2-storage-in-solution-mined-salt-caverns-part-1#:~:text=H2%20in%20storage%20does,energy%20efficiency%20remains%20constant%20indefinitely. </t>
  </si>
  <si>
    <t>Lifetime</t>
  </si>
  <si>
    <t>(mid scenario)</t>
  </si>
  <si>
    <t xml:space="preserve">https://www.nrel.gov/news/program/2020/answer-to-energy-storage-problem-could-be-hydrogen.html </t>
  </si>
  <si>
    <t>Roundtrip Efficiency</t>
  </si>
  <si>
    <t>Annual cost drop</t>
  </si>
  <si>
    <t>(table 1, salt cavern based, extrapolated)</t>
  </si>
  <si>
    <t xml:space="preserve">https://www.pnnl.gov/sites/default/files/media/file/Hydrogen_Methodology.pdf </t>
  </si>
  <si>
    <t>Items</t>
  </si>
  <si>
    <t>Units</t>
  </si>
  <si>
    <t>General assumptions</t>
  </si>
  <si>
    <t>years</t>
  </si>
  <si>
    <t>%</t>
  </si>
  <si>
    <t>Days</t>
  </si>
  <si>
    <t>days</t>
  </si>
  <si>
    <t>PnL</t>
  </si>
  <si>
    <t>Revenue</t>
  </si>
  <si>
    <t>Volumes H2 produced</t>
  </si>
  <si>
    <t>kg</t>
  </si>
  <si>
    <t>Price</t>
  </si>
  <si>
    <t>$/kg</t>
  </si>
  <si>
    <t>Total Revenue</t>
  </si>
  <si>
    <t>$</t>
  </si>
  <si>
    <t>OPEX</t>
  </si>
  <si>
    <t>Labor</t>
  </si>
  <si>
    <t>Grid</t>
  </si>
  <si>
    <t>Battery</t>
  </si>
  <si>
    <t>Solar</t>
  </si>
  <si>
    <t>Electrolyzer</t>
  </si>
  <si>
    <t>Electricity</t>
  </si>
  <si>
    <t>Total Opex</t>
  </si>
  <si>
    <t>EBITDA</t>
  </si>
  <si>
    <t>EBITDA margin</t>
  </si>
  <si>
    <t>Depriciation (IRS)</t>
  </si>
  <si>
    <t>Tax Expense</t>
  </si>
  <si>
    <t>After-Tax Net Equity Cash Flow</t>
  </si>
  <si>
    <t>Tax shield</t>
  </si>
  <si>
    <t>After-Tax Net Equity Cash Flow (adj. for non-cash expense)</t>
  </si>
  <si>
    <t>Net Present Value</t>
  </si>
  <si>
    <t>Net Present Value (adj. for non-cash expense)</t>
  </si>
  <si>
    <t>Grid Capex</t>
  </si>
  <si>
    <t>Electrolyzer Capex</t>
  </si>
  <si>
    <t>Battery  Capex</t>
  </si>
  <si>
    <t>Battery  Subsidy</t>
  </si>
  <si>
    <t>Battery Sub. Capex</t>
  </si>
  <si>
    <t>Solar  Capex</t>
  </si>
  <si>
    <t>Solar  Subsidy</t>
  </si>
  <si>
    <t>Solar Sub. Capex</t>
  </si>
  <si>
    <t>Total Capex incl. subsidy</t>
  </si>
  <si>
    <t>Total Capex w/o subsidy</t>
  </si>
  <si>
    <t>PV (Solar)</t>
  </si>
  <si>
    <t>Power Grid</t>
  </si>
  <si>
    <t>Aircraft</t>
  </si>
  <si>
    <t>AC-DC inverter</t>
  </si>
  <si>
    <t>`</t>
  </si>
  <si>
    <t>DC-DC coverter</t>
  </si>
  <si>
    <t>AC-DC coverter</t>
  </si>
  <si>
    <t>Fuel Cell</t>
  </si>
  <si>
    <t>Electrolyser</t>
  </si>
  <si>
    <t>H2 Storage</t>
  </si>
  <si>
    <t>Elements</t>
  </si>
  <si>
    <t>DC-DC converter -- adjust voltage and stabilize it</t>
  </si>
  <si>
    <t>AC-DC inverter -- takes DC, outputs AC</t>
  </si>
  <si>
    <t>PV + DC-DC converter -- the same block</t>
  </si>
  <si>
    <t>Element</t>
  </si>
  <si>
    <t>Cost - USD per MW/MWh</t>
  </si>
  <si>
    <t>Depteciation time</t>
  </si>
  <si>
    <t>Time to Charge</t>
  </si>
  <si>
    <t>Time to Discharge</t>
  </si>
  <si>
    <t>Links</t>
  </si>
  <si>
    <t>Solar/PV</t>
  </si>
  <si>
    <t>n/a</t>
  </si>
  <si>
    <t>https://www.solarreviews.com/blog/what-is-a-solar-farm-do-i-need-one</t>
  </si>
  <si>
    <t>DC-DC converter</t>
  </si>
  <si>
    <t>H2 Turbine</t>
  </si>
  <si>
    <t>H2 storage</t>
  </si>
  <si>
    <t xml:space="preserve">Performance Degradation/year: </t>
  </si>
  <si>
    <t>Depreciation</t>
  </si>
  <si>
    <t>Year 1</t>
  </si>
  <si>
    <t>Year 2</t>
  </si>
  <si>
    <t>Year 3</t>
  </si>
  <si>
    <t>Year 4</t>
  </si>
  <si>
    <t>Year 5</t>
  </si>
  <si>
    <t>Year 6</t>
  </si>
  <si>
    <t>PV schedule</t>
  </si>
  <si>
    <t>AC-DC Converter</t>
  </si>
  <si>
    <t>H2 turbine</t>
  </si>
  <si>
    <t>Grid Connection/System Size, MW</t>
  </si>
  <si>
    <t>(equals to electrolyser power size)</t>
  </si>
  <si>
    <t>PGE B20</t>
  </si>
  <si>
    <t>PGE WDAT</t>
  </si>
  <si>
    <t>Transmission ITC</t>
  </si>
  <si>
    <t>Range from 6% Base to 30% Bonus</t>
  </si>
  <si>
    <t xml:space="preserve">https://www.foley.com/en/insights/publications/2021/10/new-tax-credit-electric-transmission-property </t>
  </si>
  <si>
    <t xml:space="preserve">https://www.infrastructurereportcard.org/wp-content/uploads/2017/01/Energy-Final.pdf </t>
  </si>
  <si>
    <t>Grid Overhead</t>
  </si>
  <si>
    <t>Grid O&amp;M</t>
  </si>
  <si>
    <t>Grid Insurance</t>
  </si>
  <si>
    <t>CAISO Grid (single 45 MVA connection)</t>
  </si>
  <si>
    <t>CapEx</t>
  </si>
  <si>
    <t>Annual Opex</t>
  </si>
  <si>
    <t>Question</t>
  </si>
  <si>
    <t>URL</t>
  </si>
  <si>
    <t>substation_construction</t>
  </si>
  <si>
    <t>https://www.pge.com/pge_global/common/pdfs/about-pge/company-information/regulation/contracts-and-tariffs/WDT-Unit-Costs.pdf</t>
  </si>
  <si>
    <t>substation_regulatory</t>
  </si>
  <si>
    <t>substation_land</t>
  </si>
  <si>
    <t>5 Arce Parcel</t>
  </si>
  <si>
    <t>transformer</t>
  </si>
  <si>
    <t>&lt;= 45 MVA</t>
  </si>
  <si>
    <t>circuit_switcher</t>
  </si>
  <si>
    <t>breakers</t>
  </si>
  <si>
    <t>indoor_outlets</t>
  </si>
  <si>
    <t>OH_New</t>
  </si>
  <si>
    <t>Non-Bay</t>
  </si>
  <si>
    <t>OH_Reconductor</t>
  </si>
  <si>
    <t>OH_capacitor</t>
  </si>
  <si>
    <t>OH_switch</t>
  </si>
  <si>
    <t>OH_scada_switch</t>
  </si>
  <si>
    <t>OH_regulator</t>
  </si>
  <si>
    <t>OH_recloser</t>
  </si>
  <si>
    <t>OH_fuse</t>
  </si>
  <si>
    <t>OH_scada</t>
  </si>
  <si>
    <t>reclocate_capacitor</t>
  </si>
  <si>
    <t>UG_new_w_trench</t>
  </si>
  <si>
    <t>transformer_replace</t>
  </si>
  <si>
    <t>autotransformer</t>
  </si>
  <si>
    <t>UG_switch</t>
  </si>
  <si>
    <t>UG_scada</t>
  </si>
  <si>
    <t>UG_interrupter</t>
  </si>
  <si>
    <t>PM_capacitor</t>
  </si>
  <si>
    <t>contingency</t>
  </si>
  <si>
    <t>10% for all grid capex items</t>
  </si>
  <si>
    <t>om_operations_maintenence</t>
  </si>
  <si>
    <t>1.5% for each</t>
  </si>
  <si>
    <t>insurance</t>
  </si>
  <si>
    <t>security_deposit</t>
  </si>
  <si>
    <t>250000 k security deposit for 20+MW system, discounted in time (3% IRS rate, 20 years), $100k smaller</t>
  </si>
  <si>
    <t>http://www.caiso.com/Documents/LSACommentsonSmallandLargeGeneratorInterconnectionProceduresDraftFinalProposalandMeeting.pdf</t>
  </si>
  <si>
    <t>ISF</t>
  </si>
  <si>
    <t>IFS = Interconnection Financial Security, mean of Page 4</t>
  </si>
  <si>
    <t>metering</t>
  </si>
  <si>
    <t>164.5 per day</t>
  </si>
  <si>
    <t>ITC discount</t>
  </si>
  <si>
    <t>(per single connection)</t>
  </si>
  <si>
    <t>PG&amp;E Grid (single 20 MVA max connection)</t>
  </si>
  <si>
    <t>distritution_upgrade (B-20 only)</t>
  </si>
  <si>
    <t>https://www.pge.com/includes/docs/pdfs/shared/customerservice/nonpgeutility/electrictransmission/tariffs/PGE_Wholesale_Distribution_Tariff.pdf</t>
  </si>
  <si>
    <t>transmission_upgrade (B-20 only)</t>
  </si>
  <si>
    <t>ITC discount (B-20 only)</t>
  </si>
  <si>
    <t>metering (B-20 only)</t>
  </si>
  <si>
    <t>58.30 per day if secondary voltage grid</t>
  </si>
  <si>
    <t>https://www.pge.com/tariffs/assets/pdf/tariffbook/ELEC_SCHEDS_B-20.pdf</t>
  </si>
  <si>
    <t>metering (WDAT only)</t>
  </si>
  <si>
    <t>deposit (WDAT only)</t>
  </si>
  <si>
    <t>cost_ownership (WDAT only)</t>
  </si>
  <si>
    <t>infrastructure_rent_cost (WDAT only)</t>
  </si>
  <si>
    <t>0.48% per month</t>
  </si>
  <si>
    <t>ISF (WDAT only)</t>
  </si>
  <si>
    <t xml:space="preserve">https://www.pge.com/includes/docs/pdfs/shared/customerservice/nonpgeutility/electrictransmission/tariffs/PGE_Wholesale_Distribution_Tariff.pdf </t>
  </si>
  <si>
    <t>security_deposit (WDAT only)</t>
  </si>
  <si>
    <t>Grid Connection &amp; Service Cost</t>
  </si>
  <si>
    <t>(assuming &gt; 45 MW lead to a linear increase for CAISO &amp; PGE)</t>
  </si>
  <si>
    <t>Добавить третий сценарий</t>
  </si>
  <si>
    <t>Spanned Across Project Duration</t>
  </si>
  <si>
    <t>Project Total</t>
  </si>
  <si>
    <t>Capex</t>
  </si>
  <si>
    <t>Opex</t>
  </si>
  <si>
    <t>Grid Total (with ITC Bonus)</t>
  </si>
  <si>
    <t>FTE, Electolyzer</t>
  </si>
  <si>
    <t>to cover 24/7</t>
  </si>
  <si>
    <t>(per 20 MW, Arnab)</t>
  </si>
  <si>
    <t>FTE, Battery + Solar</t>
  </si>
  <si>
    <t>(per 40 MW Solar system)</t>
  </si>
  <si>
    <t>Unit FTE</t>
  </si>
  <si>
    <t>Total Opex 1st year</t>
  </si>
  <si>
    <t>2nd life MWH price/1st life MWH price</t>
  </si>
  <si>
    <t xml:space="preserve">https://www.sciencedirect.com/science/article/abs/pii/S0306261921007212 </t>
  </si>
  <si>
    <t>Degradation Rate per Year</t>
  </si>
  <si>
    <t>YM</t>
  </si>
  <si>
    <t xml:space="preserve">https://ieeexplore.ieee.org/document/9223659 </t>
  </si>
  <si>
    <t>Battery loss</t>
  </si>
  <si>
    <t>(Sarnoff-wood: operating under 0.3C)</t>
  </si>
  <si>
    <t xml:space="preserve">State of Charge Max: </t>
  </si>
  <si>
    <t>(Sarnoff-wood: battery health)</t>
  </si>
  <si>
    <t xml:space="preserve">State of Charge Min: </t>
  </si>
  <si>
    <t>Depth of charge</t>
  </si>
  <si>
    <t>Correction coeff. for upsized battery</t>
  </si>
  <si>
    <t>(economic literature)</t>
  </si>
  <si>
    <t>not used currently, yet there is  upsize potential</t>
  </si>
  <si>
    <t>Annual cost drop rate</t>
  </si>
  <si>
    <t>Figure ES-2, GeoMean from 2020-35</t>
  </si>
  <si>
    <t xml:space="preserve">https://www.nrel.gov/docs/fy21osti/79236.pdf </t>
  </si>
  <si>
    <t>(at 0.8 capacity)</t>
  </si>
  <si>
    <t xml:space="preserve">https://blog.modo.energy/battery-degradation-explained </t>
  </si>
  <si>
    <t>Investment Tax Credit</t>
  </si>
  <si>
    <t>(specific components only)</t>
  </si>
  <si>
    <t xml:space="preserve">https://www.troutman.com/insights/new-ira-tax-incentives-for-us-manufacturing-in-renewable-energy-sector.html </t>
  </si>
  <si>
    <t>Battery capacity, MWh</t>
  </si>
  <si>
    <t>Battery Replacement year</t>
  </si>
  <si>
    <t>Battery structure</t>
  </si>
  <si>
    <t>Capex per MWH</t>
  </si>
  <si>
    <t>Opex per MWH-year</t>
  </si>
  <si>
    <t>(based on 120 MWh system estimate)</t>
  </si>
  <si>
    <t>energy_per_2C</t>
  </si>
  <si>
    <t>$152 per 163 Ah at 3.2 V, 2C (Sarnoff-Wood). Wh = Ah*V</t>
  </si>
  <si>
    <t xml:space="preserve">https://www.electriccarpartscompany.com/163ah-calb-batteries-l173f163b </t>
  </si>
  <si>
    <t>inverter_per_MW</t>
  </si>
  <si>
    <t>should take C = 2/3, 0.15W for 3 phase bi directional; table A-1; Inv failure issue - SE</t>
  </si>
  <si>
    <t>https://atb.nrel.gov/electricity/2021/commercial_battery_storage</t>
  </si>
  <si>
    <t>structural_BOS</t>
  </si>
  <si>
    <t>BOS = Balance of system, table 17</t>
  </si>
  <si>
    <t>(table 17)</t>
  </si>
  <si>
    <t>https://www.nrel.gov/docs/fy21osti/77324.pdf</t>
  </si>
  <si>
    <t>elecrical_BOS</t>
  </si>
  <si>
    <t>permitting</t>
  </si>
  <si>
    <t>table 17, 0.03 per W</t>
  </si>
  <si>
    <t>labor_construction</t>
  </si>
  <si>
    <t>2 weeks of 2.0 FTE Electrician and 2 weeks of 4.0 FTE labor with 0.4 overhead</t>
  </si>
  <si>
    <t>epc_overhead_matherials</t>
  </si>
  <si>
    <t>according to NREL</t>
  </si>
  <si>
    <t>developer_overhead</t>
  </si>
  <si>
    <t>3% according to NREL</t>
  </si>
  <si>
    <t>developer_profit</t>
  </si>
  <si>
    <t>5% according to NREL</t>
  </si>
  <si>
    <t>om_operations_maintenance</t>
  </si>
  <si>
    <t>1.5% according to NREL</t>
  </si>
  <si>
    <t>10% is assumed</t>
  </si>
  <si>
    <t>Total per MW (no tax shield)</t>
  </si>
  <si>
    <t>Economy of scale (per MW)</t>
  </si>
  <si>
    <t>(piece-wise linear at lower levels, exp at higher levels, limited by tha stack&amp;inverter cost + 10% overhead)</t>
  </si>
  <si>
    <t>https://atb.nrel.gov/electricity/2022/utility-scale_battery_storage +H3 proposal</t>
  </si>
  <si>
    <t>Correction to the project start FY</t>
  </si>
  <si>
    <t>Cost w/o ITC, USD -- FY 2022</t>
  </si>
  <si>
    <t>Cost with ITC, USD -- FY 2022</t>
  </si>
  <si>
    <t>(no labor/insurance -- ITC applied in full for the system upgrade)</t>
  </si>
  <si>
    <t>Assumptions:</t>
  </si>
  <si>
    <t>Non labor opex is deflated with the cost drop rate</t>
  </si>
  <si>
    <t>Labor opex is inflated with the inflation rate</t>
  </si>
  <si>
    <t>Capex Decreases with the cost drop rate</t>
  </si>
  <si>
    <t>Labor is computed separately</t>
  </si>
  <si>
    <t>Battery: 1.5 -- 2 cycles per day</t>
  </si>
  <si>
    <t>80% degradation at the EOL</t>
  </si>
  <si>
    <t>Battery: Uniform Degradation MWH over time</t>
  </si>
  <si>
    <t xml:space="preserve">https://www.iso-ne.com/static-assets/documents/2020/12/a9_modeling_of_battery_storage_in_economic_studies.pdf </t>
  </si>
  <si>
    <t>Battery: No degradation MW over time</t>
  </si>
  <si>
    <t>Capacity nominal MAX, MWh</t>
  </si>
  <si>
    <t>Solar Size, MW</t>
  </si>
  <si>
    <t>Investment Tax Credit (ITC)</t>
  </si>
  <si>
    <t>Yury: IRA based</t>
  </si>
  <si>
    <t xml:space="preserve">https://geniesolarenergy.com/2022-ira-commercial-solar-implications/ </t>
  </si>
  <si>
    <t>Bonus ITC</t>
  </si>
  <si>
    <t>if domestic labor met</t>
  </si>
  <si>
    <t>https://geniesolarenergy.com/2022-ira-commercial-solar-implications/</t>
  </si>
  <si>
    <t>industry survey</t>
  </si>
  <si>
    <t>https://emp.lbl.gov/publications/benchmarking-utility-scale-pv</t>
  </si>
  <si>
    <t>Mean Degradation Rate per Year</t>
  </si>
  <si>
    <t>Yury: averaged</t>
  </si>
  <si>
    <t xml:space="preserve">https://www.nrel.gov/state-local-tribal/blog/posts/stat-faqs-part2-lifetime-of-pv-panels.html </t>
  </si>
  <si>
    <t>Inverter + System Loss</t>
  </si>
  <si>
    <t>Check</t>
  </si>
  <si>
    <t xml:space="preserve">https://www.solarempower.com/blog/10-solar-pv-system-losses-their-impact-on-solar-panel-output/ </t>
  </si>
  <si>
    <t>Cost Drop Rate</t>
  </si>
  <si>
    <t>Mean scenario DOE averaged with NREL</t>
  </si>
  <si>
    <t>https://www.energy.gov/eere/solar/articles/2030-solar-cost-targets</t>
  </si>
  <si>
    <t xml:space="preserve">https://atb.nrel.gov/electricity/2022/utility-scale_pv#capital_expenditures_(capex) </t>
  </si>
  <si>
    <t>Solar secondary market discount</t>
  </si>
  <si>
    <t>https://www.technologyreview.com/2021/08/19/1032215/solar-panels-recycling/#:~:text=A%20second%20life&amp;text=A%20panel%20might%20cost%20around,recycling%20startup%20called%20TG%20Companies.</t>
  </si>
  <si>
    <t>Solar losses</t>
  </si>
  <si>
    <t xml:space="preserve">https://www.solarempower.com/blog/how-much-money-1-acre-solar-panels-make-income/ </t>
  </si>
  <si>
    <t>Assumptions</t>
  </si>
  <si>
    <t>monocrystalline solar</t>
  </si>
  <si>
    <t>all systems are utility scale -- 10 MW and up</t>
  </si>
  <si>
    <t>1 sq meter = 200 W power, 1 KW =  4.8 sq mt</t>
  </si>
  <si>
    <t>Powe-to-energy ratio (C)</t>
  </si>
  <si>
    <t>(20+ MW system estimate)</t>
  </si>
  <si>
    <t>Fixed Capex</t>
  </si>
  <si>
    <t>Variable CaPex per MW</t>
  </si>
  <si>
    <t>Capex for the System</t>
  </si>
  <si>
    <t>module</t>
  </si>
  <si>
    <t>page 24 for commeercial</t>
  </si>
  <si>
    <t>https://www.nrel.gov/docs/fy22osti/83586.pdf</t>
  </si>
  <si>
    <t>inverter</t>
  </si>
  <si>
    <t>W_ac for C = 0.6</t>
  </si>
  <si>
    <t>electrical_BOS</t>
  </si>
  <si>
    <t>intallation_labor</t>
  </si>
  <si>
    <t>installation rental equipement</t>
  </si>
  <si>
    <t>Construction Overhead</t>
  </si>
  <si>
    <t>permitting (PII)</t>
  </si>
  <si>
    <t>(interver based)</t>
  </si>
  <si>
    <t>Developer Overhead</t>
  </si>
  <si>
    <t>Developer Profit</t>
  </si>
  <si>
    <t>Total FY 22</t>
  </si>
  <si>
    <t>Total for the project start year</t>
  </si>
  <si>
    <t>Total with ITC</t>
  </si>
  <si>
    <t>Opex Fixed</t>
  </si>
  <si>
    <t>Opex per MW</t>
  </si>
  <si>
    <t>Opex for the System</t>
  </si>
  <si>
    <t>Operations and Maintenance</t>
  </si>
  <si>
    <t>https://eta-publications.lbl.gov/sites/default/files/solar_life_and_opex_report.pdf</t>
  </si>
  <si>
    <t>Other opex (insurance, upgrade, etc)</t>
  </si>
  <si>
    <t xml:space="preserve">https://www.nrel.gov/docs/fy20osti/74840.pdf </t>
  </si>
  <si>
    <t>Applicable as equipement only</t>
  </si>
  <si>
    <t>Resale</t>
  </si>
  <si>
    <t>Power nominal MAX, MWh</t>
  </si>
  <si>
    <t>Solar cost total</t>
  </si>
  <si>
    <t>Electrolyzer power, MW</t>
  </si>
  <si>
    <t>Hours lifetime</t>
  </si>
  <si>
    <t>(averaged across PEM/AEM)</t>
  </si>
  <si>
    <t xml:space="preserve">https://www.sciencedirect.com/science/article/pii/S0360319917339435 </t>
  </si>
  <si>
    <t xml:space="preserve">https://www.bakerbotts.com/thought-leadership/publications/2022/august/clean-hydrogen-and-fuel-cell-incentives-in-the-inflation-reduction-act-of-2022 </t>
  </si>
  <si>
    <t>Price drop per Year</t>
  </si>
  <si>
    <t>(mean over incoherent)</t>
  </si>
  <si>
    <t xml:space="preserve">https://www.irena.org/-/media/Files/IRENA/Agency/Publication/2020/Dec/IRENA_Green_hydrogen_cost_2020.pdf </t>
  </si>
  <si>
    <t>Electrolyser Efficiency Increase Annual</t>
  </si>
  <si>
    <t>90% HT + 80% LT DOE Goal -- Geometric Span</t>
  </si>
  <si>
    <t xml:space="preserve">https://www.mdpi.com/1996-1073/15/4/1415 </t>
  </si>
  <si>
    <t>Electrolyser Efficiency</t>
  </si>
  <si>
    <t>Table 3 + industry poll</t>
  </si>
  <si>
    <t>Heating value</t>
  </si>
  <si>
    <t>Compression Losses</t>
  </si>
  <si>
    <t>700 bar</t>
  </si>
  <si>
    <t>https://www.irena.org/-/media/Files/IRENA/Agency/Publication/2020/Dec/IRENA_Green_hydrogen_cost_2020.pdf</t>
  </si>
  <si>
    <t>(20 MW study)</t>
  </si>
  <si>
    <t>CaPex per MW</t>
  </si>
  <si>
    <t>Opex per MW (Equipement)</t>
  </si>
  <si>
    <t>Opex per KG (Utilities)</t>
  </si>
  <si>
    <t>Source</t>
  </si>
  <si>
    <t>alkaline_electrolyser_per_MW</t>
  </si>
  <si>
    <t>Alkaline 20 MW/per MW</t>
  </si>
  <si>
    <t>Arnab Electrolyser Databook</t>
  </si>
  <si>
    <t>balance_of_plan_per_MW</t>
  </si>
  <si>
    <t>export_panel_per_MW</t>
  </si>
  <si>
    <t>control_sys_RGP_per_MW</t>
  </si>
  <si>
    <t>4x_hofer_comp_per_MW</t>
  </si>
  <si>
    <t>4x_capacity_control_bypass_value</t>
  </si>
  <si>
    <t>4x_closed_loop_cooling</t>
  </si>
  <si>
    <t>shipping_electrolyser</t>
  </si>
  <si>
    <t>shipping_other</t>
  </si>
  <si>
    <t>capex_contingency</t>
  </si>
  <si>
    <t>30% for TGP 10% for the rest</t>
  </si>
  <si>
    <t>utiliies</t>
  </si>
  <si>
    <t>fire_protection</t>
  </si>
  <si>
    <t>civil_work</t>
  </si>
  <si>
    <t>mechanical_scope</t>
  </si>
  <si>
    <t>site_scoping</t>
  </si>
  <si>
    <t>electrical</t>
  </si>
  <si>
    <t>engineering_permits_indirect</t>
  </si>
  <si>
    <t>construction_contingency</t>
  </si>
  <si>
    <t>Quote from EPC firm, 30%</t>
  </si>
  <si>
    <t>decomissining</t>
  </si>
  <si>
    <t>? 10% (Arnab). Questionable -- not inflated</t>
  </si>
  <si>
    <t>? 3.5% (Arnab). Questionable -- not inflated</t>
  </si>
  <si>
    <t>om_compressor</t>
  </si>
  <si>
    <t>Not inflated?</t>
  </si>
  <si>
    <t>water</t>
  </si>
  <si>
    <t>16 kg H20 = 1 kg H2, $3.85 per 3000 kg (100 ft3) + 3897 metering fee</t>
  </si>
  <si>
    <t>https://www.energy.gov/sites/prod/files/2017/10/f38/water_wastewater_escalation_rate_study.pdf</t>
  </si>
  <si>
    <t>water_ca_fee</t>
  </si>
  <si>
    <t>1.43% public utility comission fee</t>
  </si>
  <si>
    <t>decomission_active_walls</t>
  </si>
  <si>
    <t>Drop off? Noone signed off. Alkaline 20 MW/per MW</t>
  </si>
  <si>
    <t>https://www.nrel.gov/hydrogen/assets/docs/current-central-pem-electrolysis-v3-2018.xlsm</t>
  </si>
  <si>
    <t>Economy of scale factor</t>
  </si>
  <si>
    <t>(0.9 = 10x scaling factor), geometric mean</t>
  </si>
  <si>
    <t xml:space="preserve">https://www.cell.com/cell-reports-physical-science/pdfExtended/S2666-3864(20)30224-1 </t>
  </si>
  <si>
    <t>Economy of time</t>
  </si>
  <si>
    <t>Scale &amp; Time Adjusted Capex</t>
  </si>
  <si>
    <t>(efficiency parity)</t>
  </si>
  <si>
    <t>Opex (MW nominal)</t>
  </si>
  <si>
    <t>Opex (KG produced)</t>
  </si>
  <si>
    <t>Opex (total)</t>
  </si>
  <si>
    <t>Power (max) nominal MAX, MWh</t>
  </si>
  <si>
    <t>Electolyser_Total</t>
  </si>
  <si>
    <t>Electolyser_Total_With_ITC</t>
  </si>
  <si>
    <t>1.</t>
  </si>
  <si>
    <t xml:space="preserve">Degradation is used only in production. OPEX sticks to installed nominal capacity --&gt; margin decline over time </t>
  </si>
  <si>
    <t>2.</t>
  </si>
  <si>
    <t>Costs grow at CPI, discounted by IRR</t>
  </si>
  <si>
    <t>TODO:</t>
  </si>
  <si>
    <t>Electricity expense calculate for each year on CFs tab (yearly expense, without discount)</t>
  </si>
  <si>
    <t>Cross-check total opex on CFs tab vs. total opex by streams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</si>
</sst>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_(* #,##0.00_);_(* \(#,##0.00\);_(* &quot;-&quot;??_);_(@_)"/>
    <numFmt numFmtId="165" formatCode="_-* #,##0.00\ _R_U_B_-;\-* #,##0.00\ _R_U_B_-;_-* &quot;-&quot;??\ _R_U_B_-;_-@"/>
    <numFmt numFmtId="166" formatCode="_-* #,##0.0_-;\-* #,##0.0_-;_-* &quot;-&quot;??_-;_-@"/>
    <numFmt numFmtId="167" formatCode="_(&quot;$&quot;* #,##0.00_);_(&quot;$&quot;* \(#,##0.00\);_(&quot;$&quot;* &quot;-&quot;??_);_(@_)"/>
    <numFmt numFmtId="168" formatCode="_(* #,##0_);_(* \(#,##0\);_(* &quot;-&quot;??_);_(@_)"/>
    <numFmt numFmtId="169" formatCode="_(* #,##0.0_);_(* \(#,##0.0\);_(* &quot;-&quot;?_);_(@_)"/>
    <numFmt numFmtId="170" formatCode="&quot;$&quot;#,##0.00"/>
    <numFmt numFmtId="171" formatCode="0.0%"/>
    <numFmt numFmtId="172" formatCode="_-* #,##0_-;\-* #,##0_-;_-* &quot;-&quot;??_-;_-@"/>
    <numFmt numFmtId="173" formatCode="_(&quot;$&quot;* #,##0_);_(&quot;$&quot;* \(#,##0\);_(&quot;$&quot;* &quot;-&quot;??_);_(@_)"/>
  </numFmts>
  <fonts count="24">
    <font>
      <sz val="12.0"/>
      <color theme="1"/>
      <name val="Calibri"/>
      <scheme val="minor"/>
    </font>
    <font>
      <b/>
      <sz val="12.0"/>
      <color rgb="FF002060"/>
      <name val="Calibri"/>
    </font>
    <font>
      <b/>
      <sz val="12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sz val="12.0"/>
      <color rgb="FF00B050"/>
      <name val="Calibri"/>
    </font>
    <font>
      <u/>
      <sz val="12.0"/>
      <color theme="10"/>
      <name val="Calibri"/>
    </font>
    <font>
      <sz val="12.0"/>
      <color rgb="FFFF0000"/>
      <name val="Calibri"/>
    </font>
    <font>
      <b/>
      <sz val="11.0"/>
      <color rgb="FF002060"/>
      <name val="Verdana"/>
    </font>
    <font>
      <sz val="12.0"/>
      <color theme="4"/>
      <name val="Calibri"/>
    </font>
    <font>
      <sz val="12.0"/>
      <color rgb="FF0070C0"/>
      <name val="Calibri"/>
    </font>
    <font>
      <b/>
      <sz val="12.0"/>
      <color rgb="FFC00000"/>
      <name val="Calibri"/>
    </font>
    <font>
      <u/>
      <sz val="12.0"/>
      <color theme="10"/>
      <name val="Calibri"/>
    </font>
    <font>
      <u/>
      <sz val="12.0"/>
      <color theme="10"/>
      <name val="Calibri"/>
    </font>
    <font>
      <sz val="12.0"/>
      <color theme="0"/>
      <name val="Calibri"/>
    </font>
    <font>
      <b/>
      <u/>
      <sz val="12.0"/>
      <color theme="1"/>
      <name val="Calibri"/>
    </font>
    <font>
      <i/>
      <sz val="12.0"/>
      <color theme="1"/>
      <name val="Calibri"/>
    </font>
    <font>
      <b/>
      <sz val="14.0"/>
      <color theme="1"/>
      <name val="Calibri"/>
    </font>
    <font>
      <sz val="12.0"/>
      <color rgb="FF202124"/>
      <name val="Arial"/>
    </font>
    <font>
      <sz val="12.0"/>
      <color rgb="FF000000"/>
      <name val="Calibri"/>
    </font>
    <font>
      <b/>
      <sz val="12.0"/>
      <color rgb="FF0070C0"/>
      <name val="Calibri"/>
    </font>
    <font>
      <sz val="12.0"/>
      <color rgb="FFC00000"/>
      <name val="Calibri"/>
    </font>
    <font>
      <u/>
      <sz val="12.0"/>
      <color theme="10"/>
      <name val="Calibri"/>
    </font>
    <font>
      <sz val="11.0"/>
      <color rgb="FF00206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1">
    <border/>
    <border>
      <left/>
      <right/>
      <top/>
      <bottom/>
    </border>
    <border>
      <top style="thin">
        <color rgb="FF000000"/>
      </top>
      <bottom style="double">
        <color rgb="FF000000"/>
      </bottom>
    </border>
    <border>
      <bottom style="double">
        <color rgb="FF000000"/>
      </bottom>
    </border>
    <border>
      <bottom style="dotted">
        <color rgb="FF757070"/>
      </bottom>
    </border>
    <border>
      <right style="dotted">
        <color rgb="FF757070"/>
      </right>
    </border>
    <border>
      <right style="dotted">
        <color rgb="FF757070"/>
      </right>
      <top style="dotted">
        <color rgb="FF757070"/>
      </top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dotted">
        <color rgb="FF757070"/>
      </right>
      <bottom style="medium">
        <color rgb="FF000000"/>
      </bottom>
    </border>
    <border>
      <right style="dotted">
        <color rgb="FF757070"/>
      </right>
      <top style="medium">
        <color rgb="FF000000"/>
      </top>
      <bottom style="dotted">
        <color rgb="FF75707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right"/>
    </xf>
    <xf borderId="0" fillId="0" fontId="4" numFmtId="9" xfId="0" applyFont="1" applyNumberFormat="1"/>
    <xf borderId="0" fillId="0" fontId="5" numFmtId="164" xfId="0" applyFont="1" applyNumberFormat="1"/>
    <xf borderId="0" fillId="0" fontId="4" numFmtId="10" xfId="0" applyFont="1" applyNumberFormat="1"/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4" numFmtId="165" xfId="0" applyFont="1" applyNumberFormat="1"/>
    <xf borderId="0" fillId="0" fontId="4" numFmtId="166" xfId="0" applyFont="1" applyNumberFormat="1"/>
    <xf borderId="0" fillId="0" fontId="9" numFmtId="0" xfId="0" applyFont="1"/>
    <xf borderId="0" fillId="0" fontId="4" numFmtId="167" xfId="0" applyFont="1" applyNumberFormat="1"/>
    <xf borderId="0" fillId="0" fontId="4" numFmtId="168" xfId="0" applyFont="1" applyNumberFormat="1"/>
    <xf borderId="0" fillId="0" fontId="5" numFmtId="166" xfId="0" applyFont="1" applyNumberFormat="1"/>
    <xf borderId="0" fillId="0" fontId="10" numFmtId="166" xfId="0" applyFont="1" applyNumberFormat="1"/>
    <xf borderId="0" fillId="0" fontId="10" numFmtId="166" xfId="0" applyAlignment="1" applyFont="1" applyNumberFormat="1">
      <alignment horizontal="center"/>
    </xf>
    <xf borderId="0" fillId="0" fontId="2" numFmtId="167" xfId="0" applyFont="1" applyNumberFormat="1"/>
    <xf borderId="0" fillId="0" fontId="4" numFmtId="169" xfId="0" applyFont="1" applyNumberFormat="1"/>
    <xf borderId="0" fillId="0" fontId="5" numFmtId="9" xfId="0" applyFont="1" applyNumberFormat="1"/>
    <xf borderId="0" fillId="0" fontId="4" numFmtId="167" xfId="0" applyAlignment="1" applyFont="1" applyNumberFormat="1">
      <alignment horizontal="right"/>
    </xf>
    <xf borderId="0" fillId="0" fontId="11" numFmtId="167" xfId="0" applyFont="1" applyNumberFormat="1"/>
    <xf borderId="0" fillId="0" fontId="4" numFmtId="164" xfId="0" applyFont="1" applyNumberFormat="1"/>
    <xf borderId="0" fillId="0" fontId="8" numFmtId="0" xfId="0" applyFont="1"/>
    <xf borderId="0" fillId="0" fontId="10" numFmtId="0" xfId="0" applyAlignment="1" applyFont="1">
      <alignment horizontal="right"/>
    </xf>
    <xf borderId="0" fillId="0" fontId="12" numFmtId="170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10" numFmtId="10" xfId="0" applyFont="1" applyNumberFormat="1"/>
    <xf borderId="0" fillId="0" fontId="13" numFmtId="0" xfId="0" applyAlignment="1" applyFont="1">
      <alignment horizontal="left"/>
    </xf>
    <xf borderId="0" fillId="0" fontId="4" numFmtId="171" xfId="0" applyFont="1" applyNumberFormat="1"/>
    <xf borderId="0" fillId="0" fontId="10" numFmtId="0" xfId="0" applyFont="1"/>
    <xf borderId="0" fillId="0" fontId="4" numFmtId="2" xfId="0" applyFont="1" applyNumberFormat="1"/>
    <xf borderId="0" fillId="0" fontId="14" numFmtId="0" xfId="0" applyFont="1"/>
    <xf borderId="1" fillId="2" fontId="4" numFmtId="0" xfId="0" applyBorder="1" applyFill="1" applyFont="1"/>
    <xf borderId="0" fillId="0" fontId="10" numFmtId="9" xfId="0" applyAlignment="1" applyFont="1" applyNumberFormat="1">
      <alignment horizontal="right"/>
    </xf>
    <xf borderId="0" fillId="0" fontId="4" numFmtId="172" xfId="0" applyAlignment="1" applyFont="1" applyNumberFormat="1">
      <alignment horizontal="center"/>
    </xf>
    <xf borderId="0" fillId="0" fontId="4" numFmtId="0" xfId="0" applyAlignment="1" applyFont="1">
      <alignment horizontal="center" vertical="center"/>
    </xf>
    <xf borderId="0" fillId="0" fontId="15" numFmtId="0" xfId="0" applyFont="1"/>
    <xf borderId="0" fillId="0" fontId="3" numFmtId="167" xfId="0" applyFont="1" applyNumberFormat="1"/>
    <xf borderId="2" fillId="0" fontId="2" numFmtId="0" xfId="0" applyBorder="1" applyFont="1"/>
    <xf borderId="2" fillId="0" fontId="2" numFmtId="0" xfId="0" applyAlignment="1" applyBorder="1" applyFont="1">
      <alignment horizontal="center" vertical="center"/>
    </xf>
    <xf borderId="2" fillId="0" fontId="2" numFmtId="168" xfId="0" applyBorder="1" applyFont="1" applyNumberFormat="1"/>
    <xf borderId="1" fillId="2" fontId="4" numFmtId="168" xfId="0" applyBorder="1" applyFont="1" applyNumberFormat="1"/>
    <xf borderId="3" fillId="0" fontId="2" numFmtId="0" xfId="0" applyBorder="1" applyFont="1"/>
    <xf borderId="3" fillId="0" fontId="2" numFmtId="0" xfId="0" applyAlignment="1" applyBorder="1" applyFont="1">
      <alignment horizontal="center" vertical="center"/>
    </xf>
    <xf borderId="3" fillId="0" fontId="2" numFmtId="168" xfId="0" applyBorder="1" applyFont="1" applyNumberFormat="1"/>
    <xf borderId="0" fillId="0" fontId="16" numFmtId="0" xfId="0" applyFont="1"/>
    <xf borderId="0" fillId="0" fontId="16" numFmtId="171" xfId="0" applyFont="1" applyNumberFormat="1"/>
    <xf borderId="0" fillId="0" fontId="16" numFmtId="0" xfId="0" applyAlignment="1" applyFont="1">
      <alignment horizontal="center" vertical="center"/>
    </xf>
    <xf borderId="0" fillId="0" fontId="16" numFmtId="168" xfId="0" applyFont="1" applyNumberFormat="1"/>
    <xf borderId="0" fillId="0" fontId="2" numFmtId="0" xfId="0" applyAlignment="1" applyFont="1">
      <alignment horizontal="center" vertical="center"/>
    </xf>
    <xf borderId="0" fillId="0" fontId="2" numFmtId="168" xfId="0" applyFont="1" applyNumberFormat="1"/>
    <xf borderId="0" fillId="0" fontId="2" numFmtId="168" xfId="0" applyAlignment="1" applyFont="1" applyNumberFormat="1">
      <alignment horizontal="center" vertical="center"/>
    </xf>
    <xf borderId="0" fillId="0" fontId="4" numFmtId="0" xfId="0" applyAlignment="1" applyFont="1">
      <alignment horizontal="center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9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0" fillId="0" fontId="17" numFmtId="0" xfId="0" applyAlignment="1" applyFont="1">
      <alignment horizontal="left"/>
    </xf>
    <xf borderId="0" fillId="0" fontId="4" numFmtId="170" xfId="0" applyAlignment="1" applyFont="1" applyNumberFormat="1">
      <alignment horizontal="center"/>
    </xf>
    <xf borderId="0" fillId="0" fontId="4" numFmtId="170" xfId="0" applyAlignment="1" applyFont="1" applyNumberFormat="1">
      <alignment horizontal="left"/>
    </xf>
    <xf borderId="0" fillId="0" fontId="4" numFmtId="10" xfId="0" applyAlignment="1" applyFont="1" applyNumberFormat="1">
      <alignment horizontal="left"/>
    </xf>
    <xf borderId="0" fillId="0" fontId="18" numFmtId="0" xfId="0" applyAlignment="1" applyFont="1">
      <alignment horizontal="left"/>
    </xf>
    <xf borderId="0" fillId="0" fontId="19" numFmtId="10" xfId="0" applyAlignment="1" applyFont="1" applyNumberFormat="1">
      <alignment horizontal="left"/>
    </xf>
    <xf borderId="0" fillId="0" fontId="4" numFmtId="166" xfId="0" applyAlignment="1" applyFont="1" applyNumberFormat="1">
      <alignment horizontal="right"/>
    </xf>
    <xf borderId="0" fillId="0" fontId="20" numFmtId="0" xfId="0" applyFont="1"/>
    <xf borderId="0" fillId="0" fontId="19" numFmtId="0" xfId="0" applyFont="1"/>
    <xf borderId="0" fillId="0" fontId="4" numFmtId="170" xfId="0" applyFont="1" applyNumberFormat="1"/>
    <xf borderId="0" fillId="0" fontId="21" numFmtId="0" xfId="0" applyFont="1"/>
    <xf borderId="0" fillId="0" fontId="20" numFmtId="170" xfId="0" applyFont="1" applyNumberFormat="1"/>
    <xf borderId="0" fillId="0" fontId="19" numFmtId="167" xfId="0" applyFont="1" applyNumberFormat="1"/>
    <xf borderId="1" fillId="3" fontId="2" numFmtId="167" xfId="0" applyBorder="1" applyFill="1" applyFont="1" applyNumberFormat="1"/>
    <xf borderId="0" fillId="0" fontId="19" numFmtId="0" xfId="0" applyAlignment="1" applyFont="1">
      <alignment horizontal="left"/>
    </xf>
    <xf borderId="0" fillId="0" fontId="19" numFmtId="171" xfId="0" applyFont="1" applyNumberFormat="1"/>
    <xf borderId="0" fillId="0" fontId="19" numFmtId="10" xfId="0" applyFont="1" applyNumberFormat="1"/>
    <xf borderId="0" fillId="0" fontId="19" numFmtId="2" xfId="0" applyFont="1" applyNumberFormat="1"/>
    <xf borderId="0" fillId="0" fontId="19" numFmtId="9" xfId="0" applyFont="1" applyNumberFormat="1"/>
    <xf borderId="0" fillId="0" fontId="3" numFmtId="166" xfId="0" applyFont="1" applyNumberFormat="1"/>
    <xf borderId="0" fillId="0" fontId="19" numFmtId="170" xfId="0" applyAlignment="1" applyFont="1" applyNumberFormat="1">
      <alignment horizontal="left"/>
    </xf>
    <xf borderId="0" fillId="0" fontId="19" numFmtId="170" xfId="0" applyFont="1" applyNumberFormat="1"/>
    <xf borderId="0" fillId="0" fontId="22" numFmtId="170" xfId="0" applyFont="1" applyNumberFormat="1"/>
    <xf borderId="0" fillId="0" fontId="23" numFmtId="0" xfId="0" applyFont="1"/>
    <xf borderId="0" fillId="0" fontId="4" numFmtId="173" xfId="0" applyFont="1" applyNumberFormat="1"/>
    <xf borderId="0" fillId="0" fontId="20" numFmtId="167" xfId="0" applyFont="1" applyNumberFormat="1"/>
    <xf borderId="0" fillId="0" fontId="7" numFmtId="170" xfId="0" applyFont="1" applyNumberFormat="1"/>
    <xf borderId="0" fillId="0" fontId="2" numFmtId="173" xfId="0" applyFont="1" applyNumberFormat="1"/>
    <xf borderId="0" fillId="0" fontId="10" numFmtId="171" xfId="0" applyAlignment="1" applyFont="1" applyNumberFormat="1">
      <alignment horizontal="right"/>
    </xf>
    <xf borderId="0" fillId="0" fontId="2" numFmtId="0" xfId="0" applyAlignment="1" applyFont="1">
      <alignment shrinkToFit="0" wrapText="1"/>
    </xf>
    <xf borderId="0" fillId="0" fontId="7" numFmtId="167" xfId="0" applyFont="1" applyNumberForma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</xdr:row>
      <xdr:rowOff>0</xdr:rowOff>
    </xdr:from>
    <xdr:ext cx="304800" cy="295275"/>
    <xdr:sp>
      <xdr:nvSpPr>
        <xdr:cNvPr descr="482 Power Grid Worker Illustrations &amp; Clip Art - iStock" id="3" name="Shape 3"/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04800" cy="295275"/>
    <xdr:sp>
      <xdr:nvSpPr>
        <xdr:cNvPr descr="482 Power Grid Worker Illustrations &amp; Clip Art - iStock" id="3" name="Shape 3"/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04800" cy="304800"/>
    <xdr:sp>
      <xdr:nvSpPr>
        <xdr:cNvPr descr="238 Hydrogen Storage Illustrations &amp; Clip Art - iStock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04800" cy="295275"/>
    <xdr:sp>
      <xdr:nvSpPr>
        <xdr:cNvPr descr="482 Power Grid Worker Illustrations &amp; Clip Art - iStock" id="3" name="Shape 3"/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04800" cy="295275"/>
    <xdr:sp>
      <xdr:nvSpPr>
        <xdr:cNvPr descr="482 Power Grid Worker Illustrations &amp; Clip Art - iStock" id="3" name="Shape 3"/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04800" cy="295275"/>
    <xdr:sp>
      <xdr:nvSpPr>
        <xdr:cNvPr descr="482 Power Grid Worker Illustrations &amp; Clip Art - iStock" id="3" name="Shape 3"/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304800" cy="304800"/>
    <xdr:sp>
      <xdr:nvSpPr>
        <xdr:cNvPr descr="238 Hydrogen Storage Illustrations &amp; Clip Art - iStock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714375</xdr:colOff>
      <xdr:row>3</xdr:row>
      <xdr:rowOff>0</xdr:rowOff>
    </xdr:from>
    <xdr:ext cx="38100" cy="600075"/>
    <xdr:grpSp>
      <xdr:nvGrpSpPr>
        <xdr:cNvPr id="2" name="Shape 2"/>
        <xdr:cNvGrpSpPr/>
      </xdr:nvGrpSpPr>
      <xdr:grpSpPr>
        <a:xfrm>
          <a:off x="5341238" y="3479963"/>
          <a:ext cx="9525" cy="600075"/>
          <a:chOff x="5341238" y="3479963"/>
          <a:chExt cx="9525" cy="600075"/>
        </a:xfrm>
      </xdr:grpSpPr>
      <xdr:cxnSp>
        <xdr:nvCxnSpPr>
          <xdr:cNvPr id="5" name="Shape 5"/>
          <xdr:cNvCxnSpPr/>
        </xdr:nvCxnSpPr>
        <xdr:spPr>
          <a:xfrm flipH="1">
            <a:off x="5341238" y="3479963"/>
            <a:ext cx="9525" cy="60007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676275</xdr:colOff>
      <xdr:row>7</xdr:row>
      <xdr:rowOff>19050</xdr:rowOff>
    </xdr:from>
    <xdr:ext cx="685800" cy="504825"/>
    <xdr:grpSp>
      <xdr:nvGrpSpPr>
        <xdr:cNvPr id="2" name="Shape 2"/>
        <xdr:cNvGrpSpPr/>
      </xdr:nvGrpSpPr>
      <xdr:grpSpPr>
        <a:xfrm>
          <a:off x="5003100" y="3532350"/>
          <a:ext cx="685800" cy="495300"/>
          <a:chOff x="5003100" y="3532350"/>
          <a:chExt cx="685800" cy="495300"/>
        </a:xfrm>
      </xdr:grpSpPr>
      <xdr:cxnSp>
        <xdr:nvCxnSpPr>
          <xdr:cNvPr id="6" name="Shape 6"/>
          <xdr:cNvCxnSpPr/>
        </xdr:nvCxnSpPr>
        <xdr:spPr>
          <a:xfrm>
            <a:off x="5003100" y="3532350"/>
            <a:ext cx="685800" cy="495300"/>
          </a:xfrm>
          <a:prstGeom prst="bentConnector3">
            <a:avLst>
              <a:gd fmla="val 0" name="adj1"/>
            </a:avLst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638175</xdr:colOff>
      <xdr:row>3</xdr:row>
      <xdr:rowOff>9525</xdr:rowOff>
    </xdr:from>
    <xdr:ext cx="38100" cy="590550"/>
    <xdr:grpSp>
      <xdr:nvGrpSpPr>
        <xdr:cNvPr id="2" name="Shape 2"/>
        <xdr:cNvGrpSpPr/>
      </xdr:nvGrpSpPr>
      <xdr:grpSpPr>
        <a:xfrm>
          <a:off x="5346000" y="3484725"/>
          <a:ext cx="0" cy="590550"/>
          <a:chOff x="5346000" y="3484725"/>
          <a:chExt cx="0" cy="590550"/>
        </a:xfrm>
      </xdr:grpSpPr>
      <xdr:cxnSp>
        <xdr:nvCxnSpPr>
          <xdr:cNvPr id="7" name="Shape 7"/>
          <xdr:cNvCxnSpPr/>
        </xdr:nvCxnSpPr>
        <xdr:spPr>
          <a:xfrm>
            <a:off x="5346000" y="3484725"/>
            <a:ext cx="0" cy="59055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914400</xdr:colOff>
      <xdr:row>6</xdr:row>
      <xdr:rowOff>95250</xdr:rowOff>
    </xdr:from>
    <xdr:ext cx="1047750" cy="476250"/>
    <xdr:grpSp>
      <xdr:nvGrpSpPr>
        <xdr:cNvPr id="2" name="Shape 2"/>
        <xdr:cNvGrpSpPr/>
      </xdr:nvGrpSpPr>
      <xdr:grpSpPr>
        <a:xfrm>
          <a:off x="5107875" y="3260888"/>
          <a:ext cx="476250" cy="1038225"/>
          <a:chOff x="5107875" y="3260888"/>
          <a:chExt cx="476250" cy="1038225"/>
        </a:xfrm>
      </xdr:grpSpPr>
      <xdr:cxnSp>
        <xdr:nvCxnSpPr>
          <xdr:cNvPr id="8" name="Shape 8"/>
          <xdr:cNvCxnSpPr/>
        </xdr:nvCxnSpPr>
        <xdr:spPr>
          <a:xfrm rot="5400000">
            <a:off x="5107875" y="3260888"/>
            <a:ext cx="476250" cy="1038225"/>
          </a:xfrm>
          <a:prstGeom prst="bentConnector3">
            <a:avLst>
              <a:gd fmla="val -3846" name="adj1"/>
            </a:avLst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0</xdr:colOff>
      <xdr:row>6</xdr:row>
      <xdr:rowOff>133350</xdr:rowOff>
    </xdr:from>
    <xdr:ext cx="666750" cy="457200"/>
    <xdr:grpSp>
      <xdr:nvGrpSpPr>
        <xdr:cNvPr id="2" name="Shape 2"/>
        <xdr:cNvGrpSpPr/>
      </xdr:nvGrpSpPr>
      <xdr:grpSpPr>
        <a:xfrm>
          <a:off x="5017388" y="3556163"/>
          <a:ext cx="657225" cy="447675"/>
          <a:chOff x="5017388" y="3556163"/>
          <a:chExt cx="657225" cy="447675"/>
        </a:xfrm>
      </xdr:grpSpPr>
      <xdr:cxnSp>
        <xdr:nvCxnSpPr>
          <xdr:cNvPr id="9" name="Shape 9"/>
          <xdr:cNvCxnSpPr/>
        </xdr:nvCxnSpPr>
        <xdr:spPr>
          <a:xfrm>
            <a:off x="5017388" y="3556163"/>
            <a:ext cx="657225" cy="447675"/>
          </a:xfrm>
          <a:prstGeom prst="bentConnector3">
            <a:avLst>
              <a:gd fmla="val 100000" name="adj1"/>
            </a:avLst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76200</xdr:colOff>
      <xdr:row>9</xdr:row>
      <xdr:rowOff>104775</xdr:rowOff>
    </xdr:from>
    <xdr:ext cx="1314450" cy="38100"/>
    <xdr:grpSp>
      <xdr:nvGrpSpPr>
        <xdr:cNvPr id="2" name="Shape 2"/>
        <xdr:cNvGrpSpPr/>
      </xdr:nvGrpSpPr>
      <xdr:grpSpPr>
        <a:xfrm>
          <a:off x="4688775" y="3780000"/>
          <a:ext cx="1314450" cy="0"/>
          <a:chOff x="4688775" y="3780000"/>
          <a:chExt cx="1314450" cy="0"/>
        </a:xfrm>
      </xdr:grpSpPr>
      <xdr:cxnSp>
        <xdr:nvCxnSpPr>
          <xdr:cNvPr id="10" name="Shape 10"/>
          <xdr:cNvCxnSpPr/>
        </xdr:nvCxnSpPr>
        <xdr:spPr>
          <a:xfrm>
            <a:off x="4688775" y="3780000"/>
            <a:ext cx="1314450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19050</xdr:colOff>
      <xdr:row>9</xdr:row>
      <xdr:rowOff>104775</xdr:rowOff>
    </xdr:from>
    <xdr:ext cx="1314450" cy="38100"/>
    <xdr:grpSp>
      <xdr:nvGrpSpPr>
        <xdr:cNvPr id="2" name="Shape 2"/>
        <xdr:cNvGrpSpPr/>
      </xdr:nvGrpSpPr>
      <xdr:grpSpPr>
        <a:xfrm>
          <a:off x="4688775" y="3780000"/>
          <a:ext cx="1314450" cy="0"/>
          <a:chOff x="4688775" y="3780000"/>
          <a:chExt cx="1314450" cy="0"/>
        </a:xfrm>
      </xdr:grpSpPr>
      <xdr:cxnSp>
        <xdr:nvCxnSpPr>
          <xdr:cNvPr id="10" name="Shape 10"/>
          <xdr:cNvCxnSpPr/>
        </xdr:nvCxnSpPr>
        <xdr:spPr>
          <a:xfrm>
            <a:off x="4688775" y="3780000"/>
            <a:ext cx="1314450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638175</xdr:colOff>
      <xdr:row>7</xdr:row>
      <xdr:rowOff>0</xdr:rowOff>
    </xdr:from>
    <xdr:ext cx="38100" cy="371475"/>
    <xdr:grpSp>
      <xdr:nvGrpSpPr>
        <xdr:cNvPr id="2" name="Shape 2"/>
        <xdr:cNvGrpSpPr/>
      </xdr:nvGrpSpPr>
      <xdr:grpSpPr>
        <a:xfrm>
          <a:off x="5346000" y="3594263"/>
          <a:ext cx="0" cy="371475"/>
          <a:chOff x="5346000" y="3594263"/>
          <a:chExt cx="0" cy="371475"/>
        </a:xfrm>
      </xdr:grpSpPr>
      <xdr:cxnSp>
        <xdr:nvCxnSpPr>
          <xdr:cNvPr id="11" name="Shape 11"/>
          <xdr:cNvCxnSpPr/>
        </xdr:nvCxnSpPr>
        <xdr:spPr>
          <a:xfrm rot="10800000">
            <a:off x="5346000" y="3594263"/>
            <a:ext cx="0" cy="37147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638175</xdr:colOff>
      <xdr:row>3</xdr:row>
      <xdr:rowOff>9525</xdr:rowOff>
    </xdr:from>
    <xdr:ext cx="38100" cy="561975"/>
    <xdr:grpSp>
      <xdr:nvGrpSpPr>
        <xdr:cNvPr id="2" name="Shape 2"/>
        <xdr:cNvGrpSpPr/>
      </xdr:nvGrpSpPr>
      <xdr:grpSpPr>
        <a:xfrm>
          <a:off x="5346000" y="3499013"/>
          <a:ext cx="0" cy="561975"/>
          <a:chOff x="5346000" y="3499013"/>
          <a:chExt cx="0" cy="561975"/>
        </a:xfrm>
      </xdr:grpSpPr>
      <xdr:cxnSp>
        <xdr:nvCxnSpPr>
          <xdr:cNvPr id="12" name="Shape 12"/>
          <xdr:cNvCxnSpPr/>
        </xdr:nvCxnSpPr>
        <xdr:spPr>
          <a:xfrm rot="10800000">
            <a:off x="5346000" y="3499013"/>
            <a:ext cx="0" cy="56197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514350</xdr:colOff>
      <xdr:row>5</xdr:row>
      <xdr:rowOff>38100</xdr:rowOff>
    </xdr:from>
    <xdr:ext cx="38100" cy="762000"/>
    <xdr:grpSp>
      <xdr:nvGrpSpPr>
        <xdr:cNvPr id="2" name="Shape 2"/>
        <xdr:cNvGrpSpPr/>
      </xdr:nvGrpSpPr>
      <xdr:grpSpPr>
        <a:xfrm>
          <a:off x="5341238" y="3399000"/>
          <a:ext cx="9525" cy="762000"/>
          <a:chOff x="5341238" y="3399000"/>
          <a:chExt cx="9525" cy="762000"/>
        </a:xfrm>
      </xdr:grpSpPr>
      <xdr:cxnSp>
        <xdr:nvCxnSpPr>
          <xdr:cNvPr id="13" name="Shape 13"/>
          <xdr:cNvCxnSpPr/>
        </xdr:nvCxnSpPr>
        <xdr:spPr>
          <a:xfrm flipH="1" rot="10800000">
            <a:off x="5341238" y="3399000"/>
            <a:ext cx="9525" cy="76200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552450</xdr:colOff>
      <xdr:row>2</xdr:row>
      <xdr:rowOff>104775</xdr:rowOff>
    </xdr:from>
    <xdr:ext cx="1419225" cy="276225"/>
    <xdr:grpSp>
      <xdr:nvGrpSpPr>
        <xdr:cNvPr id="2" name="Shape 2"/>
        <xdr:cNvGrpSpPr/>
      </xdr:nvGrpSpPr>
      <xdr:grpSpPr>
        <a:xfrm>
          <a:off x="4641150" y="3641888"/>
          <a:ext cx="1409700" cy="276225"/>
          <a:chOff x="4641150" y="3641888"/>
          <a:chExt cx="1409700" cy="276225"/>
        </a:xfrm>
      </xdr:grpSpPr>
      <xdr:cxnSp>
        <xdr:nvCxnSpPr>
          <xdr:cNvPr id="14" name="Shape 14"/>
          <xdr:cNvCxnSpPr/>
        </xdr:nvCxnSpPr>
        <xdr:spPr>
          <a:xfrm flipH="1" rot="10800000">
            <a:off x="4641150" y="3641888"/>
            <a:ext cx="1409700" cy="276225"/>
          </a:xfrm>
          <a:prstGeom prst="bentConnector3">
            <a:avLst>
              <a:gd fmla="val 0" name="adj1"/>
            </a:avLst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sinflationcalculator.com/inflation/current-inflation-rates/" TargetMode="External"/><Relationship Id="rId2" Type="http://schemas.openxmlformats.org/officeDocument/2006/relationships/hyperlink" Target="https://gulfenergyinfo.com/h2tech/articles/2021/q3-2021/long-duration-h2-storage-in-solution-mined-salt-caverns-part-1" TargetMode="External"/><Relationship Id="rId3" Type="http://schemas.openxmlformats.org/officeDocument/2006/relationships/hyperlink" Target="https://www.nrel.gov/news/program/2020/answer-to-energy-storage-problem-could-be-hydrogen.html" TargetMode="External"/><Relationship Id="rId4" Type="http://schemas.openxmlformats.org/officeDocument/2006/relationships/hyperlink" Target="https://www.nrel.gov/news/program/2020/answer-to-energy-storage-problem-could-be-hydrogen.html" TargetMode="External"/><Relationship Id="rId5" Type="http://schemas.openxmlformats.org/officeDocument/2006/relationships/hyperlink" Target="https://www.pnnl.gov/sites/default/files/media/file/Hydrogen_Methodology.pdf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oley.com/en/insights/publications/2021/10/new-tax-credit-electric-transmission-property" TargetMode="External"/><Relationship Id="rId2" Type="http://schemas.openxmlformats.org/officeDocument/2006/relationships/hyperlink" Target="https://www.infrastructurereportcard.org/wp-content/uploads/2017/01/Energy-Final.pdf" TargetMode="External"/><Relationship Id="rId3" Type="http://schemas.openxmlformats.org/officeDocument/2006/relationships/hyperlink" Target="https://www.pge.com/pge_global/common/pdfs/about-pge/company-information/regulation/contracts-and-tariffs/WDT-Unit-Costs.pdf" TargetMode="External"/><Relationship Id="rId4" Type="http://schemas.openxmlformats.org/officeDocument/2006/relationships/hyperlink" Target="http://www.caiso.com/Documents/LSACommentsonSmallandLargeGeneratorInterconnectionProceduresDraftFinalProposalandMeeting.pdf" TargetMode="External"/><Relationship Id="rId5" Type="http://schemas.openxmlformats.org/officeDocument/2006/relationships/hyperlink" Target="https://www.pge.com/includes/docs/pdfs/shared/customerservice/nonpgeutility/electrictransmission/tariffs/PGE_Wholesale_Distribution_Tariff.pdf" TargetMode="External"/><Relationship Id="rId6" Type="http://schemas.openxmlformats.org/officeDocument/2006/relationships/hyperlink" Target="https://www.pge.com/tariffs/assets/pdf/tariffbook/ELEC_SCHEDS_B-20.pdf" TargetMode="External"/><Relationship Id="rId7" Type="http://schemas.openxmlformats.org/officeDocument/2006/relationships/hyperlink" Target="https://www.pge.com/includes/docs/pdfs/shared/customerservice/nonpgeutility/electrictransmission/tariffs/PGE_Wholesale_Distribution_Tariff.pdf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6.xml"/><Relationship Id="rId11" Type="http://schemas.openxmlformats.org/officeDocument/2006/relationships/hyperlink" Target="https://www.nrel.gov/docs/fy21osti/77324.pdf" TargetMode="External"/><Relationship Id="rId10" Type="http://schemas.openxmlformats.org/officeDocument/2006/relationships/hyperlink" Target="https://www.nrel.gov/docs/fy21osti/77324.pdf" TargetMode="External"/><Relationship Id="rId13" Type="http://schemas.openxmlformats.org/officeDocument/2006/relationships/hyperlink" Target="https://www.nrel.gov/docs/fy21osti/77324.pdf" TargetMode="External"/><Relationship Id="rId12" Type="http://schemas.openxmlformats.org/officeDocument/2006/relationships/hyperlink" Target="https://www.nrel.gov/docs/fy21osti/77324.pdf" TargetMode="External"/><Relationship Id="rId1" Type="http://schemas.openxmlformats.org/officeDocument/2006/relationships/hyperlink" Target="https://www.sciencedirect.com/science/article/abs/pii/S0306261921007212" TargetMode="External"/><Relationship Id="rId2" Type="http://schemas.openxmlformats.org/officeDocument/2006/relationships/hyperlink" Target="https://ieeexplore.ieee.org/document/9223659" TargetMode="External"/><Relationship Id="rId3" Type="http://schemas.openxmlformats.org/officeDocument/2006/relationships/hyperlink" Target="https://www.nrel.gov/docs/fy21osti/79236.pdf" TargetMode="External"/><Relationship Id="rId4" Type="http://schemas.openxmlformats.org/officeDocument/2006/relationships/hyperlink" Target="https://blog.modo.energy/battery-degradation-explained" TargetMode="External"/><Relationship Id="rId9" Type="http://schemas.openxmlformats.org/officeDocument/2006/relationships/hyperlink" Target="https://www.nrel.gov/docs/fy21osti/77324.pdf" TargetMode="External"/><Relationship Id="rId15" Type="http://schemas.openxmlformats.org/officeDocument/2006/relationships/hyperlink" Target="https://www.nrel.gov/docs/fy21osti/77324.pdf" TargetMode="External"/><Relationship Id="rId14" Type="http://schemas.openxmlformats.org/officeDocument/2006/relationships/hyperlink" Target="https://www.nrel.gov/docs/fy21osti/77324.pdf" TargetMode="External"/><Relationship Id="rId17" Type="http://schemas.openxmlformats.org/officeDocument/2006/relationships/hyperlink" Target="https://blog.modo.energy/battery-degradation-explained" TargetMode="External"/><Relationship Id="rId16" Type="http://schemas.openxmlformats.org/officeDocument/2006/relationships/hyperlink" Target="https://atb.nrel.gov/electricity/2022/utility-scale_battery_storage%20+H3%20proposal" TargetMode="External"/><Relationship Id="rId5" Type="http://schemas.openxmlformats.org/officeDocument/2006/relationships/hyperlink" Target="https://www.troutman.com/insights/new-ira-tax-incentives-for-us-manufacturing-in-renewable-energy-sector.html" TargetMode="External"/><Relationship Id="rId19" Type="http://schemas.openxmlformats.org/officeDocument/2006/relationships/hyperlink" Target="https://www.iso-ne.com/static-assets/documents/2020/12/a9_modeling_of_battery_storage_in_economic_studies.pdf" TargetMode="External"/><Relationship Id="rId6" Type="http://schemas.openxmlformats.org/officeDocument/2006/relationships/hyperlink" Target="https://www.electriccarpartscompany.com/163ah-calb-batteries-l173f163b" TargetMode="External"/><Relationship Id="rId18" Type="http://schemas.openxmlformats.org/officeDocument/2006/relationships/hyperlink" Target="https://www.iso-ne.com/static-assets/documents/2020/12/a9_modeling_of_battery_storage_in_economic_studies.pdf" TargetMode="External"/><Relationship Id="rId7" Type="http://schemas.openxmlformats.org/officeDocument/2006/relationships/hyperlink" Target="https://atb.nrel.gov/electricity/2021/commercial_battery_storage" TargetMode="External"/><Relationship Id="rId8" Type="http://schemas.openxmlformats.org/officeDocument/2006/relationships/hyperlink" Target="https://www.nrel.gov/docs/fy21osti/77324.pdf" TargetMode="Externa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olarempower.com/blog/how-much-money-1-acre-solar-panels-make-income/" TargetMode="External"/><Relationship Id="rId10" Type="http://schemas.openxmlformats.org/officeDocument/2006/relationships/hyperlink" Target="https://www.nrel.gov/docs/fy22osti/83586.pdf" TargetMode="External"/><Relationship Id="rId13" Type="http://schemas.openxmlformats.org/officeDocument/2006/relationships/drawing" Target="../drawings/drawing7.xml"/><Relationship Id="rId12" Type="http://schemas.openxmlformats.org/officeDocument/2006/relationships/hyperlink" Target="https://www.nrel.gov/docs/fy20osti/74840.pdf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eniesolarenergy.com/2022-ira-commercial-solar-implications/" TargetMode="External"/><Relationship Id="rId3" Type="http://schemas.openxmlformats.org/officeDocument/2006/relationships/hyperlink" Target="https://emp.lbl.gov/publications/benchmarking-utility-scale-pv" TargetMode="External"/><Relationship Id="rId4" Type="http://schemas.openxmlformats.org/officeDocument/2006/relationships/hyperlink" Target="https://www.nrel.gov/state-local-tribal/blog/posts/stat-faqs-part2-lifetime-of-pv-panels.html" TargetMode="External"/><Relationship Id="rId9" Type="http://schemas.openxmlformats.org/officeDocument/2006/relationships/hyperlink" Target="https://www.solarempower.com/blog/how-much-money-1-acre-solar-panels-make-income/" TargetMode="External"/><Relationship Id="rId14" Type="http://schemas.openxmlformats.org/officeDocument/2006/relationships/vmlDrawing" Target="../drawings/vmlDrawing1.vml"/><Relationship Id="rId5" Type="http://schemas.openxmlformats.org/officeDocument/2006/relationships/hyperlink" Target="https://www.solarempower.com/blog/10-solar-pv-system-losses-their-impact-on-solar-panel-output/" TargetMode="External"/><Relationship Id="rId6" Type="http://schemas.openxmlformats.org/officeDocument/2006/relationships/hyperlink" Target="https://www.energy.gov/eere/solar/articles/2030-solar-cost-targets" TargetMode="External"/><Relationship Id="rId7" Type="http://schemas.openxmlformats.org/officeDocument/2006/relationships/hyperlink" Target="https://atb.nrel.gov/electricity/2022/utility-scale_pv" TargetMode="External"/><Relationship Id="rId8" Type="http://schemas.openxmlformats.org/officeDocument/2006/relationships/hyperlink" Target="https://www.technologyreview.com/2021/08/19/1032215/solar-panels-recycling/" TargetMode="External"/></Relationships>
</file>

<file path=xl/worksheets/_rels/sheet8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8.xml"/><Relationship Id="rId1" Type="http://schemas.openxmlformats.org/officeDocument/2006/relationships/hyperlink" Target="https://www.sciencedirect.com/science/article/pii/S0360319917339435" TargetMode="External"/><Relationship Id="rId2" Type="http://schemas.openxmlformats.org/officeDocument/2006/relationships/hyperlink" Target="https://www.bakerbotts.com/thought-leadership/publications/2022/august/clean-hydrogen-and-fuel-cell-incentives-in-the-inflation-reduction-act-of-2022" TargetMode="External"/><Relationship Id="rId3" Type="http://schemas.openxmlformats.org/officeDocument/2006/relationships/hyperlink" Target="https://www.irena.org/-/media/Files/IRENA/Agency/Publication/2020/Dec/IRENA_Green_hydrogen_cost_2020.pdf" TargetMode="External"/><Relationship Id="rId4" Type="http://schemas.openxmlformats.org/officeDocument/2006/relationships/hyperlink" Target="https://www.pnnl.gov/sites/default/files/media/file/Hydrogen_Methodology.pdf" TargetMode="External"/><Relationship Id="rId9" Type="http://schemas.openxmlformats.org/officeDocument/2006/relationships/hyperlink" Target="https://www.cell.com/cell-reports-physical-science/pdfExtended/S2666-3864(20)30224-1" TargetMode="External"/><Relationship Id="rId5" Type="http://schemas.openxmlformats.org/officeDocument/2006/relationships/hyperlink" Target="https://www.mdpi.com/1996-1073/15/4/1415" TargetMode="External"/><Relationship Id="rId6" Type="http://schemas.openxmlformats.org/officeDocument/2006/relationships/hyperlink" Target="https://www.mdpi.com/1996-1073/15/4/1415" TargetMode="External"/><Relationship Id="rId7" Type="http://schemas.openxmlformats.org/officeDocument/2006/relationships/hyperlink" Target="https://www.mdpi.com/1996-1073/15/4/1415" TargetMode="External"/><Relationship Id="rId8" Type="http://schemas.openxmlformats.org/officeDocument/2006/relationships/hyperlink" Target="https://www.irena.org/-/media/Files/IRENA/Agency/Publication/2020/Dec/IRENA_Green_hydrogen_cost_2020.pdf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4.11"/>
    <col customWidth="1" min="2" max="2" width="20.11"/>
    <col customWidth="1" min="3" max="3" width="50.67"/>
    <col customWidth="1" min="4" max="4" width="15.33"/>
    <col customWidth="1" min="5" max="5" width="14.44"/>
    <col customWidth="1" min="6" max="6" width="19.11"/>
    <col customWidth="1" min="7" max="7" width="20.33"/>
    <col customWidth="1" min="8" max="8" width="21.11"/>
    <col customWidth="1" min="9" max="9" width="14.11"/>
    <col customWidth="1" min="10" max="10" width="21.78"/>
    <col customWidth="1" min="11" max="22" width="14.11"/>
    <col customWidth="1" min="23" max="26" width="10.56"/>
  </cols>
  <sheetData>
    <row r="1" ht="15.75" customHeight="1">
      <c r="A1" s="1" t="s">
        <v>0</v>
      </c>
      <c r="B1" s="2"/>
      <c r="C1" s="2" t="s">
        <v>1</v>
      </c>
    </row>
    <row r="2" ht="15.75" customHeight="1">
      <c r="A2" s="3" t="s">
        <v>2</v>
      </c>
      <c r="B2" s="4">
        <v>20.0</v>
      </c>
      <c r="C2" s="3" t="s">
        <v>3</v>
      </c>
    </row>
    <row r="3" ht="15.75" customHeight="1">
      <c r="A3" s="3" t="s">
        <v>4</v>
      </c>
      <c r="B3" s="3">
        <v>2023.0</v>
      </c>
    </row>
    <row r="4" ht="15.75" customHeight="1">
      <c r="A4" s="3" t="s">
        <v>5</v>
      </c>
      <c r="B4" s="3">
        <v>0.7</v>
      </c>
      <c r="C4" s="3" t="s">
        <v>6</v>
      </c>
    </row>
    <row r="5" ht="15.75" customHeight="1">
      <c r="A5" s="3" t="s">
        <v>7</v>
      </c>
      <c r="B5" s="5">
        <v>0.21</v>
      </c>
    </row>
    <row r="6" ht="15.75" customHeight="1">
      <c r="A6" s="3" t="s">
        <v>8</v>
      </c>
      <c r="B6" s="6">
        <f>B49*B51*1000*24/Electrolyser_Heating_Value</f>
        <v>24286.75732</v>
      </c>
      <c r="C6" s="3" t="s">
        <v>9</v>
      </c>
    </row>
    <row r="7" ht="15.75" customHeight="1"/>
    <row r="8" ht="15.75" customHeight="1"/>
    <row r="9" ht="15.75" customHeight="1">
      <c r="A9" s="1" t="s">
        <v>10</v>
      </c>
    </row>
    <row r="10" ht="15.75" customHeight="1">
      <c r="A10" s="3" t="s">
        <v>11</v>
      </c>
      <c r="B10" s="7">
        <v>0.12</v>
      </c>
      <c r="C10" s="3" t="s">
        <v>12</v>
      </c>
    </row>
    <row r="11" ht="15.75" customHeight="1">
      <c r="A11" s="3" t="s">
        <v>13</v>
      </c>
      <c r="B11" s="4">
        <v>365.0</v>
      </c>
      <c r="C11" s="3" t="s">
        <v>14</v>
      </c>
    </row>
    <row r="12" ht="15.75" customHeight="1">
      <c r="A12" s="3" t="s">
        <v>15</v>
      </c>
      <c r="B12" s="4">
        <v>2022.0</v>
      </c>
      <c r="C12" s="3" t="s">
        <v>3</v>
      </c>
    </row>
    <row r="13" ht="15.75" customHeight="1">
      <c r="A13" s="3" t="s">
        <v>16</v>
      </c>
      <c r="B13" s="7">
        <v>0.0292</v>
      </c>
      <c r="C13" s="3" t="s">
        <v>17</v>
      </c>
      <c r="D13" s="8" t="s">
        <v>18</v>
      </c>
    </row>
    <row r="14" ht="15.75" customHeight="1">
      <c r="A14" s="3" t="s">
        <v>19</v>
      </c>
      <c r="B14" s="7">
        <v>0.015</v>
      </c>
      <c r="C14" s="3" t="s">
        <v>20</v>
      </c>
    </row>
    <row r="15" ht="15.75" customHeight="1">
      <c r="A15" s="3" t="s">
        <v>21</v>
      </c>
      <c r="B15" s="5">
        <v>0.1</v>
      </c>
      <c r="C15" s="9" t="s">
        <v>22</v>
      </c>
    </row>
    <row r="16" ht="15.75" customHeight="1"/>
    <row r="17" ht="15.75" customHeight="1">
      <c r="A17" s="10" t="s">
        <v>23</v>
      </c>
      <c r="B17" s="11"/>
      <c r="F17" s="12">
        <f t="shared" ref="F17:F18" si="1">B25-C25</f>
        <v>4799821.277</v>
      </c>
      <c r="G17" s="12">
        <f t="shared" ref="G17:G18" si="2">B31-C31</f>
        <v>120806537.7</v>
      </c>
    </row>
    <row r="18" ht="15.75" customHeight="1">
      <c r="A18" s="3" t="s">
        <v>24</v>
      </c>
      <c r="B18" s="13">
        <v>33.6</v>
      </c>
      <c r="F18" s="12">
        <f t="shared" si="1"/>
        <v>1375772.095</v>
      </c>
      <c r="G18" s="12">
        <f t="shared" si="2"/>
        <v>39516875.87</v>
      </c>
    </row>
    <row r="19" ht="15.75" customHeight="1"/>
    <row r="20" ht="15.75" customHeight="1">
      <c r="A20" s="3" t="s">
        <v>25</v>
      </c>
      <c r="B20" s="3">
        <v>6.58</v>
      </c>
    </row>
    <row r="21" ht="15.75" customHeight="1"/>
    <row r="22" ht="15.75" customHeight="1">
      <c r="A22" s="2" t="s">
        <v>26</v>
      </c>
      <c r="B22" s="14" t="s">
        <v>27</v>
      </c>
      <c r="C22" s="3" t="s">
        <v>27</v>
      </c>
      <c r="D22" s="3" t="s">
        <v>28</v>
      </c>
      <c r="E22" s="3" t="s">
        <v>29</v>
      </c>
    </row>
    <row r="23" ht="15.75" customHeight="1"/>
    <row r="24" ht="15.75" customHeight="1">
      <c r="A24" s="10" t="s">
        <v>30</v>
      </c>
      <c r="D24" s="2"/>
    </row>
    <row r="25" ht="15.75" customHeight="1">
      <c r="A25" s="3" t="s">
        <v>31</v>
      </c>
      <c r="B25" s="15">
        <f>Grid_Total_Capex</f>
        <v>42643522.51</v>
      </c>
      <c r="C25" s="16">
        <v>3.784370122933641E7</v>
      </c>
    </row>
    <row r="26" ht="15.75" customHeight="1">
      <c r="A26" s="3" t="s">
        <v>32</v>
      </c>
      <c r="B26" s="15">
        <f>Grid_Total_Opex</f>
        <v>16823699.19</v>
      </c>
      <c r="C26" s="16">
        <v>1.544792709333333E7</v>
      </c>
      <c r="H26" s="2" t="s">
        <v>33</v>
      </c>
    </row>
    <row r="27" ht="15.75" customHeight="1">
      <c r="A27" s="3" t="s">
        <v>34</v>
      </c>
      <c r="B27" s="15">
        <f>Grid_Total</f>
        <v>59467221.69</v>
      </c>
      <c r="C27" s="16">
        <v>5.3291628322669744E7</v>
      </c>
      <c r="D27" s="3" t="s">
        <v>35</v>
      </c>
      <c r="E27" s="3" t="s">
        <v>35</v>
      </c>
      <c r="H27" s="3" t="s">
        <v>36</v>
      </c>
      <c r="I27" s="15">
        <v>202.0</v>
      </c>
    </row>
    <row r="28" ht="15.75" customHeight="1">
      <c r="A28" s="3" t="s">
        <v>37</v>
      </c>
      <c r="B28" s="17">
        <f>IF($B$22="Microgrid",B49,IF($B$22="Grid_PGE",D28,E28))</f>
        <v>54.45293381</v>
      </c>
      <c r="C28" s="3" t="s">
        <v>38</v>
      </c>
      <c r="D28" s="18">
        <v>50.0</v>
      </c>
      <c r="E28" s="3">
        <v>50.0</v>
      </c>
      <c r="H28" s="3" t="s">
        <v>39</v>
      </c>
      <c r="I28" s="15">
        <f>ROUND((1000*(28.04 + 3.13)/12)/(24*$B$51),2)</f>
        <v>108.23</v>
      </c>
    </row>
    <row r="29" ht="15.75" customHeight="1">
      <c r="A29" s="3" t="s">
        <v>40</v>
      </c>
      <c r="B29" s="19" t="s">
        <v>41</v>
      </c>
      <c r="H29" s="3" t="s">
        <v>42</v>
      </c>
      <c r="I29" s="20">
        <f>I27+I28</f>
        <v>310.23</v>
      </c>
    </row>
    <row r="30" ht="15.75" customHeight="1">
      <c r="B30" s="15"/>
      <c r="H30" s="3" t="s">
        <v>43</v>
      </c>
      <c r="I30" s="5">
        <v>0.3</v>
      </c>
      <c r="J30" s="3" t="s">
        <v>44</v>
      </c>
    </row>
    <row r="31" ht="15.75" customHeight="1">
      <c r="A31" s="3" t="s">
        <v>45</v>
      </c>
      <c r="B31" s="15">
        <f>Battery_Total_Capex</f>
        <v>148344396</v>
      </c>
      <c r="C31" s="16">
        <v>2.7537858328834083E7</v>
      </c>
    </row>
    <row r="32" ht="15.75" customHeight="1">
      <c r="A32" s="3" t="s">
        <v>46</v>
      </c>
      <c r="B32" s="15">
        <f>Battery_Total_Opex</f>
        <v>48267662.37</v>
      </c>
      <c r="C32" s="16">
        <v>8750786.5</v>
      </c>
    </row>
    <row r="33" ht="15.75" customHeight="1">
      <c r="A33" s="3" t="s">
        <v>47</v>
      </c>
      <c r="B33" s="15">
        <f>Battery_Total</f>
        <v>196612058.4</v>
      </c>
      <c r="C33" s="3">
        <v>3.628864482883409E7</v>
      </c>
      <c r="D33" s="3" t="s">
        <v>35</v>
      </c>
      <c r="E33" s="3" t="s">
        <v>35</v>
      </c>
    </row>
    <row r="34" ht="15.75" customHeight="1">
      <c r="A34" s="3" t="s">
        <v>48</v>
      </c>
      <c r="B34" s="17">
        <f>IF(B22="Microgrid",B35/'Battery Capex-Opex'!B9,IF(B22="Microgrid",D34,E34))</f>
        <v>563.5516946</v>
      </c>
      <c r="D34" s="18">
        <v>100.0</v>
      </c>
      <c r="E34" s="3">
        <v>50.0</v>
      </c>
    </row>
    <row r="35" ht="15.75" customHeight="1">
      <c r="A35" s="3" t="s">
        <v>49</v>
      </c>
      <c r="B35" s="21">
        <f>B42*Solar_MWH_per_MW*(POWER((B42-B49)/B42, 3))</f>
        <v>507.1965251</v>
      </c>
      <c r="C35" s="3" t="s">
        <v>50</v>
      </c>
    </row>
    <row r="36" ht="15.75" customHeight="1">
      <c r="A36" s="3" t="s">
        <v>51</v>
      </c>
      <c r="B36" s="21">
        <f>IF(B22="Microgrid",B35,IF(B22="Grid_PGE",D34,E34))*(1-Battery_loss)</f>
        <v>498.0669877</v>
      </c>
      <c r="H36" s="2" t="s">
        <v>41</v>
      </c>
    </row>
    <row r="37" ht="15.75" customHeight="1">
      <c r="B37" s="21"/>
      <c r="H37" s="3" t="s">
        <v>36</v>
      </c>
      <c r="I37" s="15">
        <v>37.8</v>
      </c>
    </row>
    <row r="38" ht="15.75" customHeight="1">
      <c r="A38" s="1"/>
      <c r="B38" s="15"/>
      <c r="H38" s="3" t="s">
        <v>52</v>
      </c>
      <c r="I38" s="5">
        <f>ROUND(55.17/37.8,2)-1</f>
        <v>0.46</v>
      </c>
    </row>
    <row r="39" ht="15.75" customHeight="1">
      <c r="A39" s="3" t="s">
        <v>53</v>
      </c>
      <c r="B39" s="15">
        <f>Solar_Total_Capex</f>
        <v>119676763.1</v>
      </c>
    </row>
    <row r="40" ht="15.75" customHeight="1">
      <c r="A40" s="3" t="s">
        <v>54</v>
      </c>
      <c r="B40" s="15">
        <f>Solar_Total_Opex</f>
        <v>21696642.2</v>
      </c>
    </row>
    <row r="41" ht="15.75" customHeight="1">
      <c r="A41" s="3" t="s">
        <v>55</v>
      </c>
      <c r="B41" s="15">
        <f>Solar_Total</f>
        <v>141373405.3</v>
      </c>
    </row>
    <row r="42" ht="15.75" customHeight="1">
      <c r="A42" s="3" t="s">
        <v>56</v>
      </c>
      <c r="B42" s="18">
        <v>200.0</v>
      </c>
      <c r="D42" s="14"/>
    </row>
    <row r="43" ht="15.75" customHeight="1">
      <c r="A43" s="3" t="s">
        <v>57</v>
      </c>
      <c r="B43" s="21">
        <f>B42*Solar_MWH_per_MW</f>
        <v>1316</v>
      </c>
      <c r="C43" s="3" t="s">
        <v>58</v>
      </c>
    </row>
    <row r="44" ht="15.75" customHeight="1">
      <c r="B44" s="15"/>
    </row>
    <row r="45" ht="15.75" customHeight="1">
      <c r="A45" s="3" t="s">
        <v>59</v>
      </c>
      <c r="B45" s="15">
        <f>Electrolyser_Total_Capex</f>
        <v>101280088.2</v>
      </c>
    </row>
    <row r="46" ht="15.75" customHeight="1">
      <c r="A46" s="3" t="s">
        <v>60</v>
      </c>
      <c r="B46" s="15">
        <f>Electrolyser_Total_Opex</f>
        <v>20878665.06</v>
      </c>
    </row>
    <row r="47" ht="15.75" customHeight="1">
      <c r="A47" s="3" t="s">
        <v>61</v>
      </c>
      <c r="B47" s="15">
        <f>Electolyser_Total</f>
        <v>122158753.2</v>
      </c>
    </row>
    <row r="48" ht="15.75" customHeight="1">
      <c r="A48" s="3" t="s">
        <v>62</v>
      </c>
      <c r="B48" s="15">
        <f>IF(B22="Microgrid", Electolyser_Total_With_ITC, Electolyser_Total)</f>
        <v>85511127.26</v>
      </c>
      <c r="C48" s="3" t="s">
        <v>63</v>
      </c>
      <c r="D48" s="3" t="s">
        <v>35</v>
      </c>
      <c r="E48" s="3" t="s">
        <v>35</v>
      </c>
      <c r="F48" s="16">
        <v>1.2238781940822862E8</v>
      </c>
      <c r="G48" s="12">
        <f>F48-B48</f>
        <v>36876692.15</v>
      </c>
    </row>
    <row r="49" ht="15.75" customHeight="1">
      <c r="A49" s="3" t="s">
        <v>64</v>
      </c>
      <c r="B49" s="17">
        <v>54.4529338133159</v>
      </c>
      <c r="C49" s="3" t="s">
        <v>65</v>
      </c>
    </row>
    <row r="50" ht="15.75" customHeight="1">
      <c r="A50" s="3" t="s">
        <v>66</v>
      </c>
      <c r="B50" s="13">
        <f>B49*24/B51</f>
        <v>1306.870412</v>
      </c>
      <c r="D50" s="3" t="s">
        <v>35</v>
      </c>
      <c r="E50" s="3" t="s">
        <v>35</v>
      </c>
    </row>
    <row r="51" ht="15.75" customHeight="1">
      <c r="A51" s="3" t="s">
        <v>67</v>
      </c>
      <c r="B51" s="22">
        <v>1.0</v>
      </c>
    </row>
    <row r="52" ht="15.75" customHeight="1"/>
    <row r="53" ht="15.75" customHeight="1">
      <c r="B53" s="13"/>
    </row>
    <row r="54" ht="15.75" customHeight="1">
      <c r="A54" s="3" t="s">
        <v>68</v>
      </c>
      <c r="B54" s="13">
        <f>B43-(B35-B36)-B50</f>
        <v>0.00005102830323</v>
      </c>
      <c r="C54" s="3" t="s">
        <v>69</v>
      </c>
    </row>
    <row r="55" ht="15.75" customHeight="1">
      <c r="B55" s="15"/>
      <c r="C55" s="3" t="s">
        <v>70</v>
      </c>
    </row>
    <row r="56" ht="15.75" customHeight="1">
      <c r="A56" s="3" t="s">
        <v>71</v>
      </c>
      <c r="B56" s="15">
        <f>MAX(-B54, 0)*I29*I30*365*(1 - POWER(1/(1+IRR),Project_Lifetime))/IRR</f>
        <v>0</v>
      </c>
    </row>
    <row r="57" ht="15.75" customHeight="1">
      <c r="A57" s="3" t="s">
        <v>72</v>
      </c>
      <c r="B57" s="15">
        <f>MAX(-B54, 0)*(1+I38)*I37*365*(1 - POWER(1/(1+IRR),Project_Lifetime))/IRR</f>
        <v>0</v>
      </c>
    </row>
    <row r="58" ht="15.75" customHeight="1">
      <c r="B58" s="15"/>
    </row>
    <row r="59" ht="15.75" customHeight="1">
      <c r="A59" s="3" t="s">
        <v>73</v>
      </c>
      <c r="B59" s="23">
        <f>Labor_Total</f>
        <v>46618172.98</v>
      </c>
      <c r="D59" s="8"/>
    </row>
    <row r="60" ht="15.75" customHeight="1"/>
    <row r="61" ht="15.75" customHeight="1">
      <c r="A61" s="3" t="s">
        <v>74</v>
      </c>
      <c r="B61" s="15">
        <f>B27+B33+B41+B47</f>
        <v>519611438.6</v>
      </c>
    </row>
    <row r="62" ht="15.75" customHeight="1">
      <c r="A62" s="3" t="s">
        <v>75</v>
      </c>
      <c r="B62" s="15">
        <f>IF(B22="Microgrid", 0, IF(B22 = "Grid_PGE", B56, B57))</f>
        <v>0</v>
      </c>
    </row>
    <row r="63" ht="15.75" customHeight="1">
      <c r="A63" s="2" t="s">
        <v>76</v>
      </c>
      <c r="B63" s="15">
        <f>B61+B62</f>
        <v>519611438.6</v>
      </c>
    </row>
    <row r="64" ht="15.75" customHeight="1"/>
    <row r="65" ht="15.75" customHeight="1">
      <c r="A65" s="3" t="s">
        <v>77</v>
      </c>
      <c r="B65" s="24">
        <f>ROUND(B63/B70,2)</f>
        <v>7.01</v>
      </c>
    </row>
    <row r="66" ht="15.75" customHeight="1">
      <c r="A66" s="3" t="s">
        <v>78</v>
      </c>
      <c r="B66" s="15">
        <f>IF(B22="Microgrid", -3, 0)</f>
        <v>-3</v>
      </c>
    </row>
    <row r="67" ht="15.75" customHeight="1">
      <c r="A67" s="3" t="s">
        <v>42</v>
      </c>
      <c r="B67" s="24">
        <f>B65+B66</f>
        <v>4.01</v>
      </c>
    </row>
    <row r="68" ht="15.75" customHeight="1">
      <c r="B68" s="15"/>
    </row>
    <row r="69" ht="15.75" customHeight="1">
      <c r="A69" s="1" t="s">
        <v>79</v>
      </c>
      <c r="B69" s="2" t="s">
        <v>42</v>
      </c>
      <c r="C69" s="3">
        <v>1.0</v>
      </c>
      <c r="D69" s="3">
        <f t="shared" ref="D69:V69" si="3">C69+1</f>
        <v>2</v>
      </c>
      <c r="E69" s="3">
        <f t="shared" si="3"/>
        <v>3</v>
      </c>
      <c r="F69" s="3">
        <f t="shared" si="3"/>
        <v>4</v>
      </c>
      <c r="G69" s="3">
        <f t="shared" si="3"/>
        <v>5</v>
      </c>
      <c r="H69" s="3">
        <f t="shared" si="3"/>
        <v>6</v>
      </c>
      <c r="I69" s="3">
        <f t="shared" si="3"/>
        <v>7</v>
      </c>
      <c r="J69" s="3">
        <f t="shared" si="3"/>
        <v>8</v>
      </c>
      <c r="K69" s="3">
        <f t="shared" si="3"/>
        <v>9</v>
      </c>
      <c r="L69" s="3">
        <f t="shared" si="3"/>
        <v>10</v>
      </c>
      <c r="M69" s="3">
        <f t="shared" si="3"/>
        <v>11</v>
      </c>
      <c r="N69" s="3">
        <f t="shared" si="3"/>
        <v>12</v>
      </c>
      <c r="O69" s="3">
        <f t="shared" si="3"/>
        <v>13</v>
      </c>
      <c r="P69" s="3">
        <f t="shared" si="3"/>
        <v>14</v>
      </c>
      <c r="Q69" s="3">
        <f t="shared" si="3"/>
        <v>15</v>
      </c>
      <c r="R69" s="3">
        <f t="shared" si="3"/>
        <v>16</v>
      </c>
      <c r="S69" s="3">
        <f t="shared" si="3"/>
        <v>17</v>
      </c>
      <c r="T69" s="3">
        <f t="shared" si="3"/>
        <v>18</v>
      </c>
      <c r="U69" s="3">
        <f t="shared" si="3"/>
        <v>19</v>
      </c>
      <c r="V69" s="3">
        <f t="shared" si="3"/>
        <v>20</v>
      </c>
    </row>
    <row r="70" ht="15.75" customHeight="1">
      <c r="A70" s="3" t="s">
        <v>80</v>
      </c>
      <c r="B70" s="25">
        <f>SUM(C70:V70)</f>
        <v>74159821.22</v>
      </c>
      <c r="C70" s="25">
        <f>H2_Day*365</f>
        <v>8864666.423</v>
      </c>
      <c r="D70" s="25">
        <f>C70/(1+IRR)</f>
        <v>7914880.735</v>
      </c>
      <c r="E70" s="25">
        <f>D70/(1+IRR)</f>
        <v>7066857.799</v>
      </c>
      <c r="F70" s="25">
        <f>E70/(1+IRR)</f>
        <v>6309694.463</v>
      </c>
      <c r="G70" s="25">
        <f>F70/(1+IRR)</f>
        <v>5633655.771</v>
      </c>
      <c r="H70" s="25">
        <f>G70/(1+IRR)</f>
        <v>5030049.795</v>
      </c>
      <c r="I70" s="25">
        <f>H70/(1+IRR)</f>
        <v>4491115.889</v>
      </c>
      <c r="J70" s="25">
        <f>I70/(1+IRR)</f>
        <v>4009924.901</v>
      </c>
      <c r="K70" s="25">
        <f>J70/(1+IRR)</f>
        <v>3580290.09</v>
      </c>
      <c r="L70" s="25">
        <f>K70/(1+IRR)</f>
        <v>3196687.58</v>
      </c>
      <c r="M70" s="25">
        <f>L70/(1+IRR)</f>
        <v>2854185.339</v>
      </c>
      <c r="N70" s="25">
        <f>M70/(1+IRR)</f>
        <v>2548379.767</v>
      </c>
      <c r="O70" s="25">
        <f>N70/(1+IRR)</f>
        <v>2275339.078</v>
      </c>
      <c r="P70" s="25">
        <f>O70/(1+IRR)</f>
        <v>2031552.748</v>
      </c>
      <c r="Q70" s="25">
        <f>P70/(1+IRR)</f>
        <v>1813886.382</v>
      </c>
      <c r="R70" s="25">
        <f>Q70/(1+IRR)</f>
        <v>1619541.413</v>
      </c>
      <c r="S70" s="25">
        <f>R70/(1+IRR)</f>
        <v>1446019.119</v>
      </c>
      <c r="T70" s="25">
        <f>S70/(1+IRR)</f>
        <v>1291088.499</v>
      </c>
      <c r="U70" s="25">
        <f>T70/(1+IRR)</f>
        <v>1152757.588</v>
      </c>
      <c r="V70" s="25">
        <f>U70/(1+IRR)</f>
        <v>1029247.847</v>
      </c>
    </row>
    <row r="71" ht="15.75" customHeight="1">
      <c r="A71" s="26"/>
    </row>
    <row r="72" ht="15.75" customHeight="1">
      <c r="A72" s="11"/>
      <c r="B72" s="27"/>
      <c r="D72" s="28"/>
    </row>
    <row r="73" ht="15.75" customHeight="1">
      <c r="A73" s="29" t="s">
        <v>81</v>
      </c>
      <c r="B73" s="30"/>
      <c r="D73" s="31"/>
    </row>
    <row r="74" ht="15.75" customHeight="1">
      <c r="A74" s="11" t="s">
        <v>82</v>
      </c>
      <c r="B74" s="32"/>
    </row>
    <row r="75" ht="15.75" customHeight="1">
      <c r="A75" s="11"/>
      <c r="B75" s="30"/>
    </row>
    <row r="76" ht="15.75" customHeight="1">
      <c r="B76" s="30"/>
    </row>
    <row r="77" ht="15.75" customHeight="1">
      <c r="A77" s="11"/>
      <c r="B77" s="7"/>
    </row>
    <row r="78" ht="15.75" customHeight="1">
      <c r="A78" s="11"/>
      <c r="B78" s="33"/>
    </row>
    <row r="79" ht="15.75" customHeight="1">
      <c r="A79" s="11"/>
      <c r="B79" s="32"/>
      <c r="C79" s="11"/>
      <c r="D79" s="8"/>
    </row>
    <row r="80" ht="15.75" customHeight="1">
      <c r="A80" s="11"/>
      <c r="B80" s="34"/>
      <c r="D80" s="31"/>
    </row>
    <row r="81" ht="15.75" customHeight="1">
      <c r="A81" s="11"/>
      <c r="B81" s="5"/>
      <c r="D81" s="8"/>
    </row>
    <row r="82" ht="15.75" customHeight="1">
      <c r="A82" s="11"/>
    </row>
    <row r="83" ht="15.75" customHeight="1">
      <c r="A83" s="11"/>
    </row>
    <row r="84" ht="15.75" customHeight="1">
      <c r="A84" s="11"/>
    </row>
    <row r="85" ht="15.75" customHeight="1">
      <c r="A85" s="11"/>
    </row>
    <row r="86" ht="15.75" customHeight="1">
      <c r="A86" s="11"/>
    </row>
    <row r="87" ht="15.75" customHeight="1">
      <c r="A87" s="35"/>
    </row>
    <row r="88" ht="15.75" customHeight="1">
      <c r="A88" s="35"/>
    </row>
    <row r="89" ht="15.75" customHeight="1"/>
    <row r="90" ht="15.75" customHeight="1"/>
    <row r="91" ht="15.75" customHeight="1"/>
    <row r="92" ht="15.75" customHeight="1"/>
    <row r="93" ht="15.75" customHeight="1">
      <c r="A93" s="36" t="s">
        <v>83</v>
      </c>
      <c r="B93" s="37"/>
      <c r="D93" s="8"/>
    </row>
    <row r="94" ht="15.75" customHeight="1"/>
    <row r="95" ht="15.75" customHeight="1">
      <c r="A95" s="10" t="s">
        <v>84</v>
      </c>
      <c r="B95" s="3">
        <v>2022.0</v>
      </c>
    </row>
    <row r="96" ht="15.75" customHeight="1">
      <c r="A96" s="11" t="s">
        <v>85</v>
      </c>
      <c r="B96" s="30">
        <v>0.0025</v>
      </c>
      <c r="C96" s="3" t="s">
        <v>86</v>
      </c>
      <c r="D96" s="31" t="s">
        <v>87</v>
      </c>
    </row>
    <row r="97" ht="15.75" customHeight="1">
      <c r="A97" s="11" t="s">
        <v>88</v>
      </c>
      <c r="B97" s="38">
        <v>30.0</v>
      </c>
      <c r="C97" s="3" t="s">
        <v>89</v>
      </c>
      <c r="D97" s="8" t="s">
        <v>90</v>
      </c>
    </row>
    <row r="98" ht="15.75" customHeight="1">
      <c r="A98" s="11" t="s">
        <v>91</v>
      </c>
      <c r="B98" s="30">
        <v>0.6</v>
      </c>
      <c r="C98" s="3" t="s">
        <v>89</v>
      </c>
      <c r="D98" s="8" t="s">
        <v>90</v>
      </c>
    </row>
    <row r="99" ht="15.75" customHeight="1">
      <c r="A99" s="11" t="s">
        <v>92</v>
      </c>
      <c r="B99" s="30">
        <v>0.02</v>
      </c>
      <c r="C99" s="3" t="s">
        <v>93</v>
      </c>
      <c r="D99" s="8" t="s">
        <v>94</v>
      </c>
    </row>
    <row r="100" ht="15.75" customHeight="1">
      <c r="A100" s="36" t="s">
        <v>83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9">
      <formula1>'GRID Capex-Opex'!$C$2:$E$2</formula1>
    </dataValidation>
    <dataValidation type="list" allowBlank="1" showErrorMessage="1" sqref="B22">
      <formula1>$C$22:$E$22</formula1>
    </dataValidation>
  </dataValidations>
  <hyperlinks>
    <hyperlink r:id="rId1" location=":~:text=The%20annual%20inflation%20rate%20for,ET. " ref="D13"/>
    <hyperlink r:id="rId2" location=":~:text=H2%20in%20storage%20does,energy%20efficiency%20remains%20constant%20indefinitely. " ref="D96"/>
    <hyperlink r:id="rId3" ref="D97"/>
    <hyperlink r:id="rId4" ref="D98"/>
    <hyperlink r:id="rId5" ref="D99"/>
  </hyperlinks>
  <printOptions/>
  <pageMargins bottom="0.75" footer="0.0" header="0.0" left="0.7" right="0.7" top="0.75"/>
  <pageSetup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51.0"/>
    <col customWidth="1" min="3" max="3" width="10.78"/>
    <col customWidth="1" min="4" max="4" width="13.11"/>
    <col customWidth="1" min="5" max="5" width="15.44"/>
    <col customWidth="1" min="6" max="6" width="13.11"/>
    <col customWidth="1" min="7" max="24" width="12.11"/>
    <col customWidth="1" min="25" max="26" width="10.56"/>
  </cols>
  <sheetData>
    <row r="1" ht="15.75" customHeight="1">
      <c r="C1" s="39"/>
      <c r="D1" s="39"/>
      <c r="E1" s="3">
        <v>1.0</v>
      </c>
      <c r="F1" s="3">
        <f t="shared" ref="F1:X1" si="1">E1+1</f>
        <v>2</v>
      </c>
      <c r="G1" s="3">
        <f t="shared" si="1"/>
        <v>3</v>
      </c>
      <c r="H1" s="3">
        <f t="shared" si="1"/>
        <v>4</v>
      </c>
      <c r="I1" s="3">
        <f t="shared" si="1"/>
        <v>5</v>
      </c>
      <c r="J1" s="3">
        <f t="shared" si="1"/>
        <v>6</v>
      </c>
      <c r="K1" s="3">
        <f t="shared" si="1"/>
        <v>7</v>
      </c>
      <c r="L1" s="3">
        <f t="shared" si="1"/>
        <v>8</v>
      </c>
      <c r="M1" s="3">
        <f t="shared" si="1"/>
        <v>9</v>
      </c>
      <c r="N1" s="3">
        <f t="shared" si="1"/>
        <v>10</v>
      </c>
      <c r="O1" s="3">
        <f t="shared" si="1"/>
        <v>11</v>
      </c>
      <c r="P1" s="3">
        <f t="shared" si="1"/>
        <v>12</v>
      </c>
      <c r="Q1" s="3">
        <f t="shared" si="1"/>
        <v>13</v>
      </c>
      <c r="R1" s="3">
        <f t="shared" si="1"/>
        <v>14</v>
      </c>
      <c r="S1" s="3">
        <f t="shared" si="1"/>
        <v>15</v>
      </c>
      <c r="T1" s="3">
        <f t="shared" si="1"/>
        <v>16</v>
      </c>
      <c r="U1" s="3">
        <f t="shared" si="1"/>
        <v>17</v>
      </c>
      <c r="V1" s="3">
        <f t="shared" si="1"/>
        <v>18</v>
      </c>
      <c r="W1" s="3">
        <f t="shared" si="1"/>
        <v>19</v>
      </c>
      <c r="X1" s="3">
        <f t="shared" si="1"/>
        <v>20</v>
      </c>
    </row>
    <row r="2" ht="15.75" customHeight="1">
      <c r="B2" s="3" t="s">
        <v>95</v>
      </c>
      <c r="C2" s="39" t="s">
        <v>96</v>
      </c>
      <c r="D2" s="39"/>
    </row>
    <row r="3" ht="15.75" customHeight="1">
      <c r="C3" s="39"/>
      <c r="D3" s="39"/>
    </row>
    <row r="4" ht="15.75" customHeight="1">
      <c r="B4" s="40" t="s">
        <v>97</v>
      </c>
      <c r="C4" s="39"/>
      <c r="D4" s="39"/>
    </row>
    <row r="5" ht="15.75" customHeight="1">
      <c r="B5" s="40"/>
      <c r="C5" s="39"/>
      <c r="D5" s="39"/>
    </row>
    <row r="6" ht="15.75" customHeight="1">
      <c r="B6" s="3" t="s">
        <v>2</v>
      </c>
      <c r="C6" s="39" t="s">
        <v>98</v>
      </c>
      <c r="D6" s="3">
        <f>Project_Lifetime</f>
        <v>20</v>
      </c>
    </row>
    <row r="7" ht="15.75" customHeight="1">
      <c r="B7" s="3" t="s">
        <v>4</v>
      </c>
      <c r="C7" s="39"/>
      <c r="D7" s="3">
        <f>Project_Start_Year</f>
        <v>2023</v>
      </c>
    </row>
    <row r="8" ht="15.75" customHeight="1">
      <c r="B8" s="3" t="s">
        <v>7</v>
      </c>
      <c r="C8" s="39" t="s">
        <v>99</v>
      </c>
      <c r="D8" s="5">
        <f>'Model and Assumptions'!B5</f>
        <v>0.21</v>
      </c>
    </row>
    <row r="9" ht="15.75" customHeight="1">
      <c r="B9" s="3" t="s">
        <v>100</v>
      </c>
      <c r="C9" s="39"/>
      <c r="D9" s="16">
        <v>365.0</v>
      </c>
    </row>
    <row r="10" ht="15.75" customHeight="1">
      <c r="C10" s="39"/>
    </row>
    <row r="11" ht="15.75" customHeight="1">
      <c r="B11" s="3" t="s">
        <v>11</v>
      </c>
      <c r="C11" s="39" t="s">
        <v>99</v>
      </c>
      <c r="D11" s="32">
        <f>IRR</f>
        <v>0.12</v>
      </c>
    </row>
    <row r="12" ht="15.75" customHeight="1">
      <c r="B12" s="3" t="s">
        <v>13</v>
      </c>
      <c r="C12" s="39" t="s">
        <v>101</v>
      </c>
      <c r="D12" s="3">
        <f>'Model and Assumptions'!B11</f>
        <v>365</v>
      </c>
    </row>
    <row r="13" ht="15.75" customHeight="1">
      <c r="B13" s="3" t="s">
        <v>15</v>
      </c>
      <c r="C13" s="39"/>
      <c r="D13" s="3">
        <f>'Model and Assumptions'!B12</f>
        <v>2022</v>
      </c>
    </row>
    <row r="14" ht="15.75" customHeight="1">
      <c r="B14" s="3" t="s">
        <v>16</v>
      </c>
      <c r="C14" s="39" t="s">
        <v>99</v>
      </c>
      <c r="D14" s="7">
        <f>'Model and Assumptions'!B13</f>
        <v>0.0292</v>
      </c>
    </row>
    <row r="15" ht="15.75" customHeight="1">
      <c r="B15" s="3" t="s">
        <v>19</v>
      </c>
      <c r="C15" s="39" t="s">
        <v>99</v>
      </c>
      <c r="D15" s="7">
        <f>'Model and Assumptions'!B14</f>
        <v>0.015</v>
      </c>
    </row>
    <row r="16" ht="15.75" customHeight="1">
      <c r="B16" s="3" t="s">
        <v>21</v>
      </c>
      <c r="C16" s="39" t="s">
        <v>99</v>
      </c>
      <c r="D16" s="32">
        <f>'Model and Assumptions'!B15</f>
        <v>0.1</v>
      </c>
    </row>
    <row r="17" ht="15.75" customHeight="1">
      <c r="C17" s="39"/>
      <c r="D17" s="39"/>
    </row>
    <row r="18" ht="15.75" customHeight="1">
      <c r="B18" s="40" t="s">
        <v>102</v>
      </c>
      <c r="C18" s="39"/>
      <c r="D18" s="39"/>
    </row>
    <row r="19" ht="15.75" customHeight="1">
      <c r="B19" s="40"/>
      <c r="C19" s="39"/>
      <c r="D19" s="39"/>
    </row>
    <row r="20" ht="15.75" customHeight="1">
      <c r="B20" s="2" t="s">
        <v>103</v>
      </c>
      <c r="C20" s="39"/>
      <c r="D20" s="39"/>
    </row>
    <row r="21" ht="15.75" customHeight="1">
      <c r="B21" s="40"/>
      <c r="C21" s="39"/>
      <c r="D21" s="39"/>
    </row>
    <row r="22" ht="15.75" customHeight="1">
      <c r="B22" s="3" t="s">
        <v>104</v>
      </c>
      <c r="C22" s="39" t="s">
        <v>105</v>
      </c>
      <c r="D22" s="39"/>
      <c r="E22" s="16">
        <f>H2_Day * D9</f>
        <v>8864666.423</v>
      </c>
      <c r="F22" s="16">
        <f>'Electrolyzer Capex-Opex'!D62 * Electrolyzer_Capacity * 1000 * 24 / Electrolyser_Heating_Value * $D$9</f>
        <v>8686742.241</v>
      </c>
      <c r="G22" s="16">
        <f>'Electrolyzer Capex-Opex'!E62 * Electrolyzer_Capacity * 1000 * 24 / Electrolyser_Heating_Value * $D$9</f>
        <v>8512551.57</v>
      </c>
      <c r="H22" s="16">
        <f>'Electrolyzer Capex-Opex'!F62 * Electrolyzer_Capacity * 1000 * 24 / Electrolyser_Heating_Value * $D$9</f>
        <v>8341616.8</v>
      </c>
      <c r="I22" s="16">
        <f>'Electrolyzer Capex-Opex'!G62 * Electrolyzer_Capacity * 1000 * 24 / Electrolyser_Heating_Value * $D$9</f>
        <v>8175565.88</v>
      </c>
      <c r="J22" s="16">
        <f>'Electrolyzer Capex-Opex'!H62 * Electrolyzer_Capacity * 1000 * 24 / Electrolyser_Heating_Value * $D$9</f>
        <v>8012770.86</v>
      </c>
      <c r="K22" s="16">
        <f>'Electrolyzer Capex-Opex'!I62 * Electrolyzer_Capacity * 1000 * 24 / Electrolyser_Heating_Value * $D$9</f>
        <v>7853231.741</v>
      </c>
      <c r="L22" s="16">
        <f>'Electrolyzer Capex-Opex'!J62 * Electrolyzer_Capacity * 1000 * 24 / Electrolyser_Heating_Value * $D$9</f>
        <v>7696948.523</v>
      </c>
      <c r="M22" s="16">
        <f>'Electrolyzer Capex-Opex'!K62 * Electrolyzer_Capacity * 1000 * 24 / Electrolyser_Heating_Value * $D$9</f>
        <v>7542293.254</v>
      </c>
      <c r="N22" s="16">
        <f>'Electrolyzer Capex-Opex'!L62 * Electrolyzer_Capacity * 1000 * 24 / Electrolyser_Heating_Value * $D$9</f>
        <v>7390893.886</v>
      </c>
      <c r="O22" s="16">
        <f>'Electrolyzer Capex-Opex'!M62 * Electrolyzer_Capacity * 1000 * 24 / Electrolyser_Heating_Value * $D$9</f>
        <v>8864666.423</v>
      </c>
      <c r="P22" s="16">
        <f>'Electrolyzer Capex-Opex'!N62 * Electrolyzer_Capacity * 1000 * 24 / Electrolyser_Heating_Value * $D$9</f>
        <v>8686742.241</v>
      </c>
      <c r="Q22" s="16">
        <f>'Electrolyzer Capex-Opex'!O62 * Electrolyzer_Capacity * 1000 * 24 / Electrolyser_Heating_Value * $D$9</f>
        <v>8512551.57</v>
      </c>
      <c r="R22" s="16">
        <f>'Electrolyzer Capex-Opex'!P62 * Electrolyzer_Capacity * 1000 * 24 / Electrolyser_Heating_Value * $D$9</f>
        <v>8341616.8</v>
      </c>
      <c r="S22" s="16">
        <f>'Electrolyzer Capex-Opex'!Q62 * Electrolyzer_Capacity * 1000 * 24 / Electrolyser_Heating_Value * $D$9</f>
        <v>8175565.88</v>
      </c>
      <c r="T22" s="16">
        <f>'Electrolyzer Capex-Opex'!R62 * Electrolyzer_Capacity * 1000 * 24 / Electrolyser_Heating_Value * $D$9</f>
        <v>8012770.86</v>
      </c>
      <c r="U22" s="16">
        <f>'Electrolyzer Capex-Opex'!S62 * Electrolyzer_Capacity * 1000 * 24 / Electrolyser_Heating_Value * $D$9</f>
        <v>7853231.741</v>
      </c>
      <c r="V22" s="16">
        <f>'Electrolyzer Capex-Opex'!T62 * Electrolyzer_Capacity * 1000 * 24 / Electrolyser_Heating_Value * $D$9</f>
        <v>7696948.523</v>
      </c>
      <c r="W22" s="16">
        <f>'Electrolyzer Capex-Opex'!U62 * Electrolyzer_Capacity * 1000 * 24 / Electrolyser_Heating_Value * $D$9</f>
        <v>7542293.254</v>
      </c>
      <c r="X22" s="16">
        <f>'Electrolyzer Capex-Opex'!V62 * Electrolyzer_Capacity * 1000 * 24 / Electrolyser_Heating_Value * $D$9</f>
        <v>7390893.886</v>
      </c>
    </row>
    <row r="23" ht="15.75" customHeight="1">
      <c r="B23" s="3" t="s">
        <v>106</v>
      </c>
      <c r="C23" s="39" t="s">
        <v>107</v>
      </c>
      <c r="D23" s="39"/>
      <c r="E23" s="41">
        <f>'Model and Assumptions'!B65</f>
        <v>7.01</v>
      </c>
      <c r="F23" s="41">
        <f t="shared" ref="F23:X23" si="2">E23</f>
        <v>7.01</v>
      </c>
      <c r="G23" s="41">
        <f t="shared" si="2"/>
        <v>7.01</v>
      </c>
      <c r="H23" s="41">
        <f t="shared" si="2"/>
        <v>7.01</v>
      </c>
      <c r="I23" s="41">
        <f t="shared" si="2"/>
        <v>7.01</v>
      </c>
      <c r="J23" s="41">
        <f t="shared" si="2"/>
        <v>7.01</v>
      </c>
      <c r="K23" s="41">
        <f t="shared" si="2"/>
        <v>7.01</v>
      </c>
      <c r="L23" s="41">
        <f t="shared" si="2"/>
        <v>7.01</v>
      </c>
      <c r="M23" s="41">
        <f t="shared" si="2"/>
        <v>7.01</v>
      </c>
      <c r="N23" s="41">
        <f t="shared" si="2"/>
        <v>7.01</v>
      </c>
      <c r="O23" s="41">
        <f t="shared" si="2"/>
        <v>7.01</v>
      </c>
      <c r="P23" s="41">
        <f t="shared" si="2"/>
        <v>7.01</v>
      </c>
      <c r="Q23" s="41">
        <f t="shared" si="2"/>
        <v>7.01</v>
      </c>
      <c r="R23" s="41">
        <f t="shared" si="2"/>
        <v>7.01</v>
      </c>
      <c r="S23" s="41">
        <f t="shared" si="2"/>
        <v>7.01</v>
      </c>
      <c r="T23" s="41">
        <f t="shared" si="2"/>
        <v>7.01</v>
      </c>
      <c r="U23" s="41">
        <f t="shared" si="2"/>
        <v>7.01</v>
      </c>
      <c r="V23" s="41">
        <f t="shared" si="2"/>
        <v>7.01</v>
      </c>
      <c r="W23" s="41">
        <f t="shared" si="2"/>
        <v>7.01</v>
      </c>
      <c r="X23" s="41">
        <f t="shared" si="2"/>
        <v>7.01</v>
      </c>
    </row>
    <row r="24" ht="15.75" customHeight="1">
      <c r="B24" s="42" t="s">
        <v>108</v>
      </c>
      <c r="C24" s="43" t="s">
        <v>109</v>
      </c>
      <c r="D24" s="43"/>
      <c r="E24" s="44">
        <f t="shared" ref="E24:X24" si="3">E22 * E23</f>
        <v>62141311.62</v>
      </c>
      <c r="F24" s="44">
        <f t="shared" si="3"/>
        <v>60894063.11</v>
      </c>
      <c r="G24" s="44">
        <f t="shared" si="3"/>
        <v>59672986.51</v>
      </c>
      <c r="H24" s="44">
        <f t="shared" si="3"/>
        <v>58474733.77</v>
      </c>
      <c r="I24" s="44">
        <f t="shared" si="3"/>
        <v>57310716.82</v>
      </c>
      <c r="J24" s="44">
        <f t="shared" si="3"/>
        <v>56169523.73</v>
      </c>
      <c r="K24" s="44">
        <f t="shared" si="3"/>
        <v>55051154.51</v>
      </c>
      <c r="L24" s="44">
        <f t="shared" si="3"/>
        <v>53955609.14</v>
      </c>
      <c r="M24" s="44">
        <f t="shared" si="3"/>
        <v>52871475.71</v>
      </c>
      <c r="N24" s="44">
        <f t="shared" si="3"/>
        <v>51810166.14</v>
      </c>
      <c r="O24" s="44">
        <f t="shared" si="3"/>
        <v>62141311.62</v>
      </c>
      <c r="P24" s="44">
        <f t="shared" si="3"/>
        <v>60894063.11</v>
      </c>
      <c r="Q24" s="44">
        <f t="shared" si="3"/>
        <v>59672986.51</v>
      </c>
      <c r="R24" s="44">
        <f t="shared" si="3"/>
        <v>58474733.77</v>
      </c>
      <c r="S24" s="44">
        <f t="shared" si="3"/>
        <v>57310716.82</v>
      </c>
      <c r="T24" s="44">
        <f t="shared" si="3"/>
        <v>56169523.73</v>
      </c>
      <c r="U24" s="44">
        <f t="shared" si="3"/>
        <v>55051154.51</v>
      </c>
      <c r="V24" s="44">
        <f t="shared" si="3"/>
        <v>53955609.14</v>
      </c>
      <c r="W24" s="44">
        <f t="shared" si="3"/>
        <v>52871475.71</v>
      </c>
      <c r="X24" s="44">
        <f t="shared" si="3"/>
        <v>51810166.14</v>
      </c>
    </row>
    <row r="25" ht="15.75" customHeight="1">
      <c r="C25" s="39"/>
      <c r="D25" s="39"/>
    </row>
    <row r="26" ht="15.75" customHeight="1">
      <c r="B26" s="2" t="s">
        <v>110</v>
      </c>
      <c r="C26" s="39"/>
      <c r="D26" s="39"/>
    </row>
    <row r="27" ht="15.75" customHeight="1">
      <c r="C27" s="39"/>
      <c r="D27" s="39"/>
    </row>
    <row r="28" ht="15.75" customHeight="1">
      <c r="B28" s="3" t="s">
        <v>111</v>
      </c>
      <c r="C28" s="39" t="s">
        <v>109</v>
      </c>
      <c r="D28" s="39"/>
      <c r="E28" s="16">
        <f>('Labor Opex'!C11)*-1</f>
        <v>-4633588.014</v>
      </c>
      <c r="F28" s="16">
        <f>E28 * (1+Inflation_Rate)</f>
        <v>-4768888.784</v>
      </c>
      <c r="G28" s="16">
        <f>F28 * (1+Inflation_Rate)</f>
        <v>-4908140.337</v>
      </c>
      <c r="H28" s="16">
        <f>G28 * (1+Inflation_Rate)</f>
        <v>-5051458.035</v>
      </c>
      <c r="I28" s="16">
        <f>H28 * (1+Inflation_Rate)</f>
        <v>-5198960.609</v>
      </c>
      <c r="J28" s="16">
        <f>I28 * (1+Inflation_Rate)</f>
        <v>-5350770.259</v>
      </c>
      <c r="K28" s="16">
        <f>J28 * (1+Inflation_Rate)</f>
        <v>-5507012.751</v>
      </c>
      <c r="L28" s="16">
        <f>K28 * (1+Inflation_Rate)</f>
        <v>-5667817.523</v>
      </c>
      <c r="M28" s="16">
        <f>L28 * (1+Inflation_Rate)</f>
        <v>-5833317.795</v>
      </c>
      <c r="N28" s="16">
        <f>M28 * (1+Inflation_Rate)</f>
        <v>-6003650.674</v>
      </c>
      <c r="O28" s="16">
        <f>N28 * (1+Inflation_Rate)</f>
        <v>-6178957.274</v>
      </c>
      <c r="P28" s="16">
        <f>O28 * (1+Inflation_Rate)</f>
        <v>-6359382.826</v>
      </c>
      <c r="Q28" s="16">
        <f>P28 * (1+Inflation_Rate)</f>
        <v>-6545076.805</v>
      </c>
      <c r="R28" s="16">
        <f>Q28 * (1+Inflation_Rate)</f>
        <v>-6736193.048</v>
      </c>
      <c r="S28" s="16">
        <f>R28 * (1+Inflation_Rate)</f>
        <v>-6932889.885</v>
      </c>
      <c r="T28" s="16">
        <f>S28 * (1+Inflation_Rate)</f>
        <v>-7135330.269</v>
      </c>
      <c r="U28" s="16">
        <f>T28 * (1+Inflation_Rate)</f>
        <v>-7343681.913</v>
      </c>
      <c r="V28" s="16">
        <f>U28 * (1+Inflation_Rate)</f>
        <v>-7558117.425</v>
      </c>
      <c r="W28" s="16">
        <f>V28 * (1+Inflation_Rate)</f>
        <v>-7778814.454</v>
      </c>
      <c r="X28" s="16">
        <f>W28 * (1+Inflation_Rate)</f>
        <v>-8005955.836</v>
      </c>
    </row>
    <row r="29" ht="15.75" customHeight="1">
      <c r="B29" s="3" t="s">
        <v>112</v>
      </c>
      <c r="C29" s="39" t="s">
        <v>109</v>
      </c>
      <c r="D29" s="39"/>
      <c r="E29" s="16">
        <f>('GRID Capex-Opex'!C64)*-1</f>
        <v>-1672182.439</v>
      </c>
      <c r="F29" s="16">
        <f>E29 * (1+Inflation_Rate)</f>
        <v>-1721010.166</v>
      </c>
      <c r="G29" s="16">
        <f>F29 * (1+Inflation_Rate)</f>
        <v>-1771263.663</v>
      </c>
      <c r="H29" s="16">
        <f>G29 * (1+Inflation_Rate)</f>
        <v>-1822984.562</v>
      </c>
      <c r="I29" s="16">
        <f>H29 * (1+Inflation_Rate)</f>
        <v>-1876215.711</v>
      </c>
      <c r="J29" s="16">
        <f>I29 * (1+Inflation_Rate)</f>
        <v>-1931001.21</v>
      </c>
      <c r="K29" s="16">
        <f>J29 * (1+Inflation_Rate)</f>
        <v>-1987386.445</v>
      </c>
      <c r="L29" s="16">
        <f>K29 * (1+Inflation_Rate)</f>
        <v>-2045418.129</v>
      </c>
      <c r="M29" s="16">
        <f>L29 * (1+Inflation_Rate)</f>
        <v>-2105144.339</v>
      </c>
      <c r="N29" s="16">
        <f>M29 * (1+Inflation_Rate)</f>
        <v>-2166614.553</v>
      </c>
      <c r="O29" s="16">
        <f>N29 * (1+Inflation_Rate)</f>
        <v>-2229879.698</v>
      </c>
      <c r="P29" s="16">
        <f>O29 * (1+Inflation_Rate)</f>
        <v>-2294992.186</v>
      </c>
      <c r="Q29" s="16">
        <f>P29 * (1+Inflation_Rate)</f>
        <v>-2362005.957</v>
      </c>
      <c r="R29" s="16">
        <f>Q29 * (1+Inflation_Rate)</f>
        <v>-2430976.531</v>
      </c>
      <c r="S29" s="16">
        <f>R29 * (1+Inflation_Rate)</f>
        <v>-2501961.046</v>
      </c>
      <c r="T29" s="16">
        <f>S29 * (1+Inflation_Rate)</f>
        <v>-2575018.309</v>
      </c>
      <c r="U29" s="16">
        <f>T29 * (1+Inflation_Rate)</f>
        <v>-2650208.843</v>
      </c>
      <c r="V29" s="16">
        <f>U29 * (1+Inflation_Rate)</f>
        <v>-2727594.941</v>
      </c>
      <c r="W29" s="16">
        <f>V29 * (1+Inflation_Rate)</f>
        <v>-2807240.714</v>
      </c>
      <c r="X29" s="16">
        <f>W29 * (1+Inflation_Rate)</f>
        <v>-2889212.142</v>
      </c>
    </row>
    <row r="30" ht="15.75" customHeight="1">
      <c r="B30" s="3" t="s">
        <v>113</v>
      </c>
      <c r="C30" s="39" t="s">
        <v>109</v>
      </c>
      <c r="D30" s="39"/>
      <c r="E30" s="16">
        <f>('Battery Capex-Opex'!C50)*-1</f>
        <v>-5769656.9</v>
      </c>
      <c r="F30" s="16">
        <f>E30 * (1+Inflation_Rate)</f>
        <v>-5938130.881</v>
      </c>
      <c r="G30" s="16">
        <f>F30 * (1+Inflation_Rate)</f>
        <v>-6111524.303</v>
      </c>
      <c r="H30" s="16">
        <f>G30 * (1+Inflation_Rate)</f>
        <v>-6289980.813</v>
      </c>
      <c r="I30" s="16">
        <f>H30 * (1+Inflation_Rate)</f>
        <v>-6473648.253</v>
      </c>
      <c r="J30" s="16">
        <f>I30 * (1+Inflation_Rate)</f>
        <v>-6662678.782</v>
      </c>
      <c r="K30" s="16">
        <f>J30 * (1+Inflation_Rate)</f>
        <v>-6857229.002</v>
      </c>
      <c r="L30" s="16">
        <f>K30 * (1+Inflation_Rate)</f>
        <v>-7057460.089</v>
      </c>
      <c r="M30" s="16">
        <f>L30 * (1+Inflation_Rate)</f>
        <v>-7263537.923</v>
      </c>
      <c r="N30" s="16">
        <f>M30 * (1+Inflation_Rate)</f>
        <v>-7475633.231</v>
      </c>
      <c r="O30" s="16">
        <f>N30 * (1+Inflation_Rate)</f>
        <v>-7693921.721</v>
      </c>
      <c r="P30" s="16">
        <f>O30 * (1+Inflation_Rate)</f>
        <v>-7918584.235</v>
      </c>
      <c r="Q30" s="16">
        <f>P30 * (1+Inflation_Rate)</f>
        <v>-8149806.895</v>
      </c>
      <c r="R30" s="16">
        <f>Q30 * (1+Inflation_Rate)</f>
        <v>-8387781.256</v>
      </c>
      <c r="S30" s="16">
        <f>R30 * (1+Inflation_Rate)</f>
        <v>-8632704.469</v>
      </c>
      <c r="T30" s="16">
        <f>S30 * (1+Inflation_Rate)</f>
        <v>-8884779.44</v>
      </c>
      <c r="U30" s="16">
        <f>T30 * (1+Inflation_Rate)</f>
        <v>-9144214.999</v>
      </c>
      <c r="V30" s="16">
        <f>U30 * (1+Inflation_Rate)</f>
        <v>-9411226.077</v>
      </c>
      <c r="W30" s="16">
        <f>V30 * (1+Inflation_Rate)</f>
        <v>-9686033.879</v>
      </c>
      <c r="X30" s="16">
        <f>W30 * (1+Inflation_Rate)</f>
        <v>-9968866.068</v>
      </c>
    </row>
    <row r="31" ht="15.75" customHeight="1">
      <c r="B31" s="3" t="s">
        <v>114</v>
      </c>
      <c r="C31" s="39" t="s">
        <v>109</v>
      </c>
      <c r="D31" s="39"/>
      <c r="E31" s="16">
        <f>('Solar Capex-Opex'!C49)*-1</f>
        <v>-2593500</v>
      </c>
      <c r="F31" s="16">
        <f>E31 * (1+Inflation_Rate)</f>
        <v>-2669230.2</v>
      </c>
      <c r="G31" s="16">
        <f>F31 * (1+Inflation_Rate)</f>
        <v>-2747171.722</v>
      </c>
      <c r="H31" s="16">
        <f>G31 * (1+Inflation_Rate)</f>
        <v>-2827389.136</v>
      </c>
      <c r="I31" s="16">
        <f>H31 * (1+Inflation_Rate)</f>
        <v>-2909948.899</v>
      </c>
      <c r="J31" s="16">
        <f>I31 * (1+Inflation_Rate)</f>
        <v>-2994919.407</v>
      </c>
      <c r="K31" s="16">
        <f>J31 * (1+Inflation_Rate)</f>
        <v>-3082371.053</v>
      </c>
      <c r="L31" s="16">
        <f>K31 * (1+Inflation_Rate)</f>
        <v>-3172376.288</v>
      </c>
      <c r="M31" s="16">
        <f>L31 * (1+Inflation_Rate)</f>
        <v>-3265009.676</v>
      </c>
      <c r="N31" s="16">
        <f>M31 * (1+Inflation_Rate)</f>
        <v>-3360347.958</v>
      </c>
      <c r="O31" s="16">
        <f>N31 * (1+Inflation_Rate)</f>
        <v>-3458470.119</v>
      </c>
      <c r="P31" s="16">
        <f>O31 * (1+Inflation_Rate)</f>
        <v>-3559457.446</v>
      </c>
      <c r="Q31" s="16">
        <f>P31 * (1+Inflation_Rate)</f>
        <v>-3663393.604</v>
      </c>
      <c r="R31" s="16">
        <f>Q31 * (1+Inflation_Rate)</f>
        <v>-3770364.697</v>
      </c>
      <c r="S31" s="16">
        <f>R31 * (1+Inflation_Rate)</f>
        <v>-3880459.346</v>
      </c>
      <c r="T31" s="16">
        <f>S31 * (1+Inflation_Rate)</f>
        <v>-3993768.759</v>
      </c>
      <c r="U31" s="16">
        <f>T31 * (1+Inflation_Rate)</f>
        <v>-4110386.807</v>
      </c>
      <c r="V31" s="16">
        <f>U31 * (1+Inflation_Rate)</f>
        <v>-4230410.101</v>
      </c>
      <c r="W31" s="16">
        <f>V31 * (1+Inflation_Rate)</f>
        <v>-4353938.076</v>
      </c>
      <c r="X31" s="16">
        <f>W31 * (1+Inflation_Rate)</f>
        <v>-4481073.068</v>
      </c>
    </row>
    <row r="32" ht="15.75" customHeight="1">
      <c r="B32" s="3" t="s">
        <v>115</v>
      </c>
      <c r="C32" s="39" t="s">
        <v>109</v>
      </c>
      <c r="D32" s="39"/>
      <c r="E32" s="16">
        <f>SUM('Electrolyzer Capex-Opex'!C58:C59)*-1</f>
        <v>-2492189.583</v>
      </c>
      <c r="F32" s="16">
        <f>E32 * (1+Inflation_Rate)</f>
        <v>-2564961.519</v>
      </c>
      <c r="G32" s="16">
        <f>F32 * (1+Inflation_Rate)</f>
        <v>-2639858.396</v>
      </c>
      <c r="H32" s="16">
        <f>G32 * (1+Inflation_Rate)</f>
        <v>-2716942.261</v>
      </c>
      <c r="I32" s="16">
        <f>H32 * (1+Inflation_Rate)</f>
        <v>-2796276.975</v>
      </c>
      <c r="J32" s="16">
        <f>I32 * (1+Inflation_Rate)</f>
        <v>-2877928.262</v>
      </c>
      <c r="K32" s="16">
        <f>J32 * (1+Inflation_Rate)</f>
        <v>-2961963.768</v>
      </c>
      <c r="L32" s="16">
        <f>K32 * (1+Inflation_Rate)</f>
        <v>-3048453.11</v>
      </c>
      <c r="M32" s="16">
        <f>L32 * (1+Inflation_Rate)</f>
        <v>-3137467.94</v>
      </c>
      <c r="N32" s="16">
        <f>M32 * (1+Inflation_Rate)</f>
        <v>-3229082.004</v>
      </c>
      <c r="O32" s="16">
        <f>N32 * (1+Inflation_Rate)</f>
        <v>-3323371.199</v>
      </c>
      <c r="P32" s="16">
        <f>O32 * (1+Inflation_Rate)</f>
        <v>-3420413.638</v>
      </c>
      <c r="Q32" s="16">
        <f>P32 * (1+Inflation_Rate)</f>
        <v>-3520289.716</v>
      </c>
      <c r="R32" s="16">
        <f>Q32 * (1+Inflation_Rate)</f>
        <v>-3623082.176</v>
      </c>
      <c r="S32" s="16">
        <f>R32 * (1+Inflation_Rate)</f>
        <v>-3728876.175</v>
      </c>
      <c r="T32" s="16">
        <f>S32 * (1+Inflation_Rate)</f>
        <v>-3837759.36</v>
      </c>
      <c r="U32" s="16">
        <f>T32 * (1+Inflation_Rate)</f>
        <v>-3949821.933</v>
      </c>
      <c r="V32" s="16">
        <f>U32 * (1+Inflation_Rate)</f>
        <v>-4065156.733</v>
      </c>
      <c r="W32" s="16">
        <f>V32 * (1+Inflation_Rate)</f>
        <v>-4183859.31</v>
      </c>
      <c r="X32" s="16">
        <f>W32 * (1+Inflation_Rate)</f>
        <v>-4306028.002</v>
      </c>
    </row>
    <row r="33" ht="15.75" customHeight="1">
      <c r="C33" s="39"/>
      <c r="D33" s="39"/>
    </row>
    <row r="34" ht="15.75" customHeight="1">
      <c r="B34" s="3" t="s">
        <v>116</v>
      </c>
      <c r="C34" s="39" t="s">
        <v>109</v>
      </c>
      <c r="D34" s="39"/>
      <c r="E34" s="45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 ht="15.75" customHeight="1">
      <c r="C35" s="39"/>
      <c r="D35" s="39"/>
      <c r="E35" s="16"/>
    </row>
    <row r="36" ht="15.75" customHeight="1">
      <c r="B36" s="42" t="s">
        <v>117</v>
      </c>
      <c r="C36" s="43" t="s">
        <v>109</v>
      </c>
      <c r="D36" s="43"/>
      <c r="E36" s="44">
        <f t="shared" ref="E36:X36" si="4">SUM(E28:E32,E34)</f>
        <v>-17161116.94</v>
      </c>
      <c r="F36" s="44">
        <f t="shared" si="4"/>
        <v>-17662221.55</v>
      </c>
      <c r="G36" s="44">
        <f t="shared" si="4"/>
        <v>-18177958.42</v>
      </c>
      <c r="H36" s="44">
        <f t="shared" si="4"/>
        <v>-18708754.81</v>
      </c>
      <c r="I36" s="44">
        <f t="shared" si="4"/>
        <v>-19255050.45</v>
      </c>
      <c r="J36" s="44">
        <f t="shared" si="4"/>
        <v>-19817297.92</v>
      </c>
      <c r="K36" s="44">
        <f t="shared" si="4"/>
        <v>-20395963.02</v>
      </c>
      <c r="L36" s="44">
        <f t="shared" si="4"/>
        <v>-20991525.14</v>
      </c>
      <c r="M36" s="44">
        <f t="shared" si="4"/>
        <v>-21604477.67</v>
      </c>
      <c r="N36" s="44">
        <f t="shared" si="4"/>
        <v>-22235328.42</v>
      </c>
      <c r="O36" s="44">
        <f t="shared" si="4"/>
        <v>-22884600.01</v>
      </c>
      <c r="P36" s="44">
        <f t="shared" si="4"/>
        <v>-23552830.33</v>
      </c>
      <c r="Q36" s="44">
        <f t="shared" si="4"/>
        <v>-24240572.98</v>
      </c>
      <c r="R36" s="44">
        <f t="shared" si="4"/>
        <v>-24948397.71</v>
      </c>
      <c r="S36" s="44">
        <f t="shared" si="4"/>
        <v>-25676890.92</v>
      </c>
      <c r="T36" s="44">
        <f t="shared" si="4"/>
        <v>-26426656.14</v>
      </c>
      <c r="U36" s="44">
        <f t="shared" si="4"/>
        <v>-27198314.5</v>
      </c>
      <c r="V36" s="44">
        <f t="shared" si="4"/>
        <v>-27992505.28</v>
      </c>
      <c r="W36" s="44">
        <f t="shared" si="4"/>
        <v>-28809886.43</v>
      </c>
      <c r="X36" s="44">
        <f t="shared" si="4"/>
        <v>-29651135.12</v>
      </c>
    </row>
    <row r="37" ht="15.75" customHeight="1">
      <c r="B37" s="46" t="s">
        <v>118</v>
      </c>
      <c r="C37" s="47" t="s">
        <v>109</v>
      </c>
      <c r="D37" s="47"/>
      <c r="E37" s="48">
        <f t="shared" ref="E37:X37" si="5">SUM(E24,E28:E32,E34)</f>
        <v>44980194.69</v>
      </c>
      <c r="F37" s="48">
        <f t="shared" si="5"/>
        <v>43231841.56</v>
      </c>
      <c r="G37" s="48">
        <f t="shared" si="5"/>
        <v>41495028.09</v>
      </c>
      <c r="H37" s="48">
        <f t="shared" si="5"/>
        <v>39765978.96</v>
      </c>
      <c r="I37" s="48">
        <f t="shared" si="5"/>
        <v>38055666.37</v>
      </c>
      <c r="J37" s="48">
        <f t="shared" si="5"/>
        <v>36352225.81</v>
      </c>
      <c r="K37" s="48">
        <f t="shared" si="5"/>
        <v>34655191.49</v>
      </c>
      <c r="L37" s="48">
        <f t="shared" si="5"/>
        <v>32964084</v>
      </c>
      <c r="M37" s="48">
        <f t="shared" si="5"/>
        <v>31266998.04</v>
      </c>
      <c r="N37" s="48">
        <f t="shared" si="5"/>
        <v>29574837.72</v>
      </c>
      <c r="O37" s="48">
        <f t="shared" si="5"/>
        <v>39256711.61</v>
      </c>
      <c r="P37" s="48">
        <f t="shared" si="5"/>
        <v>37341232.78</v>
      </c>
      <c r="Q37" s="48">
        <f t="shared" si="5"/>
        <v>35432413.53</v>
      </c>
      <c r="R37" s="48">
        <f t="shared" si="5"/>
        <v>33526336.06</v>
      </c>
      <c r="S37" s="48">
        <f t="shared" si="5"/>
        <v>31633825.9</v>
      </c>
      <c r="T37" s="48">
        <f t="shared" si="5"/>
        <v>29742867.6</v>
      </c>
      <c r="U37" s="48">
        <f t="shared" si="5"/>
        <v>27852840.01</v>
      </c>
      <c r="V37" s="48">
        <f t="shared" si="5"/>
        <v>25963103.86</v>
      </c>
      <c r="W37" s="48">
        <f t="shared" si="5"/>
        <v>24061589.28</v>
      </c>
      <c r="X37" s="48">
        <f t="shared" si="5"/>
        <v>22159031.02</v>
      </c>
    </row>
    <row r="38" ht="15.75" customHeight="1">
      <c r="B38" s="49" t="s">
        <v>119</v>
      </c>
      <c r="C38" s="39" t="s">
        <v>99</v>
      </c>
      <c r="D38" s="39"/>
      <c r="E38" s="50">
        <f t="shared" ref="E38:X38" si="6">E37 / E24</f>
        <v>0.723837227</v>
      </c>
      <c r="F38" s="50">
        <f t="shared" si="6"/>
        <v>0.7099516661</v>
      </c>
      <c r="G38" s="50">
        <f t="shared" si="6"/>
        <v>0.6953737447</v>
      </c>
      <c r="H38" s="50">
        <f t="shared" si="6"/>
        <v>0.6800540404</v>
      </c>
      <c r="I38" s="50">
        <f t="shared" si="6"/>
        <v>0.6640235629</v>
      </c>
      <c r="J38" s="50">
        <f t="shared" si="6"/>
        <v>0.6471877167</v>
      </c>
      <c r="K38" s="50">
        <f t="shared" si="6"/>
        <v>0.6295088958</v>
      </c>
      <c r="L38" s="50">
        <f t="shared" si="6"/>
        <v>0.6109482318</v>
      </c>
      <c r="M38" s="50">
        <f t="shared" si="6"/>
        <v>0.5913774416</v>
      </c>
      <c r="N38" s="50">
        <f t="shared" si="6"/>
        <v>0.5708307833</v>
      </c>
      <c r="O38" s="50">
        <f t="shared" si="6"/>
        <v>0.6317329098</v>
      </c>
      <c r="P38" s="50">
        <f t="shared" si="6"/>
        <v>0.6132163116</v>
      </c>
      <c r="Q38" s="50">
        <f t="shared" si="6"/>
        <v>0.5937764406</v>
      </c>
      <c r="R38" s="50">
        <f t="shared" si="6"/>
        <v>0.5733473912</v>
      </c>
      <c r="S38" s="50">
        <f t="shared" si="6"/>
        <v>0.5519705154</v>
      </c>
      <c r="T38" s="50">
        <f t="shared" si="6"/>
        <v>0.5295196687</v>
      </c>
      <c r="U38" s="50">
        <f t="shared" si="6"/>
        <v>0.5059447029</v>
      </c>
      <c r="V38" s="50">
        <f t="shared" si="6"/>
        <v>0.4811937865</v>
      </c>
      <c r="W38" s="50">
        <f t="shared" si="6"/>
        <v>0.4550958519</v>
      </c>
      <c r="X38" s="50">
        <f t="shared" si="6"/>
        <v>0.427696583</v>
      </c>
    </row>
    <row r="39" ht="15.75" customHeight="1">
      <c r="B39" s="3" t="s">
        <v>120</v>
      </c>
      <c r="C39" s="39" t="s">
        <v>109</v>
      </c>
      <c r="D39" s="39"/>
      <c r="E39" s="16">
        <f>IF(E1&lt;=6,$D$59*AVERAGE('D&amp;A'!C47:C52),0)</f>
        <v>-72967109.76</v>
      </c>
      <c r="F39" s="16">
        <f>IF(F1&lt;=6,$D$59*AVERAGE('D&amp;A'!D47:D52),0)</f>
        <v>-116747375.6</v>
      </c>
      <c r="G39" s="16">
        <f>IF(G1&lt;=6,$D$59*AVERAGE('D&amp;A'!E47:E52),0)</f>
        <v>-70048425.37</v>
      </c>
      <c r="H39" s="16">
        <f>IF(H1&lt;=6,$D$59*AVERAGE('D&amp;A'!F47:F52),0)</f>
        <v>-41956088.11</v>
      </c>
      <c r="I39" s="16">
        <f>IF(I1&lt;=6,$D$59*AVERAGE('D&amp;A'!G47:G52),0)</f>
        <v>-41956088.11</v>
      </c>
      <c r="J39" s="16">
        <f>IF(J1&lt;=6,$D$59*AVERAGE('D&amp;A'!H47:H52),0)</f>
        <v>-21160461.83</v>
      </c>
      <c r="K39" s="16">
        <f>IF(K1&lt;=6,$D$59*AVERAGE('D&amp;A'!I47:I52),0)</f>
        <v>0</v>
      </c>
      <c r="L39" s="16">
        <f>IF(L1&lt;=6,$D$59*AVERAGE('D&amp;A'!J47:J52),0)</f>
        <v>0</v>
      </c>
      <c r="M39" s="16">
        <f>IF(M1&lt;=6,$D$59*AVERAGE('D&amp;A'!K47:K52),0)</f>
        <v>0</v>
      </c>
      <c r="N39" s="16">
        <f>IF(N1&lt;=6,$D$59*AVERAGE('D&amp;A'!L47:L52),0)</f>
        <v>0</v>
      </c>
      <c r="O39" s="16">
        <f>IF(O1&lt;=6,$D$59*AVERAGE('D&amp;A'!M47:M52),0)</f>
        <v>0</v>
      </c>
      <c r="P39" s="16">
        <f>IF(P1&lt;=6,$D$59*AVERAGE('D&amp;A'!N47:N52),0)</f>
        <v>0</v>
      </c>
      <c r="Q39" s="16">
        <f>IF(Q1&lt;=6,$D$59*AVERAGE('D&amp;A'!O47:O52),0)</f>
        <v>0</v>
      </c>
      <c r="R39" s="16">
        <f>IF(R1&lt;=6,$D$59*AVERAGE('D&amp;A'!P47:P52),0)</f>
        <v>0</v>
      </c>
      <c r="S39" s="16">
        <f>IF(S1&lt;=6,$D$59*AVERAGE('D&amp;A'!Q47:Q52),0)</f>
        <v>0</v>
      </c>
      <c r="T39" s="16">
        <f>IF(T1&lt;=6,$D$59*AVERAGE('D&amp;A'!R47:R52),0)</f>
        <v>0</v>
      </c>
      <c r="U39" s="16">
        <f>IF(U1&lt;=6,$D$59*AVERAGE('D&amp;A'!S47:S52),0)</f>
        <v>0</v>
      </c>
      <c r="V39" s="16">
        <f>IF(V1&lt;=6,$D$59*AVERAGE('D&amp;A'!T47:T52),0)</f>
        <v>0</v>
      </c>
      <c r="W39" s="16">
        <f>IF(W1&lt;=6,$D$59*AVERAGE('D&amp;A'!U47:U52),0)</f>
        <v>0</v>
      </c>
      <c r="X39" s="16">
        <f>IF(X1&lt;=6,$D$59*AVERAGE('D&amp;A'!V47:V52),0)</f>
        <v>0</v>
      </c>
    </row>
    <row r="40" ht="15.75" customHeight="1">
      <c r="B40" s="3" t="s">
        <v>121</v>
      </c>
      <c r="C40" s="39" t="s">
        <v>109</v>
      </c>
      <c r="D40" s="39"/>
      <c r="E40" s="16">
        <f t="shared" ref="E40:X40" si="7">-IF((E37+E39)&gt;0,(E37+E39)*$D$8,0)</f>
        <v>0</v>
      </c>
      <c r="F40" s="16">
        <f t="shared" si="7"/>
        <v>0</v>
      </c>
      <c r="G40" s="16">
        <f t="shared" si="7"/>
        <v>0</v>
      </c>
      <c r="H40" s="16">
        <f t="shared" si="7"/>
        <v>0</v>
      </c>
      <c r="I40" s="16">
        <f t="shared" si="7"/>
        <v>0</v>
      </c>
      <c r="J40" s="16">
        <f t="shared" si="7"/>
        <v>-3190270.436</v>
      </c>
      <c r="K40" s="16">
        <f t="shared" si="7"/>
        <v>-7277590.212</v>
      </c>
      <c r="L40" s="16">
        <f t="shared" si="7"/>
        <v>-6922457.641</v>
      </c>
      <c r="M40" s="16">
        <f t="shared" si="7"/>
        <v>-6566069.588</v>
      </c>
      <c r="N40" s="16">
        <f t="shared" si="7"/>
        <v>-6210715.921</v>
      </c>
      <c r="O40" s="16">
        <f t="shared" si="7"/>
        <v>-8243909.439</v>
      </c>
      <c r="P40" s="16">
        <f t="shared" si="7"/>
        <v>-7841658.884</v>
      </c>
      <c r="Q40" s="16">
        <f t="shared" si="7"/>
        <v>-7440806.842</v>
      </c>
      <c r="R40" s="16">
        <f t="shared" si="7"/>
        <v>-7040530.572</v>
      </c>
      <c r="S40" s="16">
        <f t="shared" si="7"/>
        <v>-6643103.438</v>
      </c>
      <c r="T40" s="16">
        <f t="shared" si="7"/>
        <v>-6246002.195</v>
      </c>
      <c r="U40" s="16">
        <f t="shared" si="7"/>
        <v>-5849096.402</v>
      </c>
      <c r="V40" s="16">
        <f t="shared" si="7"/>
        <v>-5452251.812</v>
      </c>
      <c r="W40" s="16">
        <f t="shared" si="7"/>
        <v>-5052933.748</v>
      </c>
      <c r="X40" s="16">
        <f t="shared" si="7"/>
        <v>-4653396.515</v>
      </c>
    </row>
    <row r="41" ht="15.75" customHeight="1">
      <c r="B41" s="42" t="s">
        <v>122</v>
      </c>
      <c r="C41" s="43" t="s">
        <v>109</v>
      </c>
      <c r="D41" s="43"/>
      <c r="E41" s="44">
        <f t="shared" ref="E41:X41" si="8">E37+E39+E40</f>
        <v>-27986915.08</v>
      </c>
      <c r="F41" s="44">
        <f t="shared" si="8"/>
        <v>-73515534.06</v>
      </c>
      <c r="G41" s="44">
        <f t="shared" si="8"/>
        <v>-28553397.29</v>
      </c>
      <c r="H41" s="44">
        <f t="shared" si="8"/>
        <v>-2190109.153</v>
      </c>
      <c r="I41" s="44">
        <f t="shared" si="8"/>
        <v>-3900421.742</v>
      </c>
      <c r="J41" s="44">
        <f t="shared" si="8"/>
        <v>12001493.54</v>
      </c>
      <c r="K41" s="44">
        <f t="shared" si="8"/>
        <v>27377601.28</v>
      </c>
      <c r="L41" s="44">
        <f t="shared" si="8"/>
        <v>26041626.36</v>
      </c>
      <c r="M41" s="44">
        <f t="shared" si="8"/>
        <v>24700928.45</v>
      </c>
      <c r="N41" s="44">
        <f t="shared" si="8"/>
        <v>23364121.8</v>
      </c>
      <c r="O41" s="44">
        <f t="shared" si="8"/>
        <v>31012802.17</v>
      </c>
      <c r="P41" s="44">
        <f t="shared" si="8"/>
        <v>29499573.9</v>
      </c>
      <c r="Q41" s="44">
        <f t="shared" si="8"/>
        <v>27991606.69</v>
      </c>
      <c r="R41" s="44">
        <f t="shared" si="8"/>
        <v>26485805.49</v>
      </c>
      <c r="S41" s="44">
        <f t="shared" si="8"/>
        <v>24990722.46</v>
      </c>
      <c r="T41" s="44">
        <f t="shared" si="8"/>
        <v>23496865.4</v>
      </c>
      <c r="U41" s="44">
        <f t="shared" si="8"/>
        <v>22003743.61</v>
      </c>
      <c r="V41" s="44">
        <f t="shared" si="8"/>
        <v>20510852.05</v>
      </c>
      <c r="W41" s="44">
        <f t="shared" si="8"/>
        <v>19008655.53</v>
      </c>
      <c r="X41" s="44">
        <f t="shared" si="8"/>
        <v>17505634.51</v>
      </c>
    </row>
    <row r="42" ht="15.75" customHeight="1">
      <c r="B42" s="49" t="s">
        <v>123</v>
      </c>
      <c r="C42" s="51" t="s">
        <v>109</v>
      </c>
      <c r="D42" s="51"/>
      <c r="E42" s="52">
        <f t="shared" ref="E42:X42" si="9">-E39 * $D$8</f>
        <v>15323093.05</v>
      </c>
      <c r="F42" s="52">
        <f t="shared" si="9"/>
        <v>24516948.88</v>
      </c>
      <c r="G42" s="52">
        <f t="shared" si="9"/>
        <v>14710169.33</v>
      </c>
      <c r="H42" s="52">
        <f t="shared" si="9"/>
        <v>8810778.504</v>
      </c>
      <c r="I42" s="52">
        <f t="shared" si="9"/>
        <v>8810778.504</v>
      </c>
      <c r="J42" s="52">
        <f t="shared" si="9"/>
        <v>4443696.985</v>
      </c>
      <c r="K42" s="52">
        <f t="shared" si="9"/>
        <v>0</v>
      </c>
      <c r="L42" s="52">
        <f t="shared" si="9"/>
        <v>0</v>
      </c>
      <c r="M42" s="52">
        <f t="shared" si="9"/>
        <v>0</v>
      </c>
      <c r="N42" s="52">
        <f t="shared" si="9"/>
        <v>0</v>
      </c>
      <c r="O42" s="52">
        <f t="shared" si="9"/>
        <v>0</v>
      </c>
      <c r="P42" s="52">
        <f t="shared" si="9"/>
        <v>0</v>
      </c>
      <c r="Q42" s="52">
        <f t="shared" si="9"/>
        <v>0</v>
      </c>
      <c r="R42" s="52">
        <f t="shared" si="9"/>
        <v>0</v>
      </c>
      <c r="S42" s="52">
        <f t="shared" si="9"/>
        <v>0</v>
      </c>
      <c r="T42" s="52">
        <f t="shared" si="9"/>
        <v>0</v>
      </c>
      <c r="U42" s="52">
        <f t="shared" si="9"/>
        <v>0</v>
      </c>
      <c r="V42" s="52">
        <f t="shared" si="9"/>
        <v>0</v>
      </c>
      <c r="W42" s="52">
        <f t="shared" si="9"/>
        <v>0</v>
      </c>
      <c r="X42" s="52">
        <f t="shared" si="9"/>
        <v>0</v>
      </c>
    </row>
    <row r="43" ht="15.75" customHeight="1">
      <c r="B43" s="42" t="s">
        <v>124</v>
      </c>
      <c r="C43" s="43" t="s">
        <v>109</v>
      </c>
      <c r="D43" s="43"/>
      <c r="E43" s="44">
        <f t="shared" ref="E43:X43" si="10">E41-E39</f>
        <v>44980194.69</v>
      </c>
      <c r="F43" s="44">
        <f t="shared" si="10"/>
        <v>43231841.56</v>
      </c>
      <c r="G43" s="44">
        <f t="shared" si="10"/>
        <v>41495028.09</v>
      </c>
      <c r="H43" s="44">
        <f t="shared" si="10"/>
        <v>39765978.96</v>
      </c>
      <c r="I43" s="44">
        <f t="shared" si="10"/>
        <v>38055666.37</v>
      </c>
      <c r="J43" s="44">
        <f t="shared" si="10"/>
        <v>33161955.38</v>
      </c>
      <c r="K43" s="44">
        <f t="shared" si="10"/>
        <v>27377601.28</v>
      </c>
      <c r="L43" s="44">
        <f t="shared" si="10"/>
        <v>26041626.36</v>
      </c>
      <c r="M43" s="44">
        <f t="shared" si="10"/>
        <v>24700928.45</v>
      </c>
      <c r="N43" s="44">
        <f t="shared" si="10"/>
        <v>23364121.8</v>
      </c>
      <c r="O43" s="44">
        <f t="shared" si="10"/>
        <v>31012802.17</v>
      </c>
      <c r="P43" s="44">
        <f t="shared" si="10"/>
        <v>29499573.9</v>
      </c>
      <c r="Q43" s="44">
        <f t="shared" si="10"/>
        <v>27991606.69</v>
      </c>
      <c r="R43" s="44">
        <f t="shared" si="10"/>
        <v>26485805.49</v>
      </c>
      <c r="S43" s="44">
        <f t="shared" si="10"/>
        <v>24990722.46</v>
      </c>
      <c r="T43" s="44">
        <f t="shared" si="10"/>
        <v>23496865.4</v>
      </c>
      <c r="U43" s="44">
        <f t="shared" si="10"/>
        <v>22003743.61</v>
      </c>
      <c r="V43" s="44">
        <f t="shared" si="10"/>
        <v>20510852.05</v>
      </c>
      <c r="W43" s="44">
        <f t="shared" si="10"/>
        <v>19008655.53</v>
      </c>
      <c r="X43" s="44">
        <f t="shared" si="10"/>
        <v>17505634.51</v>
      </c>
    </row>
    <row r="44" ht="15.75" customHeight="1">
      <c r="C44" s="53"/>
      <c r="D44" s="53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r="45" ht="15.75" customHeight="1">
      <c r="B45" s="2" t="s">
        <v>125</v>
      </c>
      <c r="C45" s="53" t="s">
        <v>109</v>
      </c>
      <c r="D45" s="54">
        <f t="shared" ref="D45:D46" si="11">SUM(E45:X45)</f>
        <v>41049822.11</v>
      </c>
      <c r="E45" s="54">
        <f>(E41+E42) / (1+IRR)^E$1</f>
        <v>-11306983.95</v>
      </c>
      <c r="F45" s="54">
        <f>(F41+F42) / (1+IRR)^F$1</f>
        <v>-39061372.11</v>
      </c>
      <c r="G45" s="54">
        <f>(G41+G42) / (1+IRR)^G$1</f>
        <v>-9853336.226</v>
      </c>
      <c r="H45" s="54">
        <f>(H41+H42) / (1+IRR)^H$1</f>
        <v>4207555.064</v>
      </c>
      <c r="I45" s="54">
        <f>(I41+I42) / (1+IRR)^I$1</f>
        <v>2786268.298</v>
      </c>
      <c r="J45" s="54">
        <f>(J41+J42) / (1+IRR)^J$1</f>
        <v>8331645.316</v>
      </c>
      <c r="K45" s="54">
        <f>(K41+K42) / (1+IRR)^K$1</f>
        <v>12384236.45</v>
      </c>
      <c r="L45" s="54">
        <f>(L41+L42) / (1+IRR)^L$1</f>
        <v>10517776.12</v>
      </c>
      <c r="M45" s="54">
        <f>(M41+M42) / (1+IRR)^M$1</f>
        <v>8907402.425</v>
      </c>
      <c r="N45" s="54">
        <f>(N41+N42) / (1+IRR)^N$1</f>
        <v>7522621.915</v>
      </c>
      <c r="O45" s="54">
        <f>(O41+O42) / (1+IRR)^O$1</f>
        <v>8915439.546</v>
      </c>
      <c r="P45" s="54">
        <f>(P41+P42) / (1+IRR)^P$1</f>
        <v>7571805.872</v>
      </c>
      <c r="Q45" s="54">
        <f>(Q41+Q42) / (1+IRR)^Q$1</f>
        <v>6414953.794</v>
      </c>
      <c r="R45" s="54">
        <f>(R41+R42) / (1+IRR)^R$1</f>
        <v>5419520.556</v>
      </c>
      <c r="S45" s="54">
        <f>(S41+S42) / (1+IRR)^S$1</f>
        <v>4565711.56</v>
      </c>
      <c r="T45" s="54">
        <f>(T41+T42) / (1+IRR)^T$1</f>
        <v>3832847.732</v>
      </c>
      <c r="U45" s="54">
        <f>(U41+U42) / (1+IRR)^U$1</f>
        <v>3204720.736</v>
      </c>
      <c r="V45" s="54">
        <f>(V41+V42) / (1+IRR)^V$1</f>
        <v>2667222.794</v>
      </c>
      <c r="W45" s="54">
        <f>(W41+W42) / (1+IRR)^W$1</f>
        <v>2207033.727</v>
      </c>
      <c r="X45" s="54">
        <f>(X41+X42) / (1+IRR)^X$1</f>
        <v>1814752.5</v>
      </c>
    </row>
    <row r="46" ht="15.75" customHeight="1">
      <c r="B46" s="2" t="s">
        <v>126</v>
      </c>
      <c r="C46" s="53" t="s">
        <v>109</v>
      </c>
      <c r="D46" s="55">
        <f t="shared" si="11"/>
        <v>661296670</v>
      </c>
      <c r="E46" s="54">
        <f t="shared" ref="E46:X46" si="12">SUM(E42:E43)</f>
        <v>60303287.74</v>
      </c>
      <c r="F46" s="54">
        <f t="shared" si="12"/>
        <v>67748790.44</v>
      </c>
      <c r="G46" s="54">
        <f t="shared" si="12"/>
        <v>56205197.42</v>
      </c>
      <c r="H46" s="54">
        <f t="shared" si="12"/>
        <v>48576757.46</v>
      </c>
      <c r="I46" s="54">
        <f t="shared" si="12"/>
        <v>46866444.88</v>
      </c>
      <c r="J46" s="54">
        <f t="shared" si="12"/>
        <v>37605652.36</v>
      </c>
      <c r="K46" s="54">
        <f t="shared" si="12"/>
        <v>27377601.28</v>
      </c>
      <c r="L46" s="54">
        <f t="shared" si="12"/>
        <v>26041626.36</v>
      </c>
      <c r="M46" s="54">
        <f t="shared" si="12"/>
        <v>24700928.45</v>
      </c>
      <c r="N46" s="54">
        <f t="shared" si="12"/>
        <v>23364121.8</v>
      </c>
      <c r="O46" s="54">
        <f t="shared" si="12"/>
        <v>31012802.17</v>
      </c>
      <c r="P46" s="54">
        <f t="shared" si="12"/>
        <v>29499573.9</v>
      </c>
      <c r="Q46" s="54">
        <f t="shared" si="12"/>
        <v>27991606.69</v>
      </c>
      <c r="R46" s="54">
        <f t="shared" si="12"/>
        <v>26485805.49</v>
      </c>
      <c r="S46" s="54">
        <f t="shared" si="12"/>
        <v>24990722.46</v>
      </c>
      <c r="T46" s="54">
        <f t="shared" si="12"/>
        <v>23496865.4</v>
      </c>
      <c r="U46" s="54">
        <f t="shared" si="12"/>
        <v>22003743.61</v>
      </c>
      <c r="V46" s="54">
        <f t="shared" si="12"/>
        <v>20510852.05</v>
      </c>
      <c r="W46" s="54">
        <f t="shared" si="12"/>
        <v>19008655.53</v>
      </c>
      <c r="X46" s="54">
        <f t="shared" si="12"/>
        <v>17505634.51</v>
      </c>
    </row>
    <row r="47" ht="15.75" customHeight="1">
      <c r="B47" s="2"/>
      <c r="C47" s="39"/>
      <c r="D47" s="39"/>
    </row>
    <row r="48" ht="15.75" customHeight="1">
      <c r="B48" s="3" t="s">
        <v>127</v>
      </c>
      <c r="C48" s="39" t="s">
        <v>109</v>
      </c>
      <c r="D48" s="16">
        <f>-Grid_Total_Capex</f>
        <v>-42643522.51</v>
      </c>
    </row>
    <row r="49" ht="15.75" customHeight="1">
      <c r="B49" s="3" t="s">
        <v>128</v>
      </c>
      <c r="C49" s="39" t="s">
        <v>109</v>
      </c>
      <c r="D49" s="16">
        <f>-Electrolyser_Total_Capex</f>
        <v>-101280088.2</v>
      </c>
    </row>
    <row r="50" ht="15.75" customHeight="1">
      <c r="C50" s="39"/>
    </row>
    <row r="51" ht="15.75" customHeight="1">
      <c r="B51" s="3" t="s">
        <v>129</v>
      </c>
      <c r="C51" s="39" t="s">
        <v>109</v>
      </c>
      <c r="D51" s="16">
        <f>-'Battery Capex-Opex'!B34</f>
        <v>-195911720</v>
      </c>
    </row>
    <row r="52" ht="15.75" customHeight="1">
      <c r="B52" s="3" t="s">
        <v>130</v>
      </c>
      <c r="C52" s="39" t="s">
        <v>99</v>
      </c>
      <c r="D52" s="32">
        <f>Battery_ITC_Credit</f>
        <v>0.3</v>
      </c>
    </row>
    <row r="53" ht="15.75" customHeight="1">
      <c r="B53" s="3" t="s">
        <v>131</v>
      </c>
      <c r="C53" s="39" t="s">
        <v>109</v>
      </c>
      <c r="D53" s="16">
        <f>D51 * (1-D52)</f>
        <v>-137138204</v>
      </c>
    </row>
    <row r="54" ht="15.75" customHeight="1">
      <c r="C54" s="39"/>
    </row>
    <row r="55" ht="15.75" customHeight="1">
      <c r="B55" s="3" t="s">
        <v>132</v>
      </c>
      <c r="C55" s="39" t="s">
        <v>109</v>
      </c>
      <c r="D55" s="16">
        <f>-Solar_Total_Capex</f>
        <v>-119676763.1</v>
      </c>
    </row>
    <row r="56" ht="15.75" customHeight="1">
      <c r="B56" s="3" t="s">
        <v>133</v>
      </c>
      <c r="C56" s="39" t="s">
        <v>99</v>
      </c>
      <c r="D56" s="32">
        <f>Solar_ITC</f>
        <v>0.3</v>
      </c>
    </row>
    <row r="57" ht="15.75" customHeight="1">
      <c r="B57" s="3" t="s">
        <v>134</v>
      </c>
      <c r="C57" s="39" t="s">
        <v>109</v>
      </c>
      <c r="D57" s="16">
        <f>D55 * (1-D56)</f>
        <v>-83773734.14</v>
      </c>
    </row>
    <row r="58" ht="15.75" customHeight="1">
      <c r="C58" s="39"/>
    </row>
    <row r="59" ht="15.75" customHeight="1">
      <c r="B59" s="3" t="s">
        <v>135</v>
      </c>
      <c r="C59" s="39" t="s">
        <v>109</v>
      </c>
      <c r="D59" s="16">
        <f>D49+D53+D57+D48</f>
        <v>-364835548.8</v>
      </c>
    </row>
    <row r="60" ht="15.75" customHeight="1">
      <c r="B60" s="3" t="s">
        <v>136</v>
      </c>
      <c r="C60" s="39" t="s">
        <v>109</v>
      </c>
      <c r="D60" s="16">
        <f>D48+D49+D51+D55</f>
        <v>-459512093.7</v>
      </c>
    </row>
    <row r="61" ht="15.75" customHeight="1">
      <c r="C61" s="39"/>
      <c r="D61" s="39"/>
    </row>
    <row r="62" ht="15.75" customHeight="1">
      <c r="C62" s="39"/>
      <c r="D62" s="39"/>
    </row>
    <row r="63" ht="15.75" customHeight="1">
      <c r="C63" s="39"/>
      <c r="D63" s="39"/>
    </row>
    <row r="64" ht="15.75" customHeight="1">
      <c r="C64" s="39"/>
      <c r="D64" s="39"/>
    </row>
    <row r="65" ht="15.75" customHeight="1">
      <c r="C65" s="39"/>
      <c r="D65" s="39"/>
    </row>
    <row r="66" ht="15.75" customHeight="1">
      <c r="C66" s="39"/>
      <c r="D66" s="39"/>
    </row>
    <row r="67" ht="15.75" customHeight="1">
      <c r="C67" s="39"/>
      <c r="D67" s="39"/>
    </row>
    <row r="68" ht="15.75" customHeight="1">
      <c r="C68" s="39"/>
      <c r="D68" s="39"/>
    </row>
    <row r="69" ht="15.75" customHeight="1">
      <c r="C69" s="39"/>
      <c r="D69" s="39"/>
    </row>
    <row r="70" ht="15.75" customHeight="1">
      <c r="C70" s="39"/>
      <c r="D70" s="39"/>
    </row>
    <row r="71" ht="15.75" customHeight="1">
      <c r="C71" s="39"/>
      <c r="D71" s="39"/>
    </row>
    <row r="72" ht="15.75" customHeight="1">
      <c r="C72" s="39"/>
      <c r="D72" s="39"/>
    </row>
    <row r="73" ht="15.75" customHeight="1">
      <c r="C73" s="39"/>
      <c r="D73" s="39"/>
    </row>
    <row r="74" ht="15.75" customHeight="1">
      <c r="C74" s="39"/>
      <c r="D74" s="39"/>
    </row>
    <row r="75" ht="15.75" customHeight="1">
      <c r="C75" s="39"/>
      <c r="D75" s="39"/>
    </row>
    <row r="76" ht="15.75" customHeight="1">
      <c r="C76" s="39"/>
      <c r="D76" s="39"/>
    </row>
    <row r="77" ht="15.75" customHeight="1">
      <c r="C77" s="39"/>
      <c r="D77" s="39"/>
    </row>
    <row r="78" ht="15.75" customHeight="1">
      <c r="C78" s="39"/>
      <c r="D78" s="39"/>
    </row>
    <row r="79" ht="15.75" customHeight="1">
      <c r="C79" s="39"/>
      <c r="D79" s="39"/>
    </row>
    <row r="80" ht="15.75" customHeight="1">
      <c r="C80" s="39"/>
      <c r="D80" s="39"/>
    </row>
    <row r="81" ht="15.75" customHeight="1">
      <c r="C81" s="39"/>
      <c r="D81" s="39"/>
    </row>
    <row r="82" ht="15.75" customHeight="1">
      <c r="C82" s="39"/>
      <c r="D82" s="39"/>
    </row>
    <row r="83" ht="15.75" customHeight="1">
      <c r="C83" s="39"/>
      <c r="D83" s="39"/>
    </row>
    <row r="84" ht="15.75" customHeight="1">
      <c r="C84" s="39"/>
      <c r="D84" s="39"/>
    </row>
    <row r="85" ht="15.75" customHeight="1">
      <c r="C85" s="39"/>
      <c r="D85" s="39"/>
    </row>
    <row r="86" ht="15.75" customHeight="1">
      <c r="C86" s="39"/>
      <c r="D86" s="39"/>
    </row>
    <row r="87" ht="15.75" customHeight="1">
      <c r="C87" s="39"/>
      <c r="D87" s="39"/>
    </row>
    <row r="88" ht="15.75" customHeight="1">
      <c r="C88" s="39"/>
      <c r="D88" s="39"/>
    </row>
    <row r="89" ht="15.75" customHeight="1">
      <c r="C89" s="39"/>
      <c r="D89" s="39"/>
    </row>
    <row r="90" ht="15.75" customHeight="1">
      <c r="C90" s="39"/>
      <c r="D90" s="39"/>
    </row>
    <row r="91" ht="15.75" customHeight="1">
      <c r="C91" s="39"/>
      <c r="D91" s="39"/>
    </row>
    <row r="92" ht="15.75" customHeight="1">
      <c r="C92" s="39"/>
      <c r="D92" s="39"/>
    </row>
    <row r="93" ht="15.75" customHeight="1">
      <c r="B93" s="3" t="s">
        <v>5</v>
      </c>
      <c r="C93" s="39"/>
      <c r="D93" s="39"/>
      <c r="E93" s="3">
        <f>'Model and Assumptions'!B4</f>
        <v>0.7</v>
      </c>
    </row>
    <row r="94" ht="15.75" customHeight="1">
      <c r="C94" s="39"/>
      <c r="D94" s="39"/>
    </row>
    <row r="95" ht="15.75" customHeight="1">
      <c r="C95" s="39"/>
      <c r="D95" s="39"/>
    </row>
    <row r="96" ht="15.75" customHeight="1">
      <c r="C96" s="39"/>
      <c r="D96" s="39"/>
    </row>
    <row r="97" ht="15.75" customHeight="1">
      <c r="C97" s="39"/>
      <c r="D97" s="39"/>
    </row>
    <row r="98" ht="15.75" customHeight="1">
      <c r="C98" s="39"/>
      <c r="D98" s="39"/>
    </row>
    <row r="99" ht="15.75" customHeight="1">
      <c r="C99" s="39"/>
      <c r="D99" s="39"/>
    </row>
    <row r="100" ht="15.75" customHeight="1">
      <c r="C100" s="39"/>
      <c r="D100" s="39"/>
    </row>
    <row r="101" ht="15.75" customHeight="1">
      <c r="C101" s="39"/>
      <c r="D101" s="39"/>
    </row>
    <row r="102" ht="15.75" customHeight="1">
      <c r="C102" s="39"/>
      <c r="D102" s="39"/>
    </row>
    <row r="103" ht="15.75" customHeight="1">
      <c r="C103" s="39"/>
      <c r="D103" s="39"/>
    </row>
    <row r="104" ht="15.75" customHeight="1">
      <c r="C104" s="39"/>
      <c r="D104" s="39"/>
    </row>
    <row r="105" ht="15.75" customHeight="1">
      <c r="C105" s="39"/>
      <c r="D105" s="39"/>
    </row>
    <row r="106" ht="15.75" customHeight="1">
      <c r="C106" s="39"/>
      <c r="D106" s="39"/>
    </row>
    <row r="107" ht="15.75" customHeight="1">
      <c r="C107" s="39"/>
      <c r="D107" s="39"/>
    </row>
    <row r="108" ht="15.75" customHeight="1">
      <c r="C108" s="39"/>
      <c r="D108" s="39"/>
    </row>
    <row r="109" ht="15.75" customHeight="1">
      <c r="C109" s="39"/>
      <c r="D109" s="39"/>
    </row>
    <row r="110" ht="15.75" customHeight="1">
      <c r="C110" s="39"/>
      <c r="D110" s="39"/>
    </row>
    <row r="111" ht="15.75" customHeight="1">
      <c r="C111" s="39"/>
      <c r="D111" s="39"/>
    </row>
    <row r="112" ht="15.75" customHeight="1">
      <c r="C112" s="39"/>
      <c r="D112" s="39"/>
    </row>
    <row r="113" ht="15.75" customHeight="1">
      <c r="C113" s="39"/>
      <c r="D113" s="39"/>
    </row>
    <row r="114" ht="15.75" customHeight="1">
      <c r="C114" s="39"/>
      <c r="D114" s="39"/>
    </row>
    <row r="115" ht="15.75" customHeight="1">
      <c r="C115" s="39"/>
      <c r="D115" s="39"/>
    </row>
    <row r="116" ht="15.75" customHeight="1">
      <c r="C116" s="39"/>
      <c r="D116" s="39"/>
    </row>
    <row r="117" ht="15.75" customHeight="1">
      <c r="C117" s="39"/>
      <c r="D117" s="39"/>
    </row>
    <row r="118" ht="15.75" customHeight="1">
      <c r="C118" s="39"/>
      <c r="D118" s="39"/>
    </row>
    <row r="119" ht="15.75" customHeight="1">
      <c r="C119" s="39"/>
      <c r="D119" s="39"/>
    </row>
    <row r="120" ht="15.75" customHeight="1">
      <c r="C120" s="39"/>
      <c r="D120" s="39"/>
    </row>
    <row r="121" ht="15.75" customHeight="1">
      <c r="C121" s="39"/>
      <c r="D121" s="39"/>
    </row>
    <row r="122" ht="15.75" customHeight="1">
      <c r="C122" s="39"/>
      <c r="D122" s="39"/>
    </row>
    <row r="123" ht="15.75" customHeight="1">
      <c r="C123" s="39"/>
      <c r="D123" s="39"/>
    </row>
    <row r="124" ht="15.75" customHeight="1">
      <c r="C124" s="39"/>
      <c r="D124" s="39"/>
    </row>
    <row r="125" ht="15.75" customHeight="1">
      <c r="C125" s="39"/>
      <c r="D125" s="39"/>
    </row>
    <row r="126" ht="15.75" customHeight="1">
      <c r="C126" s="39"/>
      <c r="D126" s="39"/>
    </row>
    <row r="127" ht="15.75" customHeight="1">
      <c r="C127" s="39"/>
      <c r="D127" s="39"/>
    </row>
    <row r="128" ht="15.75" customHeight="1">
      <c r="C128" s="39"/>
      <c r="D128" s="39"/>
    </row>
    <row r="129" ht="15.75" customHeight="1">
      <c r="C129" s="39"/>
      <c r="D129" s="39"/>
    </row>
    <row r="130" ht="15.75" customHeight="1">
      <c r="C130" s="39"/>
      <c r="D130" s="39"/>
    </row>
    <row r="131" ht="15.75" customHeight="1">
      <c r="C131" s="39"/>
      <c r="D131" s="39"/>
    </row>
    <row r="132" ht="15.75" customHeight="1">
      <c r="C132" s="39"/>
      <c r="D132" s="39"/>
    </row>
    <row r="133" ht="15.75" customHeight="1">
      <c r="C133" s="39"/>
      <c r="D133" s="39"/>
    </row>
    <row r="134" ht="15.75" customHeight="1">
      <c r="C134" s="39"/>
      <c r="D134" s="39"/>
    </row>
    <row r="135" ht="15.75" customHeight="1">
      <c r="C135" s="39"/>
      <c r="D135" s="39"/>
    </row>
    <row r="136" ht="15.75" customHeight="1">
      <c r="C136" s="39"/>
      <c r="D136" s="39"/>
    </row>
    <row r="137" ht="15.75" customHeight="1">
      <c r="C137" s="39"/>
      <c r="D137" s="39"/>
    </row>
    <row r="138" ht="15.75" customHeight="1">
      <c r="C138" s="39"/>
      <c r="D138" s="39"/>
    </row>
    <row r="139" ht="15.75" customHeight="1">
      <c r="C139" s="39"/>
      <c r="D139" s="39"/>
    </row>
    <row r="140" ht="15.75" customHeight="1">
      <c r="C140" s="39"/>
      <c r="D140" s="39"/>
    </row>
    <row r="141" ht="15.75" customHeight="1">
      <c r="C141" s="39"/>
      <c r="D141" s="39"/>
    </row>
    <row r="142" ht="15.75" customHeight="1">
      <c r="C142" s="39"/>
      <c r="D142" s="39"/>
    </row>
    <row r="143" ht="15.75" customHeight="1">
      <c r="C143" s="39"/>
      <c r="D143" s="39"/>
    </row>
    <row r="144" ht="15.75" customHeight="1">
      <c r="C144" s="39"/>
      <c r="D144" s="39"/>
    </row>
    <row r="145" ht="15.75" customHeight="1">
      <c r="C145" s="39"/>
      <c r="D145" s="39"/>
    </row>
    <row r="146" ht="15.75" customHeight="1">
      <c r="C146" s="39"/>
      <c r="D146" s="39"/>
    </row>
    <row r="147" ht="15.75" customHeight="1">
      <c r="C147" s="39"/>
      <c r="D147" s="39"/>
    </row>
    <row r="148" ht="15.75" customHeight="1">
      <c r="C148" s="39"/>
      <c r="D148" s="39"/>
    </row>
    <row r="149" ht="15.75" customHeight="1">
      <c r="C149" s="39"/>
      <c r="D149" s="39"/>
    </row>
    <row r="150" ht="15.75" customHeight="1">
      <c r="C150" s="39"/>
      <c r="D150" s="39"/>
    </row>
    <row r="151" ht="15.75" customHeight="1">
      <c r="C151" s="39"/>
      <c r="D151" s="39"/>
    </row>
    <row r="152" ht="15.75" customHeight="1">
      <c r="C152" s="39"/>
      <c r="D152" s="39"/>
    </row>
    <row r="153" ht="15.75" customHeight="1">
      <c r="C153" s="39"/>
      <c r="D153" s="39"/>
    </row>
    <row r="154" ht="15.75" customHeight="1">
      <c r="C154" s="39"/>
      <c r="D154" s="39"/>
    </row>
    <row r="155" ht="15.75" customHeight="1">
      <c r="C155" s="39"/>
      <c r="D155" s="39"/>
    </row>
    <row r="156" ht="15.75" customHeight="1">
      <c r="C156" s="39"/>
      <c r="D156" s="39"/>
    </row>
    <row r="157" ht="15.75" customHeight="1">
      <c r="C157" s="39"/>
      <c r="D157" s="39"/>
    </row>
    <row r="158" ht="15.75" customHeight="1">
      <c r="C158" s="39"/>
      <c r="D158" s="39"/>
    </row>
    <row r="159" ht="15.75" customHeight="1">
      <c r="C159" s="39"/>
      <c r="D159" s="39"/>
    </row>
    <row r="160" ht="15.75" customHeight="1">
      <c r="C160" s="39"/>
      <c r="D160" s="39"/>
    </row>
    <row r="161" ht="15.75" customHeight="1">
      <c r="C161" s="39"/>
      <c r="D161" s="39"/>
    </row>
    <row r="162" ht="15.75" customHeight="1">
      <c r="C162" s="39"/>
      <c r="D162" s="39"/>
    </row>
    <row r="163" ht="15.75" customHeight="1">
      <c r="C163" s="39"/>
      <c r="D163" s="39"/>
    </row>
    <row r="164" ht="15.75" customHeight="1">
      <c r="C164" s="39"/>
      <c r="D164" s="39"/>
    </row>
    <row r="165" ht="15.75" customHeight="1">
      <c r="C165" s="39"/>
      <c r="D165" s="39"/>
    </row>
    <row r="166" ht="15.75" customHeight="1">
      <c r="C166" s="39"/>
      <c r="D166" s="39"/>
    </row>
    <row r="167" ht="15.75" customHeight="1">
      <c r="C167" s="39"/>
      <c r="D167" s="39"/>
    </row>
    <row r="168" ht="15.75" customHeight="1">
      <c r="C168" s="39"/>
      <c r="D168" s="39"/>
    </row>
    <row r="169" ht="15.75" customHeight="1">
      <c r="C169" s="39"/>
      <c r="D169" s="39"/>
    </row>
    <row r="170" ht="15.75" customHeight="1">
      <c r="C170" s="39"/>
      <c r="D170" s="39"/>
    </row>
    <row r="171" ht="15.75" customHeight="1">
      <c r="C171" s="39"/>
      <c r="D171" s="39"/>
    </row>
    <row r="172" ht="15.75" customHeight="1">
      <c r="C172" s="39"/>
      <c r="D172" s="39"/>
    </row>
    <row r="173" ht="15.75" customHeight="1">
      <c r="C173" s="39"/>
      <c r="D173" s="39"/>
    </row>
    <row r="174" ht="15.75" customHeight="1">
      <c r="C174" s="39"/>
      <c r="D174" s="39"/>
    </row>
    <row r="175" ht="15.75" customHeight="1">
      <c r="C175" s="39"/>
      <c r="D175" s="39"/>
    </row>
    <row r="176" ht="15.75" customHeight="1">
      <c r="C176" s="39"/>
      <c r="D176" s="39"/>
    </row>
    <row r="177" ht="15.75" customHeight="1">
      <c r="C177" s="39"/>
      <c r="D177" s="39"/>
    </row>
    <row r="178" ht="15.75" customHeight="1">
      <c r="C178" s="39"/>
      <c r="D178" s="39"/>
    </row>
    <row r="179" ht="15.75" customHeight="1">
      <c r="C179" s="39"/>
      <c r="D179" s="39"/>
    </row>
    <row r="180" ht="15.75" customHeight="1">
      <c r="C180" s="39"/>
      <c r="D180" s="39"/>
    </row>
    <row r="181" ht="15.75" customHeight="1">
      <c r="C181" s="39"/>
      <c r="D181" s="39"/>
    </row>
    <row r="182" ht="15.75" customHeight="1">
      <c r="C182" s="39"/>
      <c r="D182" s="39"/>
    </row>
    <row r="183" ht="15.75" customHeight="1">
      <c r="C183" s="39"/>
      <c r="D183" s="39"/>
    </row>
    <row r="184" ht="15.75" customHeight="1">
      <c r="C184" s="39"/>
      <c r="D184" s="39"/>
    </row>
    <row r="185" ht="15.75" customHeight="1">
      <c r="C185" s="39"/>
      <c r="D185" s="39"/>
    </row>
    <row r="186" ht="15.75" customHeight="1">
      <c r="C186" s="39"/>
      <c r="D186" s="39"/>
    </row>
    <row r="187" ht="15.75" customHeight="1">
      <c r="C187" s="39"/>
      <c r="D187" s="39"/>
    </row>
    <row r="188" ht="15.75" customHeight="1">
      <c r="C188" s="39"/>
      <c r="D188" s="39"/>
    </row>
    <row r="189" ht="15.75" customHeight="1">
      <c r="C189" s="39"/>
      <c r="D189" s="39"/>
    </row>
    <row r="190" ht="15.75" customHeight="1">
      <c r="C190" s="39"/>
      <c r="D190" s="39"/>
    </row>
    <row r="191" ht="15.75" customHeight="1">
      <c r="C191" s="39"/>
      <c r="D191" s="39"/>
    </row>
    <row r="192" ht="15.75" customHeight="1">
      <c r="C192" s="39"/>
      <c r="D192" s="39"/>
    </row>
    <row r="193" ht="15.75" customHeight="1">
      <c r="C193" s="39"/>
      <c r="D193" s="39"/>
    </row>
    <row r="194" ht="15.75" customHeight="1">
      <c r="C194" s="39"/>
      <c r="D194" s="39"/>
    </row>
    <row r="195" ht="15.75" customHeight="1">
      <c r="C195" s="39"/>
      <c r="D195" s="39"/>
    </row>
    <row r="196" ht="15.75" customHeight="1">
      <c r="C196" s="39"/>
      <c r="D196" s="39"/>
    </row>
    <row r="197" ht="15.75" customHeight="1">
      <c r="C197" s="39"/>
      <c r="D197" s="39"/>
    </row>
    <row r="198" ht="15.75" customHeight="1">
      <c r="C198" s="39"/>
      <c r="D198" s="39"/>
    </row>
    <row r="199" ht="15.75" customHeight="1">
      <c r="C199" s="39"/>
      <c r="D199" s="39"/>
    </row>
    <row r="200" ht="15.75" customHeight="1">
      <c r="C200" s="39"/>
      <c r="D200" s="39"/>
    </row>
    <row r="201" ht="15.75" customHeight="1">
      <c r="C201" s="39"/>
      <c r="D201" s="39"/>
    </row>
    <row r="202" ht="15.75" customHeight="1">
      <c r="C202" s="39"/>
      <c r="D202" s="39"/>
    </row>
    <row r="203" ht="15.75" customHeight="1">
      <c r="C203" s="39"/>
      <c r="D203" s="39"/>
    </row>
    <row r="204" ht="15.75" customHeight="1">
      <c r="C204" s="39"/>
      <c r="D204" s="39"/>
    </row>
    <row r="205" ht="15.75" customHeight="1">
      <c r="C205" s="39"/>
      <c r="D205" s="39"/>
    </row>
    <row r="206" ht="15.75" customHeight="1">
      <c r="C206" s="39"/>
      <c r="D206" s="39"/>
    </row>
    <row r="207" ht="15.75" customHeight="1">
      <c r="C207" s="39"/>
      <c r="D207" s="39"/>
    </row>
    <row r="208" ht="15.75" customHeight="1">
      <c r="C208" s="39"/>
      <c r="D208" s="39"/>
    </row>
    <row r="209" ht="15.75" customHeight="1">
      <c r="C209" s="39"/>
      <c r="D209" s="39"/>
    </row>
    <row r="210" ht="15.75" customHeight="1">
      <c r="C210" s="39"/>
      <c r="D210" s="39"/>
    </row>
    <row r="211" ht="15.75" customHeight="1">
      <c r="C211" s="39"/>
      <c r="D211" s="39"/>
    </row>
    <row r="212" ht="15.75" customHeight="1">
      <c r="C212" s="39"/>
      <c r="D212" s="39"/>
    </row>
    <row r="213" ht="15.75" customHeight="1">
      <c r="C213" s="39"/>
      <c r="D213" s="39"/>
    </row>
    <row r="214" ht="15.75" customHeight="1">
      <c r="C214" s="39"/>
      <c r="D214" s="39"/>
    </row>
    <row r="215" ht="15.75" customHeight="1">
      <c r="C215" s="39"/>
      <c r="D215" s="39"/>
    </row>
    <row r="216" ht="15.75" customHeight="1">
      <c r="C216" s="39"/>
      <c r="D216" s="39"/>
    </row>
    <row r="217" ht="15.75" customHeight="1">
      <c r="C217" s="39"/>
      <c r="D217" s="39"/>
    </row>
    <row r="218" ht="15.75" customHeight="1">
      <c r="C218" s="39"/>
      <c r="D218" s="39"/>
    </row>
    <row r="219" ht="15.75" customHeight="1">
      <c r="C219" s="39"/>
      <c r="D219" s="39"/>
    </row>
    <row r="220" ht="15.75" customHeight="1">
      <c r="C220" s="39"/>
      <c r="D220" s="39"/>
    </row>
    <row r="221" ht="15.75" customHeight="1">
      <c r="C221" s="39"/>
      <c r="D221" s="39"/>
    </row>
    <row r="222" ht="15.75" customHeight="1">
      <c r="C222" s="39"/>
      <c r="D222" s="39"/>
    </row>
    <row r="223" ht="15.75" customHeight="1">
      <c r="C223" s="39"/>
      <c r="D223" s="39"/>
    </row>
    <row r="224" ht="15.75" customHeight="1">
      <c r="C224" s="39"/>
      <c r="D224" s="39"/>
    </row>
    <row r="225" ht="15.75" customHeight="1">
      <c r="C225" s="39"/>
      <c r="D225" s="39"/>
    </row>
    <row r="226" ht="15.75" customHeight="1">
      <c r="C226" s="39"/>
      <c r="D226" s="39"/>
    </row>
    <row r="227" ht="15.75" customHeight="1">
      <c r="C227" s="39"/>
      <c r="D227" s="39"/>
    </row>
    <row r="228" ht="15.75" customHeight="1">
      <c r="C228" s="39"/>
      <c r="D228" s="39"/>
    </row>
    <row r="229" ht="15.75" customHeight="1">
      <c r="C229" s="39"/>
      <c r="D229" s="39"/>
    </row>
    <row r="230" ht="15.75" customHeight="1">
      <c r="C230" s="39"/>
      <c r="D230" s="39"/>
    </row>
    <row r="231" ht="15.75" customHeight="1">
      <c r="C231" s="39"/>
      <c r="D231" s="39"/>
    </row>
    <row r="232" ht="15.75" customHeight="1">
      <c r="C232" s="39"/>
      <c r="D232" s="39"/>
    </row>
    <row r="233" ht="15.75" customHeight="1">
      <c r="C233" s="39"/>
      <c r="D233" s="39"/>
    </row>
    <row r="234" ht="15.75" customHeight="1">
      <c r="C234" s="39"/>
      <c r="D234" s="39"/>
    </row>
    <row r="235" ht="15.75" customHeight="1">
      <c r="C235" s="39"/>
      <c r="D235" s="39"/>
    </row>
    <row r="236" ht="15.75" customHeight="1">
      <c r="C236" s="39"/>
      <c r="D236" s="39"/>
    </row>
    <row r="237" ht="15.75" customHeight="1">
      <c r="C237" s="39"/>
      <c r="D237" s="39"/>
    </row>
    <row r="238" ht="15.75" customHeight="1">
      <c r="C238" s="39"/>
      <c r="D238" s="39"/>
    </row>
    <row r="239" ht="15.75" customHeight="1">
      <c r="C239" s="39"/>
      <c r="D239" s="39"/>
    </row>
    <row r="240" ht="15.75" customHeight="1">
      <c r="C240" s="39"/>
      <c r="D240" s="39"/>
    </row>
    <row r="241" ht="15.75" customHeight="1">
      <c r="C241" s="39"/>
      <c r="D241" s="39"/>
    </row>
    <row r="242" ht="15.75" customHeight="1">
      <c r="C242" s="39"/>
      <c r="D242" s="39"/>
    </row>
    <row r="243" ht="15.75" customHeight="1">
      <c r="C243" s="39"/>
      <c r="D243" s="39"/>
    </row>
    <row r="244" ht="15.75" customHeight="1">
      <c r="C244" s="39"/>
      <c r="D244" s="39"/>
    </row>
    <row r="245" ht="15.75" customHeight="1">
      <c r="C245" s="39"/>
      <c r="D245" s="39"/>
    </row>
    <row r="246" ht="15.75" customHeight="1">
      <c r="C246" s="39"/>
      <c r="D246" s="39"/>
    </row>
    <row r="247" ht="15.75" customHeight="1">
      <c r="C247" s="39"/>
      <c r="D247" s="39"/>
    </row>
    <row r="248" ht="15.75" customHeight="1">
      <c r="C248" s="39"/>
      <c r="D248" s="39"/>
    </row>
    <row r="249" ht="15.75" customHeight="1">
      <c r="C249" s="39"/>
      <c r="D249" s="39"/>
    </row>
    <row r="250" ht="15.75" customHeight="1">
      <c r="C250" s="39"/>
      <c r="D250" s="39"/>
    </row>
    <row r="251" ht="15.75" customHeight="1">
      <c r="C251" s="39"/>
      <c r="D251" s="39"/>
    </row>
    <row r="252" ht="15.75" customHeight="1">
      <c r="C252" s="39"/>
      <c r="D252" s="39"/>
    </row>
    <row r="253" ht="15.75" customHeight="1">
      <c r="C253" s="39"/>
      <c r="D253" s="39"/>
    </row>
    <row r="254" ht="15.75" customHeight="1">
      <c r="C254" s="39"/>
      <c r="D254" s="39"/>
    </row>
    <row r="255" ht="15.75" customHeight="1">
      <c r="C255" s="39"/>
      <c r="D255" s="39"/>
    </row>
    <row r="256" ht="15.75" customHeight="1">
      <c r="C256" s="39"/>
      <c r="D256" s="39"/>
    </row>
    <row r="257" ht="15.75" customHeight="1">
      <c r="C257" s="39"/>
      <c r="D257" s="39"/>
    </row>
    <row r="258" ht="15.75" customHeight="1">
      <c r="C258" s="39"/>
      <c r="D258" s="39"/>
    </row>
    <row r="259" ht="15.75" customHeight="1">
      <c r="C259" s="39"/>
      <c r="D259" s="39"/>
    </row>
    <row r="260" ht="15.75" customHeight="1">
      <c r="C260" s="39"/>
      <c r="D260" s="39"/>
    </row>
    <row r="261" ht="15.75" customHeight="1">
      <c r="C261" s="39"/>
      <c r="D261" s="39"/>
    </row>
    <row r="262" ht="15.75" customHeight="1">
      <c r="C262" s="39"/>
      <c r="D262" s="39"/>
    </row>
    <row r="263" ht="15.75" customHeight="1">
      <c r="C263" s="39"/>
      <c r="D263" s="39"/>
    </row>
    <row r="264" ht="15.75" customHeight="1">
      <c r="C264" s="39"/>
      <c r="D264" s="39"/>
    </row>
    <row r="265" ht="15.75" customHeight="1">
      <c r="C265" s="39"/>
      <c r="D265" s="39"/>
    </row>
    <row r="266" ht="15.75" customHeight="1">
      <c r="C266" s="39"/>
      <c r="D266" s="39"/>
    </row>
    <row r="267" ht="15.75" customHeight="1">
      <c r="C267" s="39"/>
      <c r="D267" s="39"/>
    </row>
    <row r="268" ht="15.75" customHeight="1">
      <c r="C268" s="39"/>
      <c r="D268" s="39"/>
    </row>
    <row r="269" ht="15.75" customHeight="1">
      <c r="C269" s="39"/>
      <c r="D269" s="39"/>
    </row>
    <row r="270" ht="15.75" customHeight="1">
      <c r="C270" s="39"/>
      <c r="D270" s="39"/>
    </row>
    <row r="271" ht="15.75" customHeight="1">
      <c r="C271" s="39"/>
      <c r="D271" s="39"/>
    </row>
    <row r="272" ht="15.75" customHeight="1">
      <c r="C272" s="39"/>
      <c r="D272" s="39"/>
    </row>
    <row r="273" ht="15.75" customHeight="1">
      <c r="C273" s="39"/>
      <c r="D273" s="39"/>
    </row>
    <row r="274" ht="15.75" customHeight="1">
      <c r="C274" s="39"/>
      <c r="D274" s="39"/>
    </row>
    <row r="275" ht="15.75" customHeight="1">
      <c r="C275" s="39"/>
      <c r="D275" s="39"/>
    </row>
    <row r="276" ht="15.75" customHeight="1">
      <c r="C276" s="39"/>
      <c r="D276" s="39"/>
    </row>
    <row r="277" ht="15.75" customHeight="1">
      <c r="C277" s="39"/>
      <c r="D277" s="39"/>
    </row>
    <row r="278" ht="15.75" customHeight="1">
      <c r="C278" s="39"/>
      <c r="D278" s="39"/>
    </row>
    <row r="279" ht="15.75" customHeight="1">
      <c r="C279" s="39"/>
      <c r="D279" s="39"/>
    </row>
    <row r="280" ht="15.75" customHeight="1">
      <c r="C280" s="39"/>
      <c r="D280" s="39"/>
    </row>
    <row r="281" ht="15.75" customHeight="1">
      <c r="C281" s="39"/>
      <c r="D281" s="39"/>
    </row>
    <row r="282" ht="15.75" customHeight="1">
      <c r="C282" s="39"/>
      <c r="D282" s="39"/>
    </row>
    <row r="283" ht="15.75" customHeight="1">
      <c r="C283" s="39"/>
      <c r="D283" s="39"/>
    </row>
    <row r="284" ht="15.75" customHeight="1">
      <c r="C284" s="39"/>
      <c r="D284" s="39"/>
    </row>
    <row r="285" ht="15.75" customHeight="1">
      <c r="C285" s="39"/>
      <c r="D285" s="39"/>
    </row>
    <row r="286" ht="15.75" customHeight="1">
      <c r="C286" s="39"/>
      <c r="D286" s="39"/>
    </row>
    <row r="287" ht="15.75" customHeight="1">
      <c r="C287" s="39"/>
      <c r="D287" s="39"/>
    </row>
    <row r="288" ht="15.75" customHeight="1">
      <c r="C288" s="39"/>
      <c r="D288" s="39"/>
    </row>
    <row r="289" ht="15.75" customHeight="1">
      <c r="C289" s="39"/>
      <c r="D289" s="39"/>
    </row>
    <row r="290" ht="15.75" customHeight="1">
      <c r="C290" s="39"/>
      <c r="D290" s="39"/>
    </row>
    <row r="291" ht="15.75" customHeight="1">
      <c r="C291" s="39"/>
      <c r="D291" s="39"/>
    </row>
    <row r="292" ht="15.75" customHeight="1">
      <c r="C292" s="39"/>
      <c r="D292" s="39"/>
    </row>
    <row r="293" ht="15.75" customHeight="1">
      <c r="C293" s="39"/>
      <c r="D293" s="39"/>
    </row>
    <row r="294" ht="15.75" customHeight="1">
      <c r="C294" s="39"/>
      <c r="D294" s="39"/>
    </row>
    <row r="295" ht="15.75" customHeight="1">
      <c r="C295" s="39"/>
      <c r="D295" s="39"/>
    </row>
    <row r="296" ht="15.75" customHeight="1">
      <c r="C296" s="39"/>
      <c r="D296" s="39"/>
    </row>
    <row r="297" ht="15.75" customHeight="1">
      <c r="C297" s="39"/>
      <c r="D297" s="39"/>
    </row>
    <row r="298" ht="15.75" customHeight="1">
      <c r="C298" s="39"/>
      <c r="D298" s="39"/>
    </row>
    <row r="299" ht="15.75" customHeight="1">
      <c r="C299" s="39"/>
      <c r="D299" s="39"/>
    </row>
    <row r="300" ht="15.75" customHeight="1">
      <c r="C300" s="39"/>
      <c r="D300" s="39"/>
    </row>
    <row r="301" ht="15.75" customHeight="1">
      <c r="C301" s="39"/>
      <c r="D301" s="39"/>
    </row>
    <row r="302" ht="15.75" customHeight="1">
      <c r="C302" s="39"/>
      <c r="D302" s="39"/>
    </row>
    <row r="303" ht="15.75" customHeight="1">
      <c r="C303" s="39"/>
      <c r="D303" s="39"/>
    </row>
    <row r="304" ht="15.75" customHeight="1">
      <c r="C304" s="39"/>
      <c r="D304" s="39"/>
    </row>
    <row r="305" ht="15.75" customHeight="1">
      <c r="C305" s="39"/>
      <c r="D305" s="39"/>
    </row>
    <row r="306" ht="15.75" customHeight="1">
      <c r="C306" s="39"/>
      <c r="D306" s="39"/>
    </row>
    <row r="307" ht="15.75" customHeight="1">
      <c r="C307" s="39"/>
      <c r="D307" s="39"/>
    </row>
    <row r="308" ht="15.75" customHeight="1">
      <c r="C308" s="39"/>
      <c r="D308" s="39"/>
    </row>
    <row r="309" ht="15.75" customHeight="1">
      <c r="C309" s="39"/>
      <c r="D309" s="39"/>
    </row>
    <row r="310" ht="15.75" customHeight="1">
      <c r="C310" s="39"/>
      <c r="D310" s="39"/>
    </row>
    <row r="311" ht="15.75" customHeight="1">
      <c r="C311" s="39"/>
      <c r="D311" s="39"/>
    </row>
    <row r="312" ht="15.75" customHeight="1">
      <c r="C312" s="39"/>
      <c r="D312" s="39"/>
    </row>
    <row r="313" ht="15.75" customHeight="1">
      <c r="C313" s="39"/>
      <c r="D313" s="39"/>
    </row>
    <row r="314" ht="15.75" customHeight="1">
      <c r="C314" s="39"/>
      <c r="D314" s="39"/>
    </row>
    <row r="315" ht="15.75" customHeight="1">
      <c r="C315" s="39"/>
      <c r="D315" s="39"/>
    </row>
    <row r="316" ht="15.75" customHeight="1">
      <c r="C316" s="39"/>
      <c r="D316" s="39"/>
    </row>
    <row r="317" ht="15.75" customHeight="1">
      <c r="C317" s="39"/>
      <c r="D317" s="39"/>
    </row>
    <row r="318" ht="15.75" customHeight="1">
      <c r="C318" s="39"/>
      <c r="D318" s="39"/>
    </row>
    <row r="319" ht="15.75" customHeight="1">
      <c r="C319" s="39"/>
      <c r="D319" s="39"/>
    </row>
    <row r="320" ht="15.75" customHeight="1">
      <c r="C320" s="39"/>
      <c r="D320" s="39"/>
    </row>
    <row r="321" ht="15.75" customHeight="1">
      <c r="C321" s="39"/>
      <c r="D321" s="39"/>
    </row>
    <row r="322" ht="15.75" customHeight="1">
      <c r="C322" s="39"/>
      <c r="D322" s="39"/>
    </row>
    <row r="323" ht="15.75" customHeight="1">
      <c r="C323" s="39"/>
      <c r="D323" s="39"/>
    </row>
    <row r="324" ht="15.75" customHeight="1">
      <c r="C324" s="39"/>
      <c r="D324" s="39"/>
    </row>
    <row r="325" ht="15.75" customHeight="1">
      <c r="C325" s="39"/>
      <c r="D325" s="39"/>
    </row>
    <row r="326" ht="15.75" customHeight="1">
      <c r="C326" s="39"/>
      <c r="D326" s="39"/>
    </row>
    <row r="327" ht="15.75" customHeight="1">
      <c r="C327" s="39"/>
      <c r="D327" s="39"/>
    </row>
    <row r="328" ht="15.75" customHeight="1">
      <c r="C328" s="39"/>
      <c r="D328" s="39"/>
    </row>
    <row r="329" ht="15.75" customHeight="1">
      <c r="C329" s="39"/>
      <c r="D329" s="39"/>
    </row>
    <row r="330" ht="15.75" customHeight="1">
      <c r="C330" s="39"/>
      <c r="D330" s="39"/>
    </row>
    <row r="331" ht="15.75" customHeight="1">
      <c r="C331" s="39"/>
      <c r="D331" s="39"/>
    </row>
    <row r="332" ht="15.75" customHeight="1">
      <c r="C332" s="39"/>
      <c r="D332" s="39"/>
    </row>
    <row r="333" ht="15.75" customHeight="1">
      <c r="C333" s="39"/>
      <c r="D333" s="39"/>
    </row>
    <row r="334" ht="15.75" customHeight="1">
      <c r="C334" s="39"/>
      <c r="D334" s="39"/>
    </row>
    <row r="335" ht="15.75" customHeight="1">
      <c r="C335" s="39"/>
      <c r="D335" s="39"/>
    </row>
    <row r="336" ht="15.75" customHeight="1">
      <c r="C336" s="39"/>
      <c r="D336" s="39"/>
    </row>
    <row r="337" ht="15.75" customHeight="1">
      <c r="C337" s="39"/>
      <c r="D337" s="39"/>
    </row>
    <row r="338" ht="15.75" customHeight="1">
      <c r="C338" s="39"/>
      <c r="D338" s="39"/>
    </row>
    <row r="339" ht="15.75" customHeight="1">
      <c r="C339" s="39"/>
      <c r="D339" s="39"/>
    </row>
    <row r="340" ht="15.75" customHeight="1">
      <c r="C340" s="39"/>
      <c r="D340" s="39"/>
    </row>
    <row r="341" ht="15.75" customHeight="1">
      <c r="C341" s="39"/>
      <c r="D341" s="39"/>
    </row>
    <row r="342" ht="15.75" customHeight="1">
      <c r="C342" s="39"/>
      <c r="D342" s="39"/>
    </row>
    <row r="343" ht="15.75" customHeight="1">
      <c r="C343" s="39"/>
      <c r="D343" s="39"/>
    </row>
    <row r="344" ht="15.75" customHeight="1">
      <c r="C344" s="39"/>
      <c r="D344" s="39"/>
    </row>
    <row r="345" ht="15.75" customHeight="1">
      <c r="C345" s="39"/>
      <c r="D345" s="39"/>
    </row>
    <row r="346" ht="15.75" customHeight="1">
      <c r="C346" s="39"/>
      <c r="D346" s="39"/>
    </row>
    <row r="347" ht="15.75" customHeight="1">
      <c r="C347" s="39"/>
      <c r="D347" s="39"/>
    </row>
    <row r="348" ht="15.75" customHeight="1">
      <c r="C348" s="39"/>
      <c r="D348" s="39"/>
    </row>
    <row r="349" ht="15.75" customHeight="1">
      <c r="C349" s="39"/>
      <c r="D349" s="39"/>
    </row>
    <row r="350" ht="15.75" customHeight="1">
      <c r="C350" s="39"/>
      <c r="D350" s="39"/>
    </row>
    <row r="351" ht="15.75" customHeight="1">
      <c r="C351" s="39"/>
      <c r="D351" s="39"/>
    </row>
    <row r="352" ht="15.75" customHeight="1">
      <c r="C352" s="39"/>
      <c r="D352" s="39"/>
    </row>
    <row r="353" ht="15.75" customHeight="1">
      <c r="C353" s="39"/>
      <c r="D353" s="39"/>
    </row>
    <row r="354" ht="15.75" customHeight="1">
      <c r="C354" s="39"/>
      <c r="D354" s="39"/>
    </row>
    <row r="355" ht="15.75" customHeight="1">
      <c r="C355" s="39"/>
      <c r="D355" s="39"/>
    </row>
    <row r="356" ht="15.75" customHeight="1">
      <c r="C356" s="39"/>
      <c r="D356" s="39"/>
    </row>
    <row r="357" ht="15.75" customHeight="1">
      <c r="C357" s="39"/>
      <c r="D357" s="39"/>
    </row>
    <row r="358" ht="15.75" customHeight="1">
      <c r="C358" s="39"/>
      <c r="D358" s="39"/>
    </row>
    <row r="359" ht="15.75" customHeight="1">
      <c r="C359" s="39"/>
      <c r="D359" s="39"/>
    </row>
    <row r="360" ht="15.75" customHeight="1">
      <c r="C360" s="39"/>
      <c r="D360" s="39"/>
    </row>
    <row r="361" ht="15.75" customHeight="1">
      <c r="C361" s="39"/>
      <c r="D361" s="39"/>
    </row>
    <row r="362" ht="15.75" customHeight="1">
      <c r="C362" s="39"/>
      <c r="D362" s="39"/>
    </row>
    <row r="363" ht="15.75" customHeight="1">
      <c r="C363" s="39"/>
      <c r="D363" s="39"/>
    </row>
    <row r="364" ht="15.75" customHeight="1">
      <c r="C364" s="39"/>
      <c r="D364" s="39"/>
    </row>
    <row r="365" ht="15.75" customHeight="1">
      <c r="C365" s="39"/>
      <c r="D365" s="39"/>
    </row>
    <row r="366" ht="15.75" customHeight="1">
      <c r="C366" s="39"/>
      <c r="D366" s="39"/>
    </row>
    <row r="367" ht="15.75" customHeight="1">
      <c r="C367" s="39"/>
      <c r="D367" s="39"/>
    </row>
    <row r="368" ht="15.75" customHeight="1">
      <c r="C368" s="39"/>
      <c r="D368" s="39"/>
    </row>
    <row r="369" ht="15.75" customHeight="1">
      <c r="C369" s="39"/>
      <c r="D369" s="39"/>
    </row>
    <row r="370" ht="15.75" customHeight="1">
      <c r="C370" s="39"/>
      <c r="D370" s="39"/>
    </row>
    <row r="371" ht="15.75" customHeight="1">
      <c r="C371" s="39"/>
      <c r="D371" s="39"/>
    </row>
    <row r="372" ht="15.75" customHeight="1">
      <c r="C372" s="39"/>
      <c r="D372" s="39"/>
    </row>
    <row r="373" ht="15.75" customHeight="1">
      <c r="C373" s="39"/>
      <c r="D373" s="39"/>
    </row>
    <row r="374" ht="15.75" customHeight="1">
      <c r="C374" s="39"/>
      <c r="D374" s="39"/>
    </row>
    <row r="375" ht="15.75" customHeight="1">
      <c r="C375" s="39"/>
      <c r="D375" s="39"/>
    </row>
    <row r="376" ht="15.75" customHeight="1">
      <c r="C376" s="39"/>
      <c r="D376" s="39"/>
    </row>
    <row r="377" ht="15.75" customHeight="1">
      <c r="C377" s="39"/>
      <c r="D377" s="39"/>
    </row>
    <row r="378" ht="15.75" customHeight="1">
      <c r="C378" s="39"/>
      <c r="D378" s="39"/>
    </row>
    <row r="379" ht="15.75" customHeight="1">
      <c r="C379" s="39"/>
      <c r="D379" s="39"/>
    </row>
    <row r="380" ht="15.75" customHeight="1">
      <c r="C380" s="39"/>
      <c r="D380" s="39"/>
    </row>
    <row r="381" ht="15.75" customHeight="1">
      <c r="C381" s="39"/>
      <c r="D381" s="39"/>
    </row>
    <row r="382" ht="15.75" customHeight="1">
      <c r="C382" s="39"/>
      <c r="D382" s="39"/>
    </row>
    <row r="383" ht="15.75" customHeight="1">
      <c r="C383" s="39"/>
      <c r="D383" s="39"/>
    </row>
    <row r="384" ht="15.75" customHeight="1">
      <c r="C384" s="39"/>
      <c r="D384" s="39"/>
    </row>
    <row r="385" ht="15.75" customHeight="1">
      <c r="C385" s="39"/>
      <c r="D385" s="39"/>
    </row>
    <row r="386" ht="15.75" customHeight="1">
      <c r="C386" s="39"/>
      <c r="D386" s="39"/>
    </row>
    <row r="387" ht="15.75" customHeight="1">
      <c r="C387" s="39"/>
      <c r="D387" s="39"/>
    </row>
    <row r="388" ht="15.75" customHeight="1">
      <c r="C388" s="39"/>
      <c r="D388" s="39"/>
    </row>
    <row r="389" ht="15.75" customHeight="1">
      <c r="C389" s="39"/>
      <c r="D389" s="39"/>
    </row>
    <row r="390" ht="15.75" customHeight="1">
      <c r="C390" s="39"/>
      <c r="D390" s="39"/>
    </row>
    <row r="391" ht="15.75" customHeight="1">
      <c r="C391" s="39"/>
      <c r="D391" s="39"/>
    </row>
    <row r="392" ht="15.75" customHeight="1">
      <c r="C392" s="39"/>
      <c r="D392" s="39"/>
    </row>
    <row r="393" ht="15.75" customHeight="1">
      <c r="C393" s="39"/>
      <c r="D393" s="39"/>
    </row>
    <row r="394" ht="15.75" customHeight="1">
      <c r="C394" s="39"/>
      <c r="D394" s="39"/>
    </row>
    <row r="395" ht="15.75" customHeight="1">
      <c r="C395" s="39"/>
      <c r="D395" s="39"/>
    </row>
    <row r="396" ht="15.75" customHeight="1">
      <c r="C396" s="39"/>
      <c r="D396" s="39"/>
    </row>
    <row r="397" ht="15.75" customHeight="1">
      <c r="C397" s="39"/>
      <c r="D397" s="39"/>
    </row>
    <row r="398" ht="15.75" customHeight="1">
      <c r="C398" s="39"/>
      <c r="D398" s="39"/>
    </row>
    <row r="399" ht="15.75" customHeight="1">
      <c r="C399" s="39"/>
      <c r="D399" s="39"/>
    </row>
    <row r="400" ht="15.75" customHeight="1">
      <c r="C400" s="39"/>
      <c r="D400" s="39"/>
    </row>
    <row r="401" ht="15.75" customHeight="1">
      <c r="C401" s="39"/>
      <c r="D401" s="39"/>
    </row>
    <row r="402" ht="15.75" customHeight="1">
      <c r="C402" s="39"/>
      <c r="D402" s="39"/>
    </row>
    <row r="403" ht="15.75" customHeight="1">
      <c r="C403" s="39"/>
      <c r="D403" s="39"/>
    </row>
    <row r="404" ht="15.75" customHeight="1">
      <c r="C404" s="39"/>
      <c r="D404" s="39"/>
    </row>
    <row r="405" ht="15.75" customHeight="1">
      <c r="C405" s="39"/>
      <c r="D405" s="39"/>
    </row>
    <row r="406" ht="15.75" customHeight="1">
      <c r="C406" s="39"/>
      <c r="D406" s="39"/>
    </row>
    <row r="407" ht="15.75" customHeight="1">
      <c r="C407" s="39"/>
      <c r="D407" s="39"/>
    </row>
    <row r="408" ht="15.75" customHeight="1">
      <c r="C408" s="39"/>
      <c r="D408" s="39"/>
    </row>
    <row r="409" ht="15.75" customHeight="1">
      <c r="C409" s="39"/>
      <c r="D409" s="39"/>
    </row>
    <row r="410" ht="15.75" customHeight="1">
      <c r="C410" s="39"/>
      <c r="D410" s="39"/>
    </row>
    <row r="411" ht="15.75" customHeight="1">
      <c r="C411" s="39"/>
      <c r="D411" s="39"/>
    </row>
    <row r="412" ht="15.75" customHeight="1">
      <c r="C412" s="39"/>
      <c r="D412" s="39"/>
    </row>
    <row r="413" ht="15.75" customHeight="1">
      <c r="C413" s="39"/>
      <c r="D413" s="39"/>
    </row>
    <row r="414" ht="15.75" customHeight="1">
      <c r="C414" s="39"/>
      <c r="D414" s="39"/>
    </row>
    <row r="415" ht="15.75" customHeight="1">
      <c r="C415" s="39"/>
      <c r="D415" s="39"/>
    </row>
    <row r="416" ht="15.75" customHeight="1">
      <c r="C416" s="39"/>
      <c r="D416" s="39"/>
    </row>
    <row r="417" ht="15.75" customHeight="1">
      <c r="C417" s="39"/>
      <c r="D417" s="39"/>
    </row>
    <row r="418" ht="15.75" customHeight="1">
      <c r="C418" s="39"/>
      <c r="D418" s="39"/>
    </row>
    <row r="419" ht="15.75" customHeight="1">
      <c r="C419" s="39"/>
      <c r="D419" s="39"/>
    </row>
    <row r="420" ht="15.75" customHeight="1">
      <c r="C420" s="39"/>
      <c r="D420" s="39"/>
    </row>
    <row r="421" ht="15.75" customHeight="1">
      <c r="C421" s="39"/>
      <c r="D421" s="39"/>
    </row>
    <row r="422" ht="15.75" customHeight="1">
      <c r="C422" s="39"/>
      <c r="D422" s="39"/>
    </row>
    <row r="423" ht="15.75" customHeight="1">
      <c r="C423" s="39"/>
      <c r="D423" s="39"/>
    </row>
    <row r="424" ht="15.75" customHeight="1">
      <c r="C424" s="39"/>
      <c r="D424" s="39"/>
    </row>
    <row r="425" ht="15.75" customHeight="1">
      <c r="C425" s="39"/>
      <c r="D425" s="39"/>
    </row>
    <row r="426" ht="15.75" customHeight="1">
      <c r="C426" s="39"/>
      <c r="D426" s="39"/>
    </row>
    <row r="427" ht="15.75" customHeight="1">
      <c r="C427" s="39"/>
      <c r="D427" s="39"/>
    </row>
    <row r="428" ht="15.75" customHeight="1">
      <c r="C428" s="39"/>
      <c r="D428" s="39"/>
    </row>
    <row r="429" ht="15.75" customHeight="1">
      <c r="C429" s="39"/>
      <c r="D429" s="39"/>
    </row>
    <row r="430" ht="15.75" customHeight="1">
      <c r="C430" s="39"/>
      <c r="D430" s="39"/>
    </row>
    <row r="431" ht="15.75" customHeight="1">
      <c r="C431" s="39"/>
      <c r="D431" s="39"/>
    </row>
    <row r="432" ht="15.75" customHeight="1">
      <c r="C432" s="39"/>
      <c r="D432" s="39"/>
    </row>
    <row r="433" ht="15.75" customHeight="1">
      <c r="C433" s="39"/>
      <c r="D433" s="39"/>
    </row>
    <row r="434" ht="15.75" customHeight="1">
      <c r="C434" s="39"/>
      <c r="D434" s="39"/>
    </row>
    <row r="435" ht="15.75" customHeight="1">
      <c r="C435" s="39"/>
      <c r="D435" s="39"/>
    </row>
    <row r="436" ht="15.75" customHeight="1">
      <c r="C436" s="39"/>
      <c r="D436" s="39"/>
    </row>
    <row r="437" ht="15.75" customHeight="1">
      <c r="C437" s="39"/>
      <c r="D437" s="39"/>
    </row>
    <row r="438" ht="15.75" customHeight="1">
      <c r="C438" s="39"/>
      <c r="D438" s="39"/>
    </row>
    <row r="439" ht="15.75" customHeight="1">
      <c r="C439" s="39"/>
      <c r="D439" s="39"/>
    </row>
    <row r="440" ht="15.75" customHeight="1">
      <c r="C440" s="39"/>
      <c r="D440" s="39"/>
    </row>
    <row r="441" ht="15.75" customHeight="1">
      <c r="C441" s="39"/>
      <c r="D441" s="39"/>
    </row>
    <row r="442" ht="15.75" customHeight="1">
      <c r="C442" s="39"/>
      <c r="D442" s="39"/>
    </row>
    <row r="443" ht="15.75" customHeight="1">
      <c r="C443" s="39"/>
      <c r="D443" s="39"/>
    </row>
    <row r="444" ht="15.75" customHeight="1">
      <c r="C444" s="39"/>
      <c r="D444" s="39"/>
    </row>
    <row r="445" ht="15.75" customHeight="1">
      <c r="C445" s="39"/>
      <c r="D445" s="39"/>
    </row>
    <row r="446" ht="15.75" customHeight="1">
      <c r="C446" s="39"/>
      <c r="D446" s="39"/>
    </row>
    <row r="447" ht="15.75" customHeight="1">
      <c r="C447" s="39"/>
      <c r="D447" s="39"/>
    </row>
    <row r="448" ht="15.75" customHeight="1">
      <c r="C448" s="39"/>
      <c r="D448" s="39"/>
    </row>
    <row r="449" ht="15.75" customHeight="1">
      <c r="C449" s="39"/>
      <c r="D449" s="39"/>
    </row>
    <row r="450" ht="15.75" customHeight="1">
      <c r="C450" s="39"/>
      <c r="D450" s="39"/>
    </row>
    <row r="451" ht="15.75" customHeight="1">
      <c r="C451" s="39"/>
      <c r="D451" s="39"/>
    </row>
    <row r="452" ht="15.75" customHeight="1">
      <c r="C452" s="39"/>
      <c r="D452" s="39"/>
    </row>
    <row r="453" ht="15.75" customHeight="1">
      <c r="C453" s="39"/>
      <c r="D453" s="39"/>
    </row>
    <row r="454" ht="15.75" customHeight="1">
      <c r="C454" s="39"/>
      <c r="D454" s="39"/>
    </row>
    <row r="455" ht="15.75" customHeight="1">
      <c r="C455" s="39"/>
      <c r="D455" s="39"/>
    </row>
    <row r="456" ht="15.75" customHeight="1">
      <c r="C456" s="39"/>
      <c r="D456" s="39"/>
    </row>
    <row r="457" ht="15.75" customHeight="1">
      <c r="C457" s="39"/>
      <c r="D457" s="39"/>
    </row>
    <row r="458" ht="15.75" customHeight="1">
      <c r="C458" s="39"/>
      <c r="D458" s="39"/>
    </row>
    <row r="459" ht="15.75" customHeight="1">
      <c r="C459" s="39"/>
      <c r="D459" s="39"/>
    </row>
    <row r="460" ht="15.75" customHeight="1">
      <c r="C460" s="39"/>
      <c r="D460" s="39"/>
    </row>
    <row r="461" ht="15.75" customHeight="1">
      <c r="C461" s="39"/>
      <c r="D461" s="39"/>
    </row>
    <row r="462" ht="15.75" customHeight="1">
      <c r="C462" s="39"/>
      <c r="D462" s="39"/>
    </row>
    <row r="463" ht="15.75" customHeight="1">
      <c r="C463" s="39"/>
      <c r="D463" s="39"/>
    </row>
    <row r="464" ht="15.75" customHeight="1">
      <c r="C464" s="39"/>
      <c r="D464" s="39"/>
    </row>
    <row r="465" ht="15.75" customHeight="1">
      <c r="C465" s="39"/>
      <c r="D465" s="39"/>
    </row>
    <row r="466" ht="15.75" customHeight="1">
      <c r="C466" s="39"/>
      <c r="D466" s="39"/>
    </row>
    <row r="467" ht="15.75" customHeight="1">
      <c r="C467" s="39"/>
      <c r="D467" s="39"/>
    </row>
    <row r="468" ht="15.75" customHeight="1">
      <c r="C468" s="39"/>
      <c r="D468" s="39"/>
    </row>
    <row r="469" ht="15.75" customHeight="1">
      <c r="C469" s="39"/>
      <c r="D469" s="39"/>
    </row>
    <row r="470" ht="15.75" customHeight="1">
      <c r="C470" s="39"/>
      <c r="D470" s="39"/>
    </row>
    <row r="471" ht="15.75" customHeight="1">
      <c r="C471" s="39"/>
      <c r="D471" s="39"/>
    </row>
    <row r="472" ht="15.75" customHeight="1">
      <c r="C472" s="39"/>
      <c r="D472" s="39"/>
    </row>
    <row r="473" ht="15.75" customHeight="1">
      <c r="C473" s="39"/>
      <c r="D473" s="39"/>
    </row>
    <row r="474" ht="15.75" customHeight="1">
      <c r="C474" s="39"/>
      <c r="D474" s="39"/>
    </row>
    <row r="475" ht="15.75" customHeight="1">
      <c r="C475" s="39"/>
      <c r="D475" s="39"/>
    </row>
    <row r="476" ht="15.75" customHeight="1">
      <c r="C476" s="39"/>
      <c r="D476" s="39"/>
    </row>
    <row r="477" ht="15.75" customHeight="1">
      <c r="C477" s="39"/>
      <c r="D477" s="39"/>
    </row>
    <row r="478" ht="15.75" customHeight="1">
      <c r="C478" s="39"/>
      <c r="D478" s="39"/>
    </row>
    <row r="479" ht="15.75" customHeight="1">
      <c r="C479" s="39"/>
      <c r="D479" s="39"/>
    </row>
    <row r="480" ht="15.75" customHeight="1">
      <c r="C480" s="39"/>
      <c r="D480" s="39"/>
    </row>
    <row r="481" ht="15.75" customHeight="1">
      <c r="C481" s="39"/>
      <c r="D481" s="39"/>
    </row>
    <row r="482" ht="15.75" customHeight="1">
      <c r="C482" s="39"/>
      <c r="D482" s="39"/>
    </row>
    <row r="483" ht="15.75" customHeight="1">
      <c r="C483" s="39"/>
      <c r="D483" s="39"/>
    </row>
    <row r="484" ht="15.75" customHeight="1">
      <c r="C484" s="39"/>
      <c r="D484" s="39"/>
    </row>
    <row r="485" ht="15.75" customHeight="1">
      <c r="C485" s="39"/>
      <c r="D485" s="39"/>
    </row>
    <row r="486" ht="15.75" customHeight="1">
      <c r="C486" s="39"/>
      <c r="D486" s="39"/>
    </row>
    <row r="487" ht="15.75" customHeight="1">
      <c r="C487" s="39"/>
      <c r="D487" s="39"/>
    </row>
    <row r="488" ht="15.75" customHeight="1">
      <c r="C488" s="39"/>
      <c r="D488" s="39"/>
    </row>
    <row r="489" ht="15.75" customHeight="1">
      <c r="C489" s="39"/>
      <c r="D489" s="39"/>
    </row>
    <row r="490" ht="15.75" customHeight="1">
      <c r="C490" s="39"/>
      <c r="D490" s="39"/>
    </row>
    <row r="491" ht="15.75" customHeight="1">
      <c r="C491" s="39"/>
      <c r="D491" s="39"/>
    </row>
    <row r="492" ht="15.75" customHeight="1">
      <c r="C492" s="39"/>
      <c r="D492" s="39"/>
    </row>
    <row r="493" ht="15.75" customHeight="1">
      <c r="C493" s="39"/>
      <c r="D493" s="39"/>
    </row>
    <row r="494" ht="15.75" customHeight="1">
      <c r="C494" s="39"/>
      <c r="D494" s="39"/>
    </row>
    <row r="495" ht="15.75" customHeight="1">
      <c r="C495" s="39"/>
      <c r="D495" s="39"/>
    </row>
    <row r="496" ht="15.75" customHeight="1">
      <c r="C496" s="39"/>
      <c r="D496" s="39"/>
    </row>
    <row r="497" ht="15.75" customHeight="1">
      <c r="C497" s="39"/>
      <c r="D497" s="39"/>
    </row>
    <row r="498" ht="15.75" customHeight="1">
      <c r="C498" s="39"/>
      <c r="D498" s="39"/>
    </row>
    <row r="499" ht="15.75" customHeight="1">
      <c r="C499" s="39"/>
      <c r="D499" s="39"/>
    </row>
    <row r="500" ht="15.75" customHeight="1">
      <c r="C500" s="39"/>
      <c r="D500" s="39"/>
    </row>
    <row r="501" ht="15.75" customHeight="1">
      <c r="C501" s="39"/>
      <c r="D501" s="39"/>
    </row>
    <row r="502" ht="15.75" customHeight="1">
      <c r="C502" s="39"/>
      <c r="D502" s="39"/>
    </row>
    <row r="503" ht="15.75" customHeight="1">
      <c r="C503" s="39"/>
      <c r="D503" s="39"/>
    </row>
    <row r="504" ht="15.75" customHeight="1">
      <c r="C504" s="39"/>
      <c r="D504" s="39"/>
    </row>
    <row r="505" ht="15.75" customHeight="1">
      <c r="C505" s="39"/>
      <c r="D505" s="39"/>
    </row>
    <row r="506" ht="15.75" customHeight="1">
      <c r="C506" s="39"/>
      <c r="D506" s="39"/>
    </row>
    <row r="507" ht="15.75" customHeight="1">
      <c r="C507" s="39"/>
      <c r="D507" s="39"/>
    </row>
    <row r="508" ht="15.75" customHeight="1">
      <c r="C508" s="39"/>
      <c r="D508" s="39"/>
    </row>
    <row r="509" ht="15.75" customHeight="1">
      <c r="C509" s="39"/>
      <c r="D509" s="39"/>
    </row>
    <row r="510" ht="15.75" customHeight="1">
      <c r="C510" s="39"/>
      <c r="D510" s="39"/>
    </row>
    <row r="511" ht="15.75" customHeight="1">
      <c r="C511" s="39"/>
      <c r="D511" s="39"/>
    </row>
    <row r="512" ht="15.75" customHeight="1">
      <c r="C512" s="39"/>
      <c r="D512" s="39"/>
    </row>
    <row r="513" ht="15.75" customHeight="1">
      <c r="C513" s="39"/>
      <c r="D513" s="39"/>
    </row>
    <row r="514" ht="15.75" customHeight="1">
      <c r="C514" s="39"/>
      <c r="D514" s="39"/>
    </row>
    <row r="515" ht="15.75" customHeight="1">
      <c r="C515" s="39"/>
      <c r="D515" s="39"/>
    </row>
    <row r="516" ht="15.75" customHeight="1">
      <c r="C516" s="39"/>
      <c r="D516" s="39"/>
    </row>
    <row r="517" ht="15.75" customHeight="1">
      <c r="C517" s="39"/>
      <c r="D517" s="39"/>
    </row>
    <row r="518" ht="15.75" customHeight="1">
      <c r="C518" s="39"/>
      <c r="D518" s="39"/>
    </row>
    <row r="519" ht="15.75" customHeight="1">
      <c r="C519" s="39"/>
      <c r="D519" s="39"/>
    </row>
    <row r="520" ht="15.75" customHeight="1">
      <c r="C520" s="39"/>
      <c r="D520" s="39"/>
    </row>
    <row r="521" ht="15.75" customHeight="1">
      <c r="C521" s="39"/>
      <c r="D521" s="39"/>
    </row>
    <row r="522" ht="15.75" customHeight="1">
      <c r="C522" s="39"/>
      <c r="D522" s="39"/>
    </row>
    <row r="523" ht="15.75" customHeight="1">
      <c r="C523" s="39"/>
      <c r="D523" s="39"/>
    </row>
    <row r="524" ht="15.75" customHeight="1">
      <c r="C524" s="39"/>
      <c r="D524" s="39"/>
    </row>
    <row r="525" ht="15.75" customHeight="1">
      <c r="C525" s="39"/>
      <c r="D525" s="39"/>
    </row>
    <row r="526" ht="15.75" customHeight="1">
      <c r="C526" s="39"/>
      <c r="D526" s="39"/>
    </row>
    <row r="527" ht="15.75" customHeight="1">
      <c r="C527" s="39"/>
      <c r="D527" s="39"/>
    </row>
    <row r="528" ht="15.75" customHeight="1">
      <c r="C528" s="39"/>
      <c r="D528" s="39"/>
    </row>
    <row r="529" ht="15.75" customHeight="1">
      <c r="C529" s="39"/>
      <c r="D529" s="39"/>
    </row>
    <row r="530" ht="15.75" customHeight="1">
      <c r="C530" s="39"/>
      <c r="D530" s="39"/>
    </row>
    <row r="531" ht="15.75" customHeight="1">
      <c r="C531" s="39"/>
      <c r="D531" s="39"/>
    </row>
    <row r="532" ht="15.75" customHeight="1">
      <c r="C532" s="39"/>
      <c r="D532" s="39"/>
    </row>
    <row r="533" ht="15.75" customHeight="1">
      <c r="C533" s="39"/>
      <c r="D533" s="39"/>
    </row>
    <row r="534" ht="15.75" customHeight="1">
      <c r="C534" s="39"/>
      <c r="D534" s="39"/>
    </row>
    <row r="535" ht="15.75" customHeight="1">
      <c r="C535" s="39"/>
      <c r="D535" s="39"/>
    </row>
    <row r="536" ht="15.75" customHeight="1">
      <c r="C536" s="39"/>
      <c r="D536" s="39"/>
    </row>
    <row r="537" ht="15.75" customHeight="1">
      <c r="C537" s="39"/>
      <c r="D537" s="39"/>
    </row>
    <row r="538" ht="15.75" customHeight="1">
      <c r="C538" s="39"/>
      <c r="D538" s="39"/>
    </row>
    <row r="539" ht="15.75" customHeight="1">
      <c r="C539" s="39"/>
      <c r="D539" s="39"/>
    </row>
    <row r="540" ht="15.75" customHeight="1">
      <c r="C540" s="39"/>
      <c r="D540" s="39"/>
    </row>
    <row r="541" ht="15.75" customHeight="1">
      <c r="C541" s="39"/>
      <c r="D541" s="39"/>
    </row>
    <row r="542" ht="15.75" customHeight="1">
      <c r="C542" s="39"/>
      <c r="D542" s="39"/>
    </row>
    <row r="543" ht="15.75" customHeight="1">
      <c r="C543" s="39"/>
      <c r="D543" s="39"/>
    </row>
    <row r="544" ht="15.75" customHeight="1">
      <c r="C544" s="39"/>
      <c r="D544" s="39"/>
    </row>
    <row r="545" ht="15.75" customHeight="1">
      <c r="C545" s="39"/>
      <c r="D545" s="39"/>
    </row>
    <row r="546" ht="15.75" customHeight="1">
      <c r="C546" s="39"/>
      <c r="D546" s="39"/>
    </row>
    <row r="547" ht="15.75" customHeight="1">
      <c r="C547" s="39"/>
      <c r="D547" s="39"/>
    </row>
    <row r="548" ht="15.75" customHeight="1">
      <c r="C548" s="39"/>
      <c r="D548" s="39"/>
    </row>
    <row r="549" ht="15.75" customHeight="1">
      <c r="C549" s="39"/>
      <c r="D549" s="39"/>
    </row>
    <row r="550" ht="15.75" customHeight="1">
      <c r="C550" s="39"/>
      <c r="D550" s="39"/>
    </row>
    <row r="551" ht="15.75" customHeight="1">
      <c r="C551" s="39"/>
      <c r="D551" s="39"/>
    </row>
    <row r="552" ht="15.75" customHeight="1">
      <c r="C552" s="39"/>
      <c r="D552" s="39"/>
    </row>
    <row r="553" ht="15.75" customHeight="1">
      <c r="C553" s="39"/>
      <c r="D553" s="39"/>
    </row>
    <row r="554" ht="15.75" customHeight="1">
      <c r="C554" s="39"/>
      <c r="D554" s="39"/>
    </row>
    <row r="555" ht="15.75" customHeight="1">
      <c r="C555" s="39"/>
      <c r="D555" s="39"/>
    </row>
    <row r="556" ht="15.75" customHeight="1">
      <c r="C556" s="39"/>
      <c r="D556" s="39"/>
    </row>
    <row r="557" ht="15.75" customHeight="1">
      <c r="C557" s="39"/>
      <c r="D557" s="39"/>
    </row>
    <row r="558" ht="15.75" customHeight="1">
      <c r="C558" s="39"/>
      <c r="D558" s="39"/>
    </row>
    <row r="559" ht="15.75" customHeight="1">
      <c r="C559" s="39"/>
      <c r="D559" s="39"/>
    </row>
    <row r="560" ht="15.75" customHeight="1">
      <c r="C560" s="39"/>
      <c r="D560" s="39"/>
    </row>
    <row r="561" ht="15.75" customHeight="1">
      <c r="C561" s="39"/>
      <c r="D561" s="39"/>
    </row>
    <row r="562" ht="15.75" customHeight="1">
      <c r="C562" s="39"/>
      <c r="D562" s="39"/>
    </row>
    <row r="563" ht="15.75" customHeight="1">
      <c r="C563" s="39"/>
      <c r="D563" s="39"/>
    </row>
    <row r="564" ht="15.75" customHeight="1">
      <c r="C564" s="39"/>
      <c r="D564" s="39"/>
    </row>
    <row r="565" ht="15.75" customHeight="1">
      <c r="C565" s="39"/>
      <c r="D565" s="39"/>
    </row>
    <row r="566" ht="15.75" customHeight="1">
      <c r="C566" s="39"/>
      <c r="D566" s="39"/>
    </row>
    <row r="567" ht="15.75" customHeight="1">
      <c r="C567" s="39"/>
      <c r="D567" s="39"/>
    </row>
    <row r="568" ht="15.75" customHeight="1">
      <c r="C568" s="39"/>
      <c r="D568" s="39"/>
    </row>
    <row r="569" ht="15.75" customHeight="1">
      <c r="C569" s="39"/>
      <c r="D569" s="39"/>
    </row>
    <row r="570" ht="15.75" customHeight="1">
      <c r="C570" s="39"/>
      <c r="D570" s="39"/>
    </row>
    <row r="571" ht="15.75" customHeight="1">
      <c r="C571" s="39"/>
      <c r="D571" s="39"/>
    </row>
    <row r="572" ht="15.75" customHeight="1">
      <c r="C572" s="39"/>
      <c r="D572" s="39"/>
    </row>
    <row r="573" ht="15.75" customHeight="1">
      <c r="C573" s="39"/>
      <c r="D573" s="39"/>
    </row>
    <row r="574" ht="15.75" customHeight="1">
      <c r="C574" s="39"/>
      <c r="D574" s="39"/>
    </row>
    <row r="575" ht="15.75" customHeight="1">
      <c r="C575" s="39"/>
      <c r="D575" s="39"/>
    </row>
    <row r="576" ht="15.75" customHeight="1">
      <c r="C576" s="39"/>
      <c r="D576" s="39"/>
    </row>
    <row r="577" ht="15.75" customHeight="1">
      <c r="C577" s="39"/>
      <c r="D577" s="39"/>
    </row>
    <row r="578" ht="15.75" customHeight="1">
      <c r="C578" s="39"/>
      <c r="D578" s="39"/>
    </row>
    <row r="579" ht="15.75" customHeight="1">
      <c r="C579" s="39"/>
      <c r="D579" s="39"/>
    </row>
    <row r="580" ht="15.75" customHeight="1">
      <c r="C580" s="39"/>
      <c r="D580" s="39"/>
    </row>
    <row r="581" ht="15.75" customHeight="1">
      <c r="C581" s="39"/>
      <c r="D581" s="39"/>
    </row>
    <row r="582" ht="15.75" customHeight="1">
      <c r="C582" s="39"/>
      <c r="D582" s="39"/>
    </row>
    <row r="583" ht="15.75" customHeight="1">
      <c r="C583" s="39"/>
      <c r="D583" s="39"/>
    </row>
    <row r="584" ht="15.75" customHeight="1">
      <c r="C584" s="39"/>
      <c r="D584" s="39"/>
    </row>
    <row r="585" ht="15.75" customHeight="1">
      <c r="C585" s="39"/>
      <c r="D585" s="39"/>
    </row>
    <row r="586" ht="15.75" customHeight="1">
      <c r="C586" s="39"/>
      <c r="D586" s="39"/>
    </row>
    <row r="587" ht="15.75" customHeight="1">
      <c r="C587" s="39"/>
      <c r="D587" s="39"/>
    </row>
    <row r="588" ht="15.75" customHeight="1">
      <c r="C588" s="39"/>
      <c r="D588" s="39"/>
    </row>
    <row r="589" ht="15.75" customHeight="1">
      <c r="C589" s="39"/>
      <c r="D589" s="39"/>
    </row>
    <row r="590" ht="15.75" customHeight="1">
      <c r="C590" s="39"/>
      <c r="D590" s="39"/>
    </row>
    <row r="591" ht="15.75" customHeight="1">
      <c r="C591" s="39"/>
      <c r="D591" s="39"/>
    </row>
    <row r="592" ht="15.75" customHeight="1">
      <c r="C592" s="39"/>
      <c r="D592" s="39"/>
    </row>
    <row r="593" ht="15.75" customHeight="1">
      <c r="C593" s="39"/>
      <c r="D593" s="39"/>
    </row>
    <row r="594" ht="15.75" customHeight="1">
      <c r="C594" s="39"/>
      <c r="D594" s="39"/>
    </row>
    <row r="595" ht="15.75" customHeight="1">
      <c r="C595" s="39"/>
      <c r="D595" s="39"/>
    </row>
    <row r="596" ht="15.75" customHeight="1">
      <c r="C596" s="39"/>
      <c r="D596" s="39"/>
    </row>
    <row r="597" ht="15.75" customHeight="1">
      <c r="C597" s="39"/>
      <c r="D597" s="39"/>
    </row>
    <row r="598" ht="15.75" customHeight="1">
      <c r="C598" s="39"/>
      <c r="D598" s="39"/>
    </row>
    <row r="599" ht="15.75" customHeight="1">
      <c r="C599" s="39"/>
      <c r="D599" s="39"/>
    </row>
    <row r="600" ht="15.75" customHeight="1">
      <c r="C600" s="39"/>
      <c r="D600" s="39"/>
    </row>
    <row r="601" ht="15.75" customHeight="1">
      <c r="C601" s="39"/>
      <c r="D601" s="39"/>
    </row>
    <row r="602" ht="15.75" customHeight="1">
      <c r="C602" s="39"/>
      <c r="D602" s="39"/>
    </row>
    <row r="603" ht="15.75" customHeight="1">
      <c r="C603" s="39"/>
      <c r="D603" s="39"/>
    </row>
    <row r="604" ht="15.75" customHeight="1">
      <c r="C604" s="39"/>
      <c r="D604" s="39"/>
    </row>
    <row r="605" ht="15.75" customHeight="1">
      <c r="C605" s="39"/>
      <c r="D605" s="39"/>
    </row>
    <row r="606" ht="15.75" customHeight="1">
      <c r="C606" s="39"/>
      <c r="D606" s="39"/>
    </row>
    <row r="607" ht="15.75" customHeight="1">
      <c r="C607" s="39"/>
      <c r="D607" s="39"/>
    </row>
    <row r="608" ht="15.75" customHeight="1">
      <c r="C608" s="39"/>
      <c r="D608" s="39"/>
    </row>
    <row r="609" ht="15.75" customHeight="1">
      <c r="C609" s="39"/>
      <c r="D609" s="39"/>
    </row>
    <row r="610" ht="15.75" customHeight="1">
      <c r="C610" s="39"/>
      <c r="D610" s="39"/>
    </row>
    <row r="611" ht="15.75" customHeight="1">
      <c r="C611" s="39"/>
      <c r="D611" s="39"/>
    </row>
    <row r="612" ht="15.75" customHeight="1">
      <c r="C612" s="39"/>
      <c r="D612" s="39"/>
    </row>
    <row r="613" ht="15.75" customHeight="1">
      <c r="C613" s="39"/>
      <c r="D613" s="39"/>
    </row>
    <row r="614" ht="15.75" customHeight="1">
      <c r="C614" s="39"/>
      <c r="D614" s="39"/>
    </row>
    <row r="615" ht="15.75" customHeight="1">
      <c r="C615" s="39"/>
      <c r="D615" s="39"/>
    </row>
    <row r="616" ht="15.75" customHeight="1">
      <c r="C616" s="39"/>
      <c r="D616" s="39"/>
    </row>
    <row r="617" ht="15.75" customHeight="1">
      <c r="C617" s="39"/>
      <c r="D617" s="39"/>
    </row>
    <row r="618" ht="15.75" customHeight="1">
      <c r="C618" s="39"/>
      <c r="D618" s="39"/>
    </row>
    <row r="619" ht="15.75" customHeight="1">
      <c r="C619" s="39"/>
      <c r="D619" s="39"/>
    </row>
    <row r="620" ht="15.75" customHeight="1">
      <c r="C620" s="39"/>
      <c r="D620" s="39"/>
    </row>
    <row r="621" ht="15.75" customHeight="1">
      <c r="C621" s="39"/>
      <c r="D621" s="39"/>
    </row>
    <row r="622" ht="15.75" customHeight="1">
      <c r="C622" s="39"/>
      <c r="D622" s="39"/>
    </row>
    <row r="623" ht="15.75" customHeight="1">
      <c r="C623" s="39"/>
      <c r="D623" s="39"/>
    </row>
    <row r="624" ht="15.75" customHeight="1">
      <c r="C624" s="39"/>
      <c r="D624" s="39"/>
    </row>
    <row r="625" ht="15.75" customHeight="1">
      <c r="C625" s="39"/>
      <c r="D625" s="39"/>
    </row>
    <row r="626" ht="15.75" customHeight="1">
      <c r="C626" s="39"/>
      <c r="D626" s="39"/>
    </row>
    <row r="627" ht="15.75" customHeight="1">
      <c r="C627" s="39"/>
      <c r="D627" s="39"/>
    </row>
    <row r="628" ht="15.75" customHeight="1">
      <c r="C628" s="39"/>
      <c r="D628" s="39"/>
    </row>
    <row r="629" ht="15.75" customHeight="1">
      <c r="C629" s="39"/>
      <c r="D629" s="39"/>
    </row>
    <row r="630" ht="15.75" customHeight="1">
      <c r="C630" s="39"/>
      <c r="D630" s="39"/>
    </row>
    <row r="631" ht="15.75" customHeight="1">
      <c r="C631" s="39"/>
      <c r="D631" s="39"/>
    </row>
    <row r="632" ht="15.75" customHeight="1">
      <c r="C632" s="39"/>
      <c r="D632" s="39"/>
    </row>
    <row r="633" ht="15.75" customHeight="1">
      <c r="C633" s="39"/>
      <c r="D633" s="39"/>
    </row>
    <row r="634" ht="15.75" customHeight="1">
      <c r="C634" s="39"/>
      <c r="D634" s="39"/>
    </row>
    <row r="635" ht="15.75" customHeight="1">
      <c r="C635" s="39"/>
      <c r="D635" s="39"/>
    </row>
    <row r="636" ht="15.75" customHeight="1">
      <c r="C636" s="39"/>
      <c r="D636" s="39"/>
    </row>
    <row r="637" ht="15.75" customHeight="1">
      <c r="C637" s="39"/>
      <c r="D637" s="39"/>
    </row>
    <row r="638" ht="15.75" customHeight="1">
      <c r="C638" s="39"/>
      <c r="D638" s="39"/>
    </row>
    <row r="639" ht="15.75" customHeight="1">
      <c r="C639" s="39"/>
      <c r="D639" s="39"/>
    </row>
    <row r="640" ht="15.75" customHeight="1">
      <c r="C640" s="39"/>
      <c r="D640" s="39"/>
    </row>
    <row r="641" ht="15.75" customHeight="1">
      <c r="C641" s="39"/>
      <c r="D641" s="39"/>
    </row>
    <row r="642" ht="15.75" customHeight="1">
      <c r="C642" s="39"/>
      <c r="D642" s="39"/>
    </row>
    <row r="643" ht="15.75" customHeight="1">
      <c r="C643" s="39"/>
      <c r="D643" s="39"/>
    </row>
    <row r="644" ht="15.75" customHeight="1">
      <c r="C644" s="39"/>
      <c r="D644" s="39"/>
    </row>
    <row r="645" ht="15.75" customHeight="1">
      <c r="C645" s="39"/>
      <c r="D645" s="39"/>
    </row>
    <row r="646" ht="15.75" customHeight="1">
      <c r="C646" s="39"/>
      <c r="D646" s="39"/>
    </row>
    <row r="647" ht="15.75" customHeight="1">
      <c r="C647" s="39"/>
      <c r="D647" s="39"/>
    </row>
    <row r="648" ht="15.75" customHeight="1">
      <c r="C648" s="39"/>
      <c r="D648" s="39"/>
    </row>
    <row r="649" ht="15.75" customHeight="1">
      <c r="C649" s="39"/>
      <c r="D649" s="39"/>
    </row>
    <row r="650" ht="15.75" customHeight="1">
      <c r="C650" s="39"/>
      <c r="D650" s="39"/>
    </row>
    <row r="651" ht="15.75" customHeight="1">
      <c r="C651" s="39"/>
      <c r="D651" s="39"/>
    </row>
    <row r="652" ht="15.75" customHeight="1">
      <c r="C652" s="39"/>
      <c r="D652" s="39"/>
    </row>
    <row r="653" ht="15.75" customHeight="1">
      <c r="C653" s="39"/>
      <c r="D653" s="39"/>
    </row>
    <row r="654" ht="15.75" customHeight="1">
      <c r="C654" s="39"/>
      <c r="D654" s="39"/>
    </row>
    <row r="655" ht="15.75" customHeight="1">
      <c r="C655" s="39"/>
      <c r="D655" s="39"/>
    </row>
    <row r="656" ht="15.75" customHeight="1">
      <c r="C656" s="39"/>
      <c r="D656" s="39"/>
    </row>
    <row r="657" ht="15.75" customHeight="1">
      <c r="C657" s="39"/>
      <c r="D657" s="39"/>
    </row>
    <row r="658" ht="15.75" customHeight="1">
      <c r="C658" s="39"/>
      <c r="D658" s="39"/>
    </row>
    <row r="659" ht="15.75" customHeight="1">
      <c r="C659" s="39"/>
      <c r="D659" s="39"/>
    </row>
    <row r="660" ht="15.75" customHeight="1">
      <c r="C660" s="39"/>
      <c r="D660" s="39"/>
    </row>
    <row r="661" ht="15.75" customHeight="1">
      <c r="C661" s="39"/>
      <c r="D661" s="39"/>
    </row>
    <row r="662" ht="15.75" customHeight="1">
      <c r="C662" s="39"/>
      <c r="D662" s="39"/>
    </row>
    <row r="663" ht="15.75" customHeight="1">
      <c r="C663" s="39"/>
      <c r="D663" s="39"/>
    </row>
    <row r="664" ht="15.75" customHeight="1">
      <c r="C664" s="39"/>
      <c r="D664" s="39"/>
    </row>
    <row r="665" ht="15.75" customHeight="1">
      <c r="C665" s="39"/>
      <c r="D665" s="39"/>
    </row>
    <row r="666" ht="15.75" customHeight="1">
      <c r="C666" s="39"/>
      <c r="D666" s="39"/>
    </row>
    <row r="667" ht="15.75" customHeight="1">
      <c r="C667" s="39"/>
      <c r="D667" s="39"/>
    </row>
    <row r="668" ht="15.75" customHeight="1">
      <c r="C668" s="39"/>
      <c r="D668" s="39"/>
    </row>
    <row r="669" ht="15.75" customHeight="1">
      <c r="C669" s="39"/>
      <c r="D669" s="39"/>
    </row>
    <row r="670" ht="15.75" customHeight="1">
      <c r="C670" s="39"/>
      <c r="D670" s="39"/>
    </row>
    <row r="671" ht="15.75" customHeight="1">
      <c r="C671" s="39"/>
      <c r="D671" s="39"/>
    </row>
    <row r="672" ht="15.75" customHeight="1">
      <c r="C672" s="39"/>
      <c r="D672" s="39"/>
    </row>
    <row r="673" ht="15.75" customHeight="1">
      <c r="C673" s="39"/>
      <c r="D673" s="39"/>
    </row>
    <row r="674" ht="15.75" customHeight="1">
      <c r="C674" s="39"/>
      <c r="D674" s="39"/>
    </row>
    <row r="675" ht="15.75" customHeight="1">
      <c r="C675" s="39"/>
      <c r="D675" s="39"/>
    </row>
    <row r="676" ht="15.75" customHeight="1">
      <c r="C676" s="39"/>
      <c r="D676" s="39"/>
    </row>
    <row r="677" ht="15.75" customHeight="1">
      <c r="C677" s="39"/>
      <c r="D677" s="39"/>
    </row>
    <row r="678" ht="15.75" customHeight="1">
      <c r="C678" s="39"/>
      <c r="D678" s="39"/>
    </row>
    <row r="679" ht="15.75" customHeight="1">
      <c r="C679" s="39"/>
      <c r="D679" s="39"/>
    </row>
    <row r="680" ht="15.75" customHeight="1">
      <c r="C680" s="39"/>
      <c r="D680" s="39"/>
    </row>
    <row r="681" ht="15.75" customHeight="1">
      <c r="C681" s="39"/>
      <c r="D681" s="39"/>
    </row>
    <row r="682" ht="15.75" customHeight="1">
      <c r="C682" s="39"/>
      <c r="D682" s="39"/>
    </row>
    <row r="683" ht="15.75" customHeight="1">
      <c r="C683" s="39"/>
      <c r="D683" s="39"/>
    </row>
    <row r="684" ht="15.75" customHeight="1">
      <c r="C684" s="39"/>
      <c r="D684" s="39"/>
    </row>
    <row r="685" ht="15.75" customHeight="1">
      <c r="C685" s="39"/>
      <c r="D685" s="39"/>
    </row>
    <row r="686" ht="15.75" customHeight="1">
      <c r="C686" s="39"/>
      <c r="D686" s="39"/>
    </row>
    <row r="687" ht="15.75" customHeight="1">
      <c r="C687" s="39"/>
      <c r="D687" s="39"/>
    </row>
    <row r="688" ht="15.75" customHeight="1">
      <c r="C688" s="39"/>
      <c r="D688" s="39"/>
    </row>
    <row r="689" ht="15.75" customHeight="1">
      <c r="C689" s="39"/>
      <c r="D689" s="39"/>
    </row>
    <row r="690" ht="15.75" customHeight="1">
      <c r="C690" s="39"/>
      <c r="D690" s="39"/>
    </row>
    <row r="691" ht="15.75" customHeight="1">
      <c r="C691" s="39"/>
      <c r="D691" s="39"/>
    </row>
    <row r="692" ht="15.75" customHeight="1">
      <c r="C692" s="39"/>
      <c r="D692" s="39"/>
    </row>
    <row r="693" ht="15.75" customHeight="1">
      <c r="C693" s="39"/>
      <c r="D693" s="39"/>
    </row>
    <row r="694" ht="15.75" customHeight="1">
      <c r="C694" s="39"/>
      <c r="D694" s="39"/>
    </row>
    <row r="695" ht="15.75" customHeight="1">
      <c r="C695" s="39"/>
      <c r="D695" s="39"/>
    </row>
    <row r="696" ht="15.75" customHeight="1">
      <c r="C696" s="39"/>
      <c r="D696" s="39"/>
    </row>
    <row r="697" ht="15.75" customHeight="1">
      <c r="C697" s="39"/>
      <c r="D697" s="39"/>
    </row>
    <row r="698" ht="15.75" customHeight="1">
      <c r="C698" s="39"/>
      <c r="D698" s="39"/>
    </row>
    <row r="699" ht="15.75" customHeight="1">
      <c r="C699" s="39"/>
      <c r="D699" s="39"/>
    </row>
    <row r="700" ht="15.75" customHeight="1">
      <c r="C700" s="39"/>
      <c r="D700" s="39"/>
    </row>
    <row r="701" ht="15.75" customHeight="1">
      <c r="C701" s="39"/>
      <c r="D701" s="39"/>
    </row>
    <row r="702" ht="15.75" customHeight="1">
      <c r="C702" s="39"/>
      <c r="D702" s="39"/>
    </row>
    <row r="703" ht="15.75" customHeight="1">
      <c r="C703" s="39"/>
      <c r="D703" s="39"/>
    </row>
    <row r="704" ht="15.75" customHeight="1">
      <c r="C704" s="39"/>
      <c r="D704" s="39"/>
    </row>
    <row r="705" ht="15.75" customHeight="1">
      <c r="C705" s="39"/>
      <c r="D705" s="39"/>
    </row>
    <row r="706" ht="15.75" customHeight="1">
      <c r="C706" s="39"/>
      <c r="D706" s="39"/>
    </row>
    <row r="707" ht="15.75" customHeight="1">
      <c r="C707" s="39"/>
      <c r="D707" s="39"/>
    </row>
    <row r="708" ht="15.75" customHeight="1">
      <c r="C708" s="39"/>
      <c r="D708" s="39"/>
    </row>
    <row r="709" ht="15.75" customHeight="1">
      <c r="C709" s="39"/>
      <c r="D709" s="39"/>
    </row>
    <row r="710" ht="15.75" customHeight="1">
      <c r="C710" s="39"/>
      <c r="D710" s="39"/>
    </row>
    <row r="711" ht="15.75" customHeight="1">
      <c r="C711" s="39"/>
      <c r="D711" s="39"/>
    </row>
    <row r="712" ht="15.75" customHeight="1">
      <c r="C712" s="39"/>
      <c r="D712" s="39"/>
    </row>
    <row r="713" ht="15.75" customHeight="1">
      <c r="C713" s="39"/>
      <c r="D713" s="39"/>
    </row>
    <row r="714" ht="15.75" customHeight="1">
      <c r="C714" s="39"/>
      <c r="D714" s="39"/>
    </row>
    <row r="715" ht="15.75" customHeight="1">
      <c r="C715" s="39"/>
      <c r="D715" s="39"/>
    </row>
    <row r="716" ht="15.75" customHeight="1">
      <c r="C716" s="39"/>
      <c r="D716" s="39"/>
    </row>
    <row r="717" ht="15.75" customHeight="1">
      <c r="C717" s="39"/>
      <c r="D717" s="39"/>
    </row>
    <row r="718" ht="15.75" customHeight="1">
      <c r="C718" s="39"/>
      <c r="D718" s="39"/>
    </row>
    <row r="719" ht="15.75" customHeight="1">
      <c r="C719" s="39"/>
      <c r="D719" s="39"/>
    </row>
    <row r="720" ht="15.75" customHeight="1">
      <c r="C720" s="39"/>
      <c r="D720" s="39"/>
    </row>
    <row r="721" ht="15.75" customHeight="1">
      <c r="C721" s="39"/>
      <c r="D721" s="39"/>
    </row>
    <row r="722" ht="15.75" customHeight="1">
      <c r="C722" s="39"/>
      <c r="D722" s="39"/>
    </row>
    <row r="723" ht="15.75" customHeight="1">
      <c r="C723" s="39"/>
      <c r="D723" s="39"/>
    </row>
    <row r="724" ht="15.75" customHeight="1">
      <c r="C724" s="39"/>
      <c r="D724" s="39"/>
    </row>
    <row r="725" ht="15.75" customHeight="1">
      <c r="C725" s="39"/>
      <c r="D725" s="39"/>
    </row>
    <row r="726" ht="15.75" customHeight="1">
      <c r="C726" s="39"/>
      <c r="D726" s="39"/>
    </row>
    <row r="727" ht="15.75" customHeight="1">
      <c r="C727" s="39"/>
      <c r="D727" s="39"/>
    </row>
    <row r="728" ht="15.75" customHeight="1">
      <c r="C728" s="39"/>
      <c r="D728" s="39"/>
    </row>
    <row r="729" ht="15.75" customHeight="1">
      <c r="C729" s="39"/>
      <c r="D729" s="39"/>
    </row>
    <row r="730" ht="15.75" customHeight="1">
      <c r="C730" s="39"/>
      <c r="D730" s="39"/>
    </row>
    <row r="731" ht="15.75" customHeight="1">
      <c r="C731" s="39"/>
      <c r="D731" s="39"/>
    </row>
    <row r="732" ht="15.75" customHeight="1">
      <c r="C732" s="39"/>
      <c r="D732" s="39"/>
    </row>
    <row r="733" ht="15.75" customHeight="1">
      <c r="C733" s="39"/>
      <c r="D733" s="39"/>
    </row>
    <row r="734" ht="15.75" customHeight="1">
      <c r="C734" s="39"/>
      <c r="D734" s="39"/>
    </row>
    <row r="735" ht="15.75" customHeight="1">
      <c r="C735" s="39"/>
      <c r="D735" s="39"/>
    </row>
    <row r="736" ht="15.75" customHeight="1">
      <c r="C736" s="39"/>
      <c r="D736" s="39"/>
    </row>
    <row r="737" ht="15.75" customHeight="1">
      <c r="C737" s="39"/>
      <c r="D737" s="39"/>
    </row>
    <row r="738" ht="15.75" customHeight="1">
      <c r="C738" s="39"/>
      <c r="D738" s="39"/>
    </row>
    <row r="739" ht="15.75" customHeight="1">
      <c r="C739" s="39"/>
      <c r="D739" s="39"/>
    </row>
    <row r="740" ht="15.75" customHeight="1">
      <c r="C740" s="39"/>
      <c r="D740" s="39"/>
    </row>
    <row r="741" ht="15.75" customHeight="1">
      <c r="C741" s="39"/>
      <c r="D741" s="39"/>
    </row>
    <row r="742" ht="15.75" customHeight="1">
      <c r="C742" s="39"/>
      <c r="D742" s="39"/>
    </row>
    <row r="743" ht="15.75" customHeight="1">
      <c r="C743" s="39"/>
      <c r="D743" s="39"/>
    </row>
    <row r="744" ht="15.75" customHeight="1">
      <c r="C744" s="39"/>
      <c r="D744" s="39"/>
    </row>
    <row r="745" ht="15.75" customHeight="1">
      <c r="C745" s="39"/>
      <c r="D745" s="39"/>
    </row>
    <row r="746" ht="15.75" customHeight="1">
      <c r="C746" s="39"/>
      <c r="D746" s="39"/>
    </row>
    <row r="747" ht="15.75" customHeight="1">
      <c r="C747" s="39"/>
      <c r="D747" s="39"/>
    </row>
    <row r="748" ht="15.75" customHeight="1">
      <c r="C748" s="39"/>
      <c r="D748" s="39"/>
    </row>
    <row r="749" ht="15.75" customHeight="1">
      <c r="C749" s="39"/>
      <c r="D749" s="39"/>
    </row>
    <row r="750" ht="15.75" customHeight="1">
      <c r="C750" s="39"/>
      <c r="D750" s="39"/>
    </row>
    <row r="751" ht="15.75" customHeight="1">
      <c r="C751" s="39"/>
      <c r="D751" s="39"/>
    </row>
    <row r="752" ht="15.75" customHeight="1">
      <c r="C752" s="39"/>
      <c r="D752" s="39"/>
    </row>
    <row r="753" ht="15.75" customHeight="1">
      <c r="C753" s="39"/>
      <c r="D753" s="39"/>
    </row>
    <row r="754" ht="15.75" customHeight="1">
      <c r="C754" s="39"/>
      <c r="D754" s="39"/>
    </row>
    <row r="755" ht="15.75" customHeight="1">
      <c r="C755" s="39"/>
      <c r="D755" s="39"/>
    </row>
    <row r="756" ht="15.75" customHeight="1">
      <c r="C756" s="39"/>
      <c r="D756" s="39"/>
    </row>
    <row r="757" ht="15.75" customHeight="1">
      <c r="C757" s="39"/>
      <c r="D757" s="39"/>
    </row>
    <row r="758" ht="15.75" customHeight="1">
      <c r="C758" s="39"/>
      <c r="D758" s="39"/>
    </row>
    <row r="759" ht="15.75" customHeight="1">
      <c r="C759" s="39"/>
      <c r="D759" s="39"/>
    </row>
    <row r="760" ht="15.75" customHeight="1">
      <c r="C760" s="39"/>
      <c r="D760" s="39"/>
    </row>
    <row r="761" ht="15.75" customHeight="1">
      <c r="C761" s="39"/>
      <c r="D761" s="39"/>
    </row>
    <row r="762" ht="15.75" customHeight="1">
      <c r="C762" s="39"/>
      <c r="D762" s="39"/>
    </row>
    <row r="763" ht="15.75" customHeight="1">
      <c r="C763" s="39"/>
      <c r="D763" s="39"/>
    </row>
    <row r="764" ht="15.75" customHeight="1">
      <c r="C764" s="39"/>
      <c r="D764" s="39"/>
    </row>
    <row r="765" ht="15.75" customHeight="1">
      <c r="C765" s="39"/>
      <c r="D765" s="39"/>
    </row>
    <row r="766" ht="15.75" customHeight="1">
      <c r="C766" s="39"/>
      <c r="D766" s="39"/>
    </row>
    <row r="767" ht="15.75" customHeight="1">
      <c r="C767" s="39"/>
      <c r="D767" s="39"/>
    </row>
    <row r="768" ht="15.75" customHeight="1">
      <c r="C768" s="39"/>
      <c r="D768" s="39"/>
    </row>
    <row r="769" ht="15.75" customHeight="1">
      <c r="C769" s="39"/>
      <c r="D769" s="39"/>
    </row>
    <row r="770" ht="15.75" customHeight="1">
      <c r="C770" s="39"/>
      <c r="D770" s="39"/>
    </row>
    <row r="771" ht="15.75" customHeight="1">
      <c r="C771" s="39"/>
      <c r="D771" s="39"/>
    </row>
    <row r="772" ht="15.75" customHeight="1">
      <c r="C772" s="39"/>
      <c r="D772" s="39"/>
    </row>
    <row r="773" ht="15.75" customHeight="1">
      <c r="C773" s="39"/>
      <c r="D773" s="39"/>
    </row>
    <row r="774" ht="15.75" customHeight="1">
      <c r="C774" s="39"/>
      <c r="D774" s="39"/>
    </row>
    <row r="775" ht="15.75" customHeight="1">
      <c r="C775" s="39"/>
      <c r="D775" s="39"/>
    </row>
    <row r="776" ht="15.75" customHeight="1">
      <c r="C776" s="39"/>
      <c r="D776" s="39"/>
    </row>
    <row r="777" ht="15.75" customHeight="1">
      <c r="C777" s="39"/>
      <c r="D777" s="39"/>
    </row>
    <row r="778" ht="15.75" customHeight="1">
      <c r="C778" s="39"/>
      <c r="D778" s="39"/>
    </row>
    <row r="779" ht="15.75" customHeight="1">
      <c r="C779" s="39"/>
      <c r="D779" s="39"/>
    </row>
    <row r="780" ht="15.75" customHeight="1">
      <c r="C780" s="39"/>
      <c r="D780" s="39"/>
    </row>
    <row r="781" ht="15.75" customHeight="1">
      <c r="C781" s="39"/>
      <c r="D781" s="39"/>
    </row>
    <row r="782" ht="15.75" customHeight="1">
      <c r="C782" s="39"/>
      <c r="D782" s="39"/>
    </row>
    <row r="783" ht="15.75" customHeight="1">
      <c r="C783" s="39"/>
      <c r="D783" s="39"/>
    </row>
    <row r="784" ht="15.75" customHeight="1">
      <c r="C784" s="39"/>
      <c r="D784" s="39"/>
    </row>
    <row r="785" ht="15.75" customHeight="1">
      <c r="C785" s="39"/>
      <c r="D785" s="39"/>
    </row>
    <row r="786" ht="15.75" customHeight="1">
      <c r="C786" s="39"/>
      <c r="D786" s="39"/>
    </row>
    <row r="787" ht="15.75" customHeight="1">
      <c r="C787" s="39"/>
      <c r="D787" s="39"/>
    </row>
    <row r="788" ht="15.75" customHeight="1">
      <c r="C788" s="39"/>
      <c r="D788" s="39"/>
    </row>
    <row r="789" ht="15.75" customHeight="1">
      <c r="C789" s="39"/>
      <c r="D789" s="39"/>
    </row>
    <row r="790" ht="15.75" customHeight="1">
      <c r="C790" s="39"/>
      <c r="D790" s="39"/>
    </row>
    <row r="791" ht="15.75" customHeight="1">
      <c r="C791" s="39"/>
      <c r="D791" s="39"/>
    </row>
    <row r="792" ht="15.75" customHeight="1">
      <c r="C792" s="39"/>
      <c r="D792" s="39"/>
    </row>
    <row r="793" ht="15.75" customHeight="1">
      <c r="C793" s="39"/>
      <c r="D793" s="39"/>
    </row>
    <row r="794" ht="15.75" customHeight="1">
      <c r="C794" s="39"/>
      <c r="D794" s="39"/>
    </row>
    <row r="795" ht="15.75" customHeight="1">
      <c r="C795" s="39"/>
      <c r="D795" s="39"/>
    </row>
    <row r="796" ht="15.75" customHeight="1">
      <c r="C796" s="39"/>
      <c r="D796" s="39"/>
    </row>
    <row r="797" ht="15.75" customHeight="1">
      <c r="C797" s="39"/>
      <c r="D797" s="39"/>
    </row>
    <row r="798" ht="15.75" customHeight="1">
      <c r="C798" s="39"/>
      <c r="D798" s="39"/>
    </row>
    <row r="799" ht="15.75" customHeight="1">
      <c r="C799" s="39"/>
      <c r="D799" s="39"/>
    </row>
    <row r="800" ht="15.75" customHeight="1">
      <c r="C800" s="39"/>
      <c r="D800" s="39"/>
    </row>
    <row r="801" ht="15.75" customHeight="1">
      <c r="C801" s="39"/>
      <c r="D801" s="39"/>
    </row>
    <row r="802" ht="15.75" customHeight="1">
      <c r="C802" s="39"/>
      <c r="D802" s="39"/>
    </row>
    <row r="803" ht="15.75" customHeight="1">
      <c r="C803" s="39"/>
      <c r="D803" s="39"/>
    </row>
    <row r="804" ht="15.75" customHeight="1">
      <c r="C804" s="39"/>
      <c r="D804" s="39"/>
    </row>
    <row r="805" ht="15.75" customHeight="1">
      <c r="C805" s="39"/>
      <c r="D805" s="39"/>
    </row>
    <row r="806" ht="15.75" customHeight="1">
      <c r="C806" s="39"/>
      <c r="D806" s="39"/>
    </row>
    <row r="807" ht="15.75" customHeight="1">
      <c r="C807" s="39"/>
      <c r="D807" s="39"/>
    </row>
    <row r="808" ht="15.75" customHeight="1">
      <c r="C808" s="39"/>
      <c r="D808" s="39"/>
    </row>
    <row r="809" ht="15.75" customHeight="1">
      <c r="C809" s="39"/>
      <c r="D809" s="39"/>
    </row>
    <row r="810" ht="15.75" customHeight="1">
      <c r="C810" s="39"/>
      <c r="D810" s="39"/>
    </row>
    <row r="811" ht="15.75" customHeight="1">
      <c r="C811" s="39"/>
      <c r="D811" s="39"/>
    </row>
    <row r="812" ht="15.75" customHeight="1">
      <c r="C812" s="39"/>
      <c r="D812" s="39"/>
    </row>
    <row r="813" ht="15.75" customHeight="1">
      <c r="C813" s="39"/>
      <c r="D813" s="39"/>
    </row>
    <row r="814" ht="15.75" customHeight="1">
      <c r="C814" s="39"/>
      <c r="D814" s="39"/>
    </row>
    <row r="815" ht="15.75" customHeight="1">
      <c r="C815" s="39"/>
      <c r="D815" s="39"/>
    </row>
    <row r="816" ht="15.75" customHeight="1">
      <c r="C816" s="39"/>
      <c r="D816" s="39"/>
    </row>
    <row r="817" ht="15.75" customHeight="1">
      <c r="C817" s="39"/>
      <c r="D817" s="39"/>
    </row>
    <row r="818" ht="15.75" customHeight="1">
      <c r="C818" s="39"/>
      <c r="D818" s="39"/>
    </row>
    <row r="819" ht="15.75" customHeight="1">
      <c r="C819" s="39"/>
      <c r="D819" s="39"/>
    </row>
    <row r="820" ht="15.75" customHeight="1">
      <c r="C820" s="39"/>
      <c r="D820" s="39"/>
    </row>
    <row r="821" ht="15.75" customHeight="1">
      <c r="C821" s="39"/>
      <c r="D821" s="39"/>
    </row>
    <row r="822" ht="15.75" customHeight="1">
      <c r="C822" s="39"/>
      <c r="D822" s="39"/>
    </row>
    <row r="823" ht="15.75" customHeight="1">
      <c r="C823" s="39"/>
      <c r="D823" s="39"/>
    </row>
    <row r="824" ht="15.75" customHeight="1">
      <c r="C824" s="39"/>
      <c r="D824" s="39"/>
    </row>
    <row r="825" ht="15.75" customHeight="1">
      <c r="C825" s="39"/>
      <c r="D825" s="39"/>
    </row>
    <row r="826" ht="15.75" customHeight="1">
      <c r="C826" s="39"/>
      <c r="D826" s="39"/>
    </row>
    <row r="827" ht="15.75" customHeight="1">
      <c r="C827" s="39"/>
      <c r="D827" s="39"/>
    </row>
    <row r="828" ht="15.75" customHeight="1">
      <c r="C828" s="39"/>
      <c r="D828" s="39"/>
    </row>
    <row r="829" ht="15.75" customHeight="1">
      <c r="C829" s="39"/>
      <c r="D829" s="39"/>
    </row>
    <row r="830" ht="15.75" customHeight="1">
      <c r="C830" s="39"/>
      <c r="D830" s="39"/>
    </row>
    <row r="831" ht="15.75" customHeight="1">
      <c r="C831" s="39"/>
      <c r="D831" s="39"/>
    </row>
    <row r="832" ht="15.75" customHeight="1">
      <c r="C832" s="39"/>
      <c r="D832" s="39"/>
    </row>
    <row r="833" ht="15.75" customHeight="1">
      <c r="C833" s="39"/>
      <c r="D833" s="39"/>
    </row>
    <row r="834" ht="15.75" customHeight="1">
      <c r="C834" s="39"/>
      <c r="D834" s="39"/>
    </row>
    <row r="835" ht="15.75" customHeight="1">
      <c r="C835" s="39"/>
      <c r="D835" s="39"/>
    </row>
    <row r="836" ht="15.75" customHeight="1">
      <c r="C836" s="39"/>
      <c r="D836" s="39"/>
    </row>
    <row r="837" ht="15.75" customHeight="1">
      <c r="C837" s="39"/>
      <c r="D837" s="39"/>
    </row>
    <row r="838" ht="15.75" customHeight="1">
      <c r="C838" s="39"/>
      <c r="D838" s="39"/>
    </row>
    <row r="839" ht="15.75" customHeight="1">
      <c r="C839" s="39"/>
      <c r="D839" s="39"/>
    </row>
    <row r="840" ht="15.75" customHeight="1">
      <c r="C840" s="39"/>
      <c r="D840" s="39"/>
    </row>
    <row r="841" ht="15.75" customHeight="1">
      <c r="C841" s="39"/>
      <c r="D841" s="39"/>
    </row>
    <row r="842" ht="15.75" customHeight="1">
      <c r="C842" s="39"/>
      <c r="D842" s="39"/>
    </row>
    <row r="843" ht="15.75" customHeight="1">
      <c r="C843" s="39"/>
      <c r="D843" s="39"/>
    </row>
    <row r="844" ht="15.75" customHeight="1">
      <c r="C844" s="39"/>
      <c r="D844" s="39"/>
    </row>
    <row r="845" ht="15.75" customHeight="1">
      <c r="C845" s="39"/>
      <c r="D845" s="39"/>
    </row>
    <row r="846" ht="15.75" customHeight="1">
      <c r="C846" s="39"/>
      <c r="D846" s="39"/>
    </row>
    <row r="847" ht="15.75" customHeight="1">
      <c r="C847" s="39"/>
      <c r="D847" s="39"/>
    </row>
    <row r="848" ht="15.75" customHeight="1">
      <c r="C848" s="39"/>
      <c r="D848" s="39"/>
    </row>
    <row r="849" ht="15.75" customHeight="1">
      <c r="C849" s="39"/>
      <c r="D849" s="39"/>
    </row>
    <row r="850" ht="15.75" customHeight="1">
      <c r="C850" s="39"/>
      <c r="D850" s="39"/>
    </row>
    <row r="851" ht="15.75" customHeight="1">
      <c r="C851" s="39"/>
      <c r="D851" s="39"/>
    </row>
    <row r="852" ht="15.75" customHeight="1">
      <c r="C852" s="39"/>
      <c r="D852" s="39"/>
    </row>
    <row r="853" ht="15.75" customHeight="1">
      <c r="C853" s="39"/>
      <c r="D853" s="39"/>
    </row>
    <row r="854" ht="15.75" customHeight="1">
      <c r="C854" s="39"/>
      <c r="D854" s="39"/>
    </row>
    <row r="855" ht="15.75" customHeight="1">
      <c r="C855" s="39"/>
      <c r="D855" s="39"/>
    </row>
    <row r="856" ht="15.75" customHeight="1">
      <c r="C856" s="39"/>
      <c r="D856" s="39"/>
    </row>
    <row r="857" ht="15.75" customHeight="1">
      <c r="C857" s="39"/>
      <c r="D857" s="39"/>
    </row>
    <row r="858" ht="15.75" customHeight="1">
      <c r="C858" s="39"/>
      <c r="D858" s="39"/>
    </row>
    <row r="859" ht="15.75" customHeight="1">
      <c r="C859" s="39"/>
      <c r="D859" s="39"/>
    </row>
    <row r="860" ht="15.75" customHeight="1">
      <c r="C860" s="39"/>
      <c r="D860" s="39"/>
    </row>
    <row r="861" ht="15.75" customHeight="1">
      <c r="C861" s="39"/>
      <c r="D861" s="39"/>
    </row>
    <row r="862" ht="15.75" customHeight="1">
      <c r="C862" s="39"/>
      <c r="D862" s="39"/>
    </row>
    <row r="863" ht="15.75" customHeight="1">
      <c r="C863" s="39"/>
      <c r="D863" s="39"/>
    </row>
    <row r="864" ht="15.75" customHeight="1">
      <c r="C864" s="39"/>
      <c r="D864" s="39"/>
    </row>
    <row r="865" ht="15.75" customHeight="1">
      <c r="C865" s="39"/>
      <c r="D865" s="39"/>
    </row>
    <row r="866" ht="15.75" customHeight="1">
      <c r="C866" s="39"/>
      <c r="D866" s="39"/>
    </row>
    <row r="867" ht="15.75" customHeight="1">
      <c r="C867" s="39"/>
      <c r="D867" s="39"/>
    </row>
    <row r="868" ht="15.75" customHeight="1">
      <c r="C868" s="39"/>
      <c r="D868" s="39"/>
    </row>
    <row r="869" ht="15.75" customHeight="1">
      <c r="C869" s="39"/>
      <c r="D869" s="39"/>
    </row>
    <row r="870" ht="15.75" customHeight="1">
      <c r="C870" s="39"/>
      <c r="D870" s="39"/>
    </row>
    <row r="871" ht="15.75" customHeight="1">
      <c r="C871" s="39"/>
      <c r="D871" s="39"/>
    </row>
    <row r="872" ht="15.75" customHeight="1">
      <c r="C872" s="39"/>
      <c r="D872" s="39"/>
    </row>
    <row r="873" ht="15.75" customHeight="1">
      <c r="C873" s="39"/>
      <c r="D873" s="39"/>
    </row>
    <row r="874" ht="15.75" customHeight="1">
      <c r="C874" s="39"/>
      <c r="D874" s="39"/>
    </row>
    <row r="875" ht="15.75" customHeight="1">
      <c r="C875" s="39"/>
      <c r="D875" s="39"/>
    </row>
    <row r="876" ht="15.75" customHeight="1">
      <c r="C876" s="39"/>
      <c r="D876" s="39"/>
    </row>
    <row r="877" ht="15.75" customHeight="1">
      <c r="C877" s="39"/>
      <c r="D877" s="39"/>
    </row>
    <row r="878" ht="15.75" customHeight="1">
      <c r="C878" s="39"/>
      <c r="D878" s="39"/>
    </row>
    <row r="879" ht="15.75" customHeight="1">
      <c r="C879" s="39"/>
      <c r="D879" s="39"/>
    </row>
    <row r="880" ht="15.75" customHeight="1">
      <c r="C880" s="39"/>
      <c r="D880" s="39"/>
    </row>
    <row r="881" ht="15.75" customHeight="1">
      <c r="C881" s="39"/>
      <c r="D881" s="39"/>
    </row>
    <row r="882" ht="15.75" customHeight="1">
      <c r="C882" s="39"/>
      <c r="D882" s="39"/>
    </row>
    <row r="883" ht="15.75" customHeight="1">
      <c r="C883" s="39"/>
      <c r="D883" s="39"/>
    </row>
    <row r="884" ht="15.75" customHeight="1">
      <c r="C884" s="39"/>
      <c r="D884" s="39"/>
    </row>
    <row r="885" ht="15.75" customHeight="1">
      <c r="C885" s="39"/>
      <c r="D885" s="39"/>
    </row>
    <row r="886" ht="15.75" customHeight="1">
      <c r="C886" s="39"/>
      <c r="D886" s="39"/>
    </row>
    <row r="887" ht="15.75" customHeight="1">
      <c r="C887" s="39"/>
      <c r="D887" s="39"/>
    </row>
    <row r="888" ht="15.75" customHeight="1">
      <c r="C888" s="39"/>
      <c r="D888" s="39"/>
    </row>
    <row r="889" ht="15.75" customHeight="1">
      <c r="C889" s="39"/>
      <c r="D889" s="39"/>
    </row>
    <row r="890" ht="15.75" customHeight="1">
      <c r="C890" s="39"/>
      <c r="D890" s="39"/>
    </row>
    <row r="891" ht="15.75" customHeight="1">
      <c r="C891" s="39"/>
      <c r="D891" s="39"/>
    </row>
    <row r="892" ht="15.75" customHeight="1">
      <c r="C892" s="39"/>
      <c r="D892" s="39"/>
    </row>
    <row r="893" ht="15.75" customHeight="1">
      <c r="C893" s="39"/>
      <c r="D893" s="39"/>
    </row>
    <row r="894" ht="15.75" customHeight="1">
      <c r="C894" s="39"/>
      <c r="D894" s="39"/>
    </row>
    <row r="895" ht="15.75" customHeight="1">
      <c r="C895" s="39"/>
      <c r="D895" s="39"/>
    </row>
    <row r="896" ht="15.75" customHeight="1">
      <c r="C896" s="39"/>
      <c r="D896" s="39"/>
    </row>
    <row r="897" ht="15.75" customHeight="1">
      <c r="C897" s="39"/>
      <c r="D897" s="39"/>
    </row>
    <row r="898" ht="15.75" customHeight="1">
      <c r="C898" s="39"/>
      <c r="D898" s="39"/>
    </row>
    <row r="899" ht="15.75" customHeight="1">
      <c r="C899" s="39"/>
      <c r="D899" s="39"/>
    </row>
    <row r="900" ht="15.75" customHeight="1">
      <c r="C900" s="39"/>
      <c r="D900" s="39"/>
    </row>
    <row r="901" ht="15.75" customHeight="1">
      <c r="C901" s="39"/>
      <c r="D901" s="39"/>
    </row>
    <row r="902" ht="15.75" customHeight="1">
      <c r="C902" s="39"/>
      <c r="D902" s="39"/>
    </row>
    <row r="903" ht="15.75" customHeight="1">
      <c r="C903" s="39"/>
      <c r="D903" s="39"/>
    </row>
    <row r="904" ht="15.75" customHeight="1">
      <c r="C904" s="39"/>
      <c r="D904" s="39"/>
    </row>
    <row r="905" ht="15.75" customHeight="1">
      <c r="C905" s="39"/>
      <c r="D905" s="39"/>
    </row>
    <row r="906" ht="15.75" customHeight="1">
      <c r="C906" s="39"/>
      <c r="D906" s="39"/>
    </row>
    <row r="907" ht="15.75" customHeight="1">
      <c r="C907" s="39"/>
      <c r="D907" s="39"/>
    </row>
    <row r="908" ht="15.75" customHeight="1">
      <c r="C908" s="39"/>
      <c r="D908" s="39"/>
    </row>
    <row r="909" ht="15.75" customHeight="1">
      <c r="C909" s="39"/>
      <c r="D909" s="39"/>
    </row>
    <row r="910" ht="15.75" customHeight="1">
      <c r="C910" s="39"/>
      <c r="D910" s="39"/>
    </row>
    <row r="911" ht="15.75" customHeight="1">
      <c r="C911" s="39"/>
      <c r="D911" s="39"/>
    </row>
    <row r="912" ht="15.75" customHeight="1">
      <c r="C912" s="39"/>
      <c r="D912" s="39"/>
    </row>
    <row r="913" ht="15.75" customHeight="1">
      <c r="C913" s="39"/>
      <c r="D913" s="39"/>
    </row>
    <row r="914" ht="15.75" customHeight="1">
      <c r="C914" s="39"/>
      <c r="D914" s="39"/>
    </row>
    <row r="915" ht="15.75" customHeight="1">
      <c r="C915" s="39"/>
      <c r="D915" s="39"/>
    </row>
    <row r="916" ht="15.75" customHeight="1">
      <c r="C916" s="39"/>
      <c r="D916" s="39"/>
    </row>
    <row r="917" ht="15.75" customHeight="1">
      <c r="C917" s="39"/>
      <c r="D917" s="39"/>
    </row>
    <row r="918" ht="15.75" customHeight="1">
      <c r="C918" s="39"/>
      <c r="D918" s="39"/>
    </row>
    <row r="919" ht="15.75" customHeight="1">
      <c r="C919" s="39"/>
      <c r="D919" s="39"/>
    </row>
    <row r="920" ht="15.75" customHeight="1">
      <c r="C920" s="39"/>
      <c r="D920" s="39"/>
    </row>
    <row r="921" ht="15.75" customHeight="1">
      <c r="C921" s="39"/>
      <c r="D921" s="39"/>
    </row>
    <row r="922" ht="15.75" customHeight="1">
      <c r="C922" s="39"/>
      <c r="D922" s="39"/>
    </row>
    <row r="923" ht="15.75" customHeight="1">
      <c r="C923" s="39"/>
      <c r="D923" s="39"/>
    </row>
    <row r="924" ht="15.75" customHeight="1">
      <c r="C924" s="39"/>
      <c r="D924" s="39"/>
    </row>
    <row r="925" ht="15.75" customHeight="1">
      <c r="C925" s="39"/>
      <c r="D925" s="39"/>
    </row>
    <row r="926" ht="15.75" customHeight="1">
      <c r="C926" s="39"/>
      <c r="D926" s="39"/>
    </row>
    <row r="927" ht="15.75" customHeight="1">
      <c r="C927" s="39"/>
      <c r="D927" s="39"/>
    </row>
    <row r="928" ht="15.75" customHeight="1">
      <c r="C928" s="39"/>
      <c r="D928" s="39"/>
    </row>
    <row r="929" ht="15.75" customHeight="1">
      <c r="C929" s="39"/>
      <c r="D929" s="39"/>
    </row>
    <row r="930" ht="15.75" customHeight="1">
      <c r="C930" s="39"/>
      <c r="D930" s="39"/>
    </row>
    <row r="931" ht="15.75" customHeight="1">
      <c r="C931" s="39"/>
      <c r="D931" s="39"/>
    </row>
    <row r="932" ht="15.75" customHeight="1">
      <c r="C932" s="39"/>
      <c r="D932" s="39"/>
    </row>
    <row r="933" ht="15.75" customHeight="1">
      <c r="C933" s="39"/>
      <c r="D933" s="39"/>
    </row>
    <row r="934" ht="15.75" customHeight="1">
      <c r="C934" s="39"/>
      <c r="D934" s="39"/>
    </row>
    <row r="935" ht="15.75" customHeight="1">
      <c r="C935" s="39"/>
      <c r="D935" s="39"/>
    </row>
    <row r="936" ht="15.75" customHeight="1">
      <c r="C936" s="39"/>
      <c r="D936" s="39"/>
    </row>
    <row r="937" ht="15.75" customHeight="1">
      <c r="C937" s="39"/>
      <c r="D937" s="39"/>
    </row>
    <row r="938" ht="15.75" customHeight="1">
      <c r="C938" s="39"/>
      <c r="D938" s="39"/>
    </row>
    <row r="939" ht="15.75" customHeight="1">
      <c r="C939" s="39"/>
      <c r="D939" s="39"/>
    </row>
    <row r="940" ht="15.75" customHeight="1">
      <c r="C940" s="39"/>
      <c r="D940" s="39"/>
    </row>
    <row r="941" ht="15.75" customHeight="1">
      <c r="C941" s="39"/>
      <c r="D941" s="39"/>
    </row>
    <row r="942" ht="15.75" customHeight="1">
      <c r="C942" s="39"/>
      <c r="D942" s="39"/>
    </row>
    <row r="943" ht="15.75" customHeight="1">
      <c r="C943" s="39"/>
      <c r="D943" s="39"/>
    </row>
    <row r="944" ht="15.75" customHeight="1">
      <c r="C944" s="39"/>
      <c r="D944" s="39"/>
    </row>
    <row r="945" ht="15.75" customHeight="1">
      <c r="C945" s="39"/>
      <c r="D945" s="39"/>
    </row>
    <row r="946" ht="15.75" customHeight="1">
      <c r="C946" s="39"/>
      <c r="D946" s="39"/>
    </row>
    <row r="947" ht="15.75" customHeight="1">
      <c r="C947" s="39"/>
      <c r="D947" s="39"/>
    </row>
    <row r="948" ht="15.75" customHeight="1">
      <c r="C948" s="39"/>
      <c r="D948" s="39"/>
    </row>
    <row r="949" ht="15.75" customHeight="1">
      <c r="C949" s="39"/>
      <c r="D949" s="39"/>
    </row>
    <row r="950" ht="15.75" customHeight="1">
      <c r="C950" s="39"/>
      <c r="D950" s="39"/>
    </row>
    <row r="951" ht="15.75" customHeight="1">
      <c r="C951" s="39"/>
      <c r="D951" s="39"/>
    </row>
    <row r="952" ht="15.75" customHeight="1">
      <c r="C952" s="39"/>
      <c r="D952" s="39"/>
    </row>
    <row r="953" ht="15.75" customHeight="1">
      <c r="C953" s="39"/>
      <c r="D953" s="39"/>
    </row>
    <row r="954" ht="15.75" customHeight="1">
      <c r="C954" s="39"/>
      <c r="D954" s="39"/>
    </row>
    <row r="955" ht="15.75" customHeight="1">
      <c r="C955" s="39"/>
      <c r="D955" s="39"/>
    </row>
    <row r="956" ht="15.75" customHeight="1">
      <c r="C956" s="39"/>
      <c r="D956" s="39"/>
    </row>
    <row r="957" ht="15.75" customHeight="1">
      <c r="C957" s="39"/>
      <c r="D957" s="39"/>
    </row>
    <row r="958" ht="15.75" customHeight="1">
      <c r="C958" s="39"/>
      <c r="D958" s="39"/>
    </row>
    <row r="959" ht="15.75" customHeight="1">
      <c r="C959" s="39"/>
      <c r="D959" s="39"/>
    </row>
    <row r="960" ht="15.75" customHeight="1">
      <c r="C960" s="39"/>
      <c r="D960" s="39"/>
    </row>
    <row r="961" ht="15.75" customHeight="1">
      <c r="C961" s="39"/>
      <c r="D961" s="39"/>
    </row>
    <row r="962" ht="15.75" customHeight="1">
      <c r="C962" s="39"/>
      <c r="D962" s="39"/>
    </row>
    <row r="963" ht="15.75" customHeight="1">
      <c r="C963" s="39"/>
      <c r="D963" s="39"/>
    </row>
    <row r="964" ht="15.75" customHeight="1">
      <c r="C964" s="39"/>
      <c r="D964" s="39"/>
    </row>
    <row r="965" ht="15.75" customHeight="1">
      <c r="C965" s="39"/>
      <c r="D965" s="39"/>
    </row>
    <row r="966" ht="15.75" customHeight="1">
      <c r="C966" s="39"/>
      <c r="D966" s="39"/>
    </row>
    <row r="967" ht="15.75" customHeight="1">
      <c r="C967" s="39"/>
      <c r="D967" s="39"/>
    </row>
    <row r="968" ht="15.75" customHeight="1">
      <c r="C968" s="39"/>
      <c r="D968" s="39"/>
    </row>
    <row r="969" ht="15.75" customHeight="1">
      <c r="C969" s="39"/>
      <c r="D969" s="39"/>
    </row>
    <row r="970" ht="15.75" customHeight="1">
      <c r="C970" s="39"/>
      <c r="D970" s="39"/>
    </row>
    <row r="971" ht="15.75" customHeight="1">
      <c r="C971" s="39"/>
      <c r="D971" s="39"/>
    </row>
    <row r="972" ht="15.75" customHeight="1">
      <c r="C972" s="39"/>
      <c r="D972" s="39"/>
    </row>
    <row r="973" ht="15.75" customHeight="1">
      <c r="C973" s="39"/>
      <c r="D973" s="39"/>
    </row>
    <row r="974" ht="15.75" customHeight="1">
      <c r="C974" s="39"/>
      <c r="D974" s="39"/>
    </row>
    <row r="975" ht="15.75" customHeight="1">
      <c r="C975" s="39"/>
      <c r="D975" s="39"/>
    </row>
    <row r="976" ht="15.75" customHeight="1">
      <c r="C976" s="39"/>
      <c r="D976" s="39"/>
    </row>
    <row r="977" ht="15.75" customHeight="1">
      <c r="C977" s="39"/>
      <c r="D977" s="39"/>
    </row>
    <row r="978" ht="15.75" customHeight="1">
      <c r="C978" s="39"/>
      <c r="D978" s="39"/>
    </row>
    <row r="979" ht="15.75" customHeight="1">
      <c r="C979" s="39"/>
      <c r="D979" s="39"/>
    </row>
    <row r="980" ht="15.75" customHeight="1">
      <c r="C980" s="39"/>
      <c r="D980" s="39"/>
    </row>
    <row r="981" ht="15.75" customHeight="1">
      <c r="C981" s="39"/>
      <c r="D981" s="39"/>
    </row>
    <row r="982" ht="15.75" customHeight="1">
      <c r="C982" s="39"/>
      <c r="D982" s="39"/>
    </row>
    <row r="983" ht="15.75" customHeight="1">
      <c r="C983" s="39"/>
      <c r="D983" s="39"/>
    </row>
    <row r="984" ht="15.75" customHeight="1">
      <c r="C984" s="39"/>
      <c r="D984" s="39"/>
    </row>
    <row r="985" ht="15.75" customHeight="1">
      <c r="C985" s="39"/>
      <c r="D985" s="39"/>
    </row>
    <row r="986" ht="15.75" customHeight="1">
      <c r="C986" s="39"/>
      <c r="D986" s="39"/>
    </row>
    <row r="987" ht="15.75" customHeight="1">
      <c r="C987" s="39"/>
      <c r="D987" s="39"/>
    </row>
    <row r="988" ht="15.75" customHeight="1">
      <c r="C988" s="39"/>
      <c r="D988" s="39"/>
    </row>
    <row r="989" ht="15.75" customHeight="1">
      <c r="C989" s="39"/>
      <c r="D989" s="39"/>
    </row>
    <row r="990" ht="15.75" customHeight="1">
      <c r="C990" s="39"/>
      <c r="D990" s="39"/>
    </row>
    <row r="991" ht="15.75" customHeight="1">
      <c r="C991" s="39"/>
      <c r="D991" s="39"/>
    </row>
    <row r="992" ht="15.75" customHeight="1">
      <c r="C992" s="39"/>
      <c r="D992" s="39"/>
    </row>
    <row r="993" ht="15.75" customHeight="1">
      <c r="C993" s="39"/>
      <c r="D993" s="39"/>
    </row>
    <row r="994" ht="15.75" customHeight="1">
      <c r="C994" s="39"/>
      <c r="D994" s="39"/>
    </row>
    <row r="995" ht="15.75" customHeight="1">
      <c r="C995" s="39"/>
      <c r="D995" s="39"/>
    </row>
    <row r="996" ht="15.75" customHeight="1">
      <c r="C996" s="39"/>
      <c r="D996" s="39"/>
    </row>
    <row r="997" ht="15.75" customHeight="1">
      <c r="C997" s="39"/>
      <c r="D997" s="39"/>
    </row>
    <row r="998" ht="15.75" customHeight="1">
      <c r="C998" s="39"/>
      <c r="D998" s="39"/>
    </row>
    <row r="999" ht="15.75" customHeight="1">
      <c r="C999" s="39"/>
      <c r="D999" s="39"/>
    </row>
    <row r="1000" ht="15.75" customHeight="1">
      <c r="C1000" s="39"/>
      <c r="D1000" s="3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" width="18.11"/>
    <col customWidth="1" min="3" max="3" width="22.78"/>
    <col customWidth="1" min="4" max="4" width="19.78"/>
    <col customWidth="1" min="5" max="26" width="18.11"/>
  </cols>
  <sheetData>
    <row r="1" ht="15.75" customHeight="1">
      <c r="A1" s="56"/>
      <c r="B1" s="57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ht="15.75" customHeight="1">
      <c r="A2" s="58"/>
      <c r="B2" s="59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ht="15.75" customHeight="1">
      <c r="A3" s="56"/>
      <c r="B3" s="60" t="s">
        <v>137</v>
      </c>
      <c r="C3" s="56"/>
      <c r="D3" s="61" t="s">
        <v>138</v>
      </c>
      <c r="E3" s="56"/>
      <c r="F3" s="56"/>
      <c r="G3" s="61" t="s">
        <v>139</v>
      </c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5.75" customHeight="1">
      <c r="A4" s="58"/>
      <c r="B4" s="58"/>
      <c r="C4" s="56"/>
      <c r="D4" s="62"/>
      <c r="E4" s="56"/>
      <c r="F4" s="56"/>
      <c r="G4" s="62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5.75" customHeight="1">
      <c r="A5" s="58"/>
      <c r="B5" s="58"/>
      <c r="C5" s="61" t="s">
        <v>140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5.75" customHeight="1">
      <c r="A6" s="58"/>
      <c r="B6" s="63"/>
      <c r="C6" s="56" t="s">
        <v>141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5.75" customHeight="1">
      <c r="A7" s="56"/>
      <c r="B7" s="61" t="s">
        <v>142</v>
      </c>
      <c r="C7" s="56"/>
      <c r="D7" s="61" t="s">
        <v>143</v>
      </c>
      <c r="E7" s="56"/>
      <c r="F7" s="56"/>
      <c r="G7" s="61" t="s">
        <v>144</v>
      </c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15.75" customHeight="1">
      <c r="A8" s="58"/>
      <c r="B8" s="64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ht="15.7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ht="15.75" customHeight="1">
      <c r="A10" s="56"/>
      <c r="B10" s="56"/>
      <c r="C10" s="61" t="s">
        <v>113</v>
      </c>
      <c r="D10" s="56"/>
      <c r="E10" s="61" t="s">
        <v>145</v>
      </c>
      <c r="F10" s="56"/>
      <c r="G10" s="61" t="s">
        <v>146</v>
      </c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ht="15.75" customHeight="1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ht="15.75" customHeight="1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ht="15.75" customHeight="1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ht="15.75" customHeight="1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ht="15.75" customHeight="1">
      <c r="A15" s="56"/>
      <c r="B15" s="65" t="s">
        <v>147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ht="15.75" customHeight="1">
      <c r="A16" s="56"/>
      <c r="B16" s="11" t="s">
        <v>148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ht="15.75" customHeight="1">
      <c r="A17" s="56"/>
      <c r="B17" s="11" t="s">
        <v>149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ht="15.75" customHeight="1">
      <c r="A18" s="56"/>
      <c r="B18" s="11" t="s">
        <v>150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ht="15.75" customHeight="1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ht="15.75" customHeight="1">
      <c r="A20" s="56"/>
      <c r="B20" s="56"/>
      <c r="C20" s="62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ht="15.75" customHeight="1">
      <c r="A21" s="56"/>
      <c r="B21" s="29" t="s">
        <v>151</v>
      </c>
      <c r="C21" s="29" t="s">
        <v>152</v>
      </c>
      <c r="D21" s="29" t="s">
        <v>153</v>
      </c>
      <c r="E21" s="29" t="s">
        <v>88</v>
      </c>
      <c r="F21" s="29" t="s">
        <v>154</v>
      </c>
      <c r="G21" s="29" t="s">
        <v>155</v>
      </c>
      <c r="H21" s="29" t="s">
        <v>156</v>
      </c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ht="15.75" customHeight="1">
      <c r="A22" s="56"/>
      <c r="B22" s="11" t="s">
        <v>157</v>
      </c>
      <c r="C22" s="66">
        <v>900000.0</v>
      </c>
      <c r="D22" s="56">
        <v>6.0</v>
      </c>
      <c r="E22" s="56">
        <v>15.0</v>
      </c>
      <c r="F22" s="56" t="s">
        <v>158</v>
      </c>
      <c r="G22" s="56" t="s">
        <v>158</v>
      </c>
      <c r="H22" s="11" t="s">
        <v>159</v>
      </c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ht="15.75" customHeight="1">
      <c r="A23" s="56"/>
      <c r="B23" s="11" t="s">
        <v>160</v>
      </c>
      <c r="C23" s="66">
        <v>0.0</v>
      </c>
      <c r="D23" s="56">
        <v>6.0</v>
      </c>
      <c r="E23" s="56">
        <v>15.0</v>
      </c>
      <c r="F23" s="56" t="s">
        <v>158</v>
      </c>
      <c r="G23" s="56"/>
      <c r="H23" s="11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ht="15.75" customHeight="1">
      <c r="A24" s="56"/>
      <c r="B24" s="11" t="s">
        <v>140</v>
      </c>
      <c r="C24" s="66">
        <v>300000.0</v>
      </c>
      <c r="D24" s="56">
        <v>6.0</v>
      </c>
      <c r="E24" s="56">
        <v>10.0</v>
      </c>
      <c r="F24" s="56" t="s">
        <v>158</v>
      </c>
      <c r="G24" s="56"/>
      <c r="H24" s="11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ht="15.75" customHeight="1">
      <c r="A25" s="56"/>
      <c r="B25" s="11" t="s">
        <v>113</v>
      </c>
      <c r="C25" s="66">
        <v>300000.0</v>
      </c>
      <c r="D25" s="56">
        <v>6.0</v>
      </c>
      <c r="E25" s="56">
        <v>10.0</v>
      </c>
      <c r="F25" s="56">
        <v>8.0</v>
      </c>
      <c r="G25" s="56">
        <v>4.0</v>
      </c>
      <c r="H25" s="11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ht="15.75" customHeight="1">
      <c r="A26" s="56"/>
      <c r="B26" s="11" t="s">
        <v>145</v>
      </c>
      <c r="C26" s="66">
        <v>380000.0</v>
      </c>
      <c r="D26" s="56">
        <v>6.0</v>
      </c>
      <c r="E26" s="56">
        <v>10.0</v>
      </c>
      <c r="F26" s="56"/>
      <c r="G26" s="56"/>
      <c r="H26" s="11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ht="15.75" customHeight="1">
      <c r="A27" s="56"/>
      <c r="B27" s="11" t="s">
        <v>161</v>
      </c>
      <c r="C27" s="66">
        <v>1300000.0</v>
      </c>
      <c r="D27" s="56">
        <v>6.0</v>
      </c>
      <c r="E27" s="56">
        <v>15.0</v>
      </c>
      <c r="F27" s="56"/>
      <c r="G27" s="56"/>
      <c r="H27" s="11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ht="15.75" customHeight="1">
      <c r="A28" s="56"/>
      <c r="B28" s="11" t="s">
        <v>162</v>
      </c>
      <c r="C28" s="66">
        <v>1500000.0</v>
      </c>
      <c r="D28" s="56">
        <v>6.0</v>
      </c>
      <c r="E28" s="56">
        <v>20.0</v>
      </c>
      <c r="F28" s="56"/>
      <c r="G28" s="56"/>
      <c r="H28" s="11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ht="15.75" customHeight="1">
      <c r="A29" s="56"/>
      <c r="B29" s="11"/>
      <c r="C29" s="67"/>
      <c r="D29" s="11"/>
      <c r="E29" s="11"/>
      <c r="F29" s="11"/>
      <c r="G29" s="11"/>
      <c r="H29" s="11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ht="15.75" customHeight="1">
      <c r="A30" s="56"/>
      <c r="B30" s="11"/>
      <c r="C30" s="67"/>
      <c r="D30" s="11"/>
      <c r="E30" s="11"/>
      <c r="F30" s="11"/>
      <c r="G30" s="11"/>
      <c r="H30" s="11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ht="15.75" customHeight="1">
      <c r="A31" s="56"/>
      <c r="B31" s="11"/>
      <c r="C31" s="67"/>
      <c r="D31" s="11"/>
      <c r="E31" s="11"/>
      <c r="F31" s="11"/>
      <c r="G31" s="11"/>
      <c r="H31" s="11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ht="15.75" customHeight="1">
      <c r="A32" s="56"/>
      <c r="B32" s="11"/>
      <c r="C32" s="67"/>
      <c r="D32" s="11"/>
      <c r="E32" s="11"/>
      <c r="F32" s="11"/>
      <c r="G32" s="11"/>
      <c r="H32" s="11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ht="15.75" customHeight="1">
      <c r="A33" s="56"/>
      <c r="B33" s="11"/>
      <c r="C33" s="67"/>
      <c r="D33" s="11"/>
      <c r="E33" s="11"/>
      <c r="F33" s="11"/>
      <c r="G33" s="11"/>
      <c r="H33" s="11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ht="15.75" customHeight="1">
      <c r="A34" s="56"/>
      <c r="B34" s="11"/>
      <c r="C34" s="67"/>
      <c r="D34" s="11"/>
      <c r="E34" s="11"/>
      <c r="F34" s="11"/>
      <c r="G34" s="11"/>
      <c r="H34" s="11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ht="15.75" customHeight="1">
      <c r="A35" s="56"/>
      <c r="B35" s="11"/>
      <c r="C35" s="67"/>
      <c r="D35" s="11"/>
      <c r="E35" s="11"/>
      <c r="F35" s="11"/>
      <c r="G35" s="11"/>
      <c r="H35" s="11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ht="15.75" customHeight="1">
      <c r="A36" s="56"/>
      <c r="B36" s="29" t="s">
        <v>163</v>
      </c>
      <c r="C36" s="11"/>
      <c r="D36" s="11"/>
      <c r="E36" s="11"/>
      <c r="F36" s="11"/>
      <c r="G36" s="11"/>
      <c r="H36" s="11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ht="15.75" customHeight="1">
      <c r="A37" s="56"/>
      <c r="B37" s="11" t="s">
        <v>157</v>
      </c>
      <c r="C37" s="68">
        <v>0.005</v>
      </c>
      <c r="D37" s="11"/>
      <c r="E37" s="11"/>
      <c r="F37" s="11"/>
      <c r="G37" s="11"/>
      <c r="H37" s="11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ht="15.75" customHeight="1">
      <c r="A38" s="56"/>
      <c r="B38" s="11" t="s">
        <v>113</v>
      </c>
      <c r="C38" s="68">
        <v>0.025</v>
      </c>
      <c r="D38" s="11"/>
      <c r="E38" s="11"/>
      <c r="F38" s="11"/>
      <c r="G38" s="11"/>
      <c r="H38" s="11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ht="15.75" customHeight="1">
      <c r="A39" s="56"/>
      <c r="B39" s="11"/>
      <c r="C39" s="11"/>
      <c r="D39" s="11"/>
      <c r="E39" s="11"/>
      <c r="F39" s="11"/>
      <c r="G39" s="11"/>
      <c r="H39" s="11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ht="15.75" customHeight="1">
      <c r="A40" s="56"/>
      <c r="B40" s="11"/>
      <c r="C40" s="11"/>
      <c r="D40" s="11"/>
      <c r="E40" s="11"/>
      <c r="F40" s="11"/>
      <c r="G40" s="11"/>
      <c r="H40" s="11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ht="15.75" customHeight="1">
      <c r="A41" s="56"/>
      <c r="B41" s="11"/>
      <c r="C41" s="11"/>
      <c r="D41" s="11"/>
      <c r="E41" s="11"/>
      <c r="F41" s="11"/>
      <c r="G41" s="11"/>
      <c r="H41" s="11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ht="15.75" customHeight="1">
      <c r="A42" s="56"/>
      <c r="B42" s="11"/>
      <c r="C42" s="11"/>
      <c r="D42" s="11"/>
      <c r="E42" s="11"/>
      <c r="F42" s="11"/>
      <c r="G42" s="11"/>
      <c r="H42" s="11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ht="15.75" customHeight="1">
      <c r="A43" s="56"/>
      <c r="B43" s="11"/>
      <c r="C43" s="11"/>
      <c r="D43" s="11"/>
      <c r="E43" s="11"/>
      <c r="F43" s="11"/>
      <c r="G43" s="11"/>
      <c r="H43" s="11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ht="15.75" customHeight="1">
      <c r="A44" s="56"/>
      <c r="B44" s="11"/>
      <c r="C44" s="11"/>
      <c r="D44" s="11"/>
      <c r="E44" s="11"/>
      <c r="F44" s="11"/>
      <c r="G44" s="11"/>
      <c r="H44" s="11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ht="15.75" customHeight="1">
      <c r="A45" s="56"/>
      <c r="B45" s="11"/>
      <c r="C45" s="11"/>
      <c r="D45" s="69"/>
      <c r="E45" s="11"/>
      <c r="F45" s="11"/>
      <c r="G45" s="11"/>
      <c r="H45" s="11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ht="15.75" customHeight="1">
      <c r="A46" s="56"/>
      <c r="B46" s="29" t="s">
        <v>164</v>
      </c>
      <c r="C46" s="29" t="s">
        <v>165</v>
      </c>
      <c r="D46" s="29" t="s">
        <v>166</v>
      </c>
      <c r="E46" s="29" t="s">
        <v>167</v>
      </c>
      <c r="F46" s="29" t="s">
        <v>168</v>
      </c>
      <c r="G46" s="29" t="s">
        <v>169</v>
      </c>
      <c r="H46" s="29" t="s">
        <v>170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ht="15.75" customHeight="1">
      <c r="A47" s="11"/>
      <c r="B47" s="11" t="s">
        <v>171</v>
      </c>
      <c r="C47" s="68">
        <v>0.2</v>
      </c>
      <c r="D47" s="68">
        <v>0.32</v>
      </c>
      <c r="E47" s="70">
        <v>0.192</v>
      </c>
      <c r="F47" s="70">
        <v>0.115</v>
      </c>
      <c r="G47" s="70">
        <v>0.115</v>
      </c>
      <c r="H47" s="70">
        <v>0.058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56"/>
      <c r="B48" s="11" t="s">
        <v>145</v>
      </c>
      <c r="C48" s="68">
        <v>0.2</v>
      </c>
      <c r="D48" s="68">
        <v>0.32</v>
      </c>
      <c r="E48" s="70">
        <v>0.192</v>
      </c>
      <c r="F48" s="70">
        <v>0.115</v>
      </c>
      <c r="G48" s="70">
        <v>0.115</v>
      </c>
      <c r="H48" s="70">
        <v>0.058</v>
      </c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ht="15.75" customHeight="1">
      <c r="A49" s="56"/>
      <c r="B49" s="3" t="s">
        <v>172</v>
      </c>
      <c r="C49" s="68">
        <v>0.2</v>
      </c>
      <c r="D49" s="68">
        <v>0.32</v>
      </c>
      <c r="E49" s="70">
        <v>0.192</v>
      </c>
      <c r="F49" s="70">
        <v>0.115</v>
      </c>
      <c r="G49" s="70">
        <v>0.115</v>
      </c>
      <c r="H49" s="70">
        <v>0.058</v>
      </c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ht="15.75" customHeight="1">
      <c r="A50" s="56"/>
      <c r="B50" s="3" t="s">
        <v>173</v>
      </c>
      <c r="C50" s="68">
        <v>0.2</v>
      </c>
      <c r="D50" s="68">
        <v>0.32</v>
      </c>
      <c r="E50" s="70">
        <v>0.192</v>
      </c>
      <c r="F50" s="70">
        <v>0.115</v>
      </c>
      <c r="G50" s="70">
        <v>0.115</v>
      </c>
      <c r="H50" s="70">
        <v>0.058</v>
      </c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ht="15.75" customHeight="1">
      <c r="A51" s="56"/>
      <c r="B51" s="3" t="s">
        <v>162</v>
      </c>
      <c r="C51" s="68">
        <v>0.2</v>
      </c>
      <c r="D51" s="68">
        <v>0.32</v>
      </c>
      <c r="E51" s="70">
        <v>0.192</v>
      </c>
      <c r="F51" s="70">
        <v>0.115</v>
      </c>
      <c r="G51" s="70">
        <v>0.115</v>
      </c>
      <c r="H51" s="70">
        <v>0.058</v>
      </c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ht="15.75" customHeight="1">
      <c r="A52" s="56"/>
      <c r="B52" s="11" t="s">
        <v>113</v>
      </c>
      <c r="C52" s="68">
        <v>0.2</v>
      </c>
      <c r="D52" s="68">
        <v>0.32</v>
      </c>
      <c r="E52" s="70">
        <v>0.192</v>
      </c>
      <c r="F52" s="70">
        <v>0.115</v>
      </c>
      <c r="G52" s="70">
        <v>0.115</v>
      </c>
      <c r="H52" s="70">
        <v>0.058</v>
      </c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ht="15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7.78"/>
    <col customWidth="1" min="2" max="2" width="16.78"/>
    <col customWidth="1" min="3" max="3" width="16.0"/>
    <col customWidth="1" min="4" max="22" width="14.33"/>
    <col customWidth="1" min="23" max="26" width="10.56"/>
  </cols>
  <sheetData>
    <row r="1" ht="15.75" customHeight="1">
      <c r="A1" s="3" t="s">
        <v>174</v>
      </c>
      <c r="B1" s="25">
        <f>'Model and Assumptions'!B28</f>
        <v>54.45293381</v>
      </c>
      <c r="D1" s="3" t="s">
        <v>175</v>
      </c>
    </row>
    <row r="2" ht="15.75" customHeight="1">
      <c r="A2" s="3" t="s">
        <v>40</v>
      </c>
      <c r="B2" s="71" t="str">
        <f>'Model and Assumptions'!B29</f>
        <v>CAISO</v>
      </c>
      <c r="C2" s="3" t="s">
        <v>176</v>
      </c>
      <c r="D2" s="3" t="s">
        <v>177</v>
      </c>
      <c r="E2" s="3" t="s">
        <v>41</v>
      </c>
    </row>
    <row r="3" ht="15.75" customHeight="1">
      <c r="A3" s="3" t="s">
        <v>178</v>
      </c>
      <c r="B3" s="5">
        <v>0.3</v>
      </c>
      <c r="C3" s="3" t="s">
        <v>179</v>
      </c>
      <c r="D3" s="8" t="s">
        <v>180</v>
      </c>
    </row>
    <row r="4" ht="15.75" customHeight="1">
      <c r="A4" s="3" t="s">
        <v>88</v>
      </c>
      <c r="B4" s="3">
        <v>50.0</v>
      </c>
      <c r="D4" s="8" t="s">
        <v>181</v>
      </c>
    </row>
    <row r="5" ht="15.75" customHeight="1">
      <c r="A5" s="3" t="s">
        <v>182</v>
      </c>
      <c r="B5" s="5">
        <v>0.1</v>
      </c>
      <c r="D5" s="8"/>
    </row>
    <row r="6" ht="15.75" customHeight="1">
      <c r="A6" s="3" t="s">
        <v>183</v>
      </c>
      <c r="B6" s="32">
        <v>0.015</v>
      </c>
      <c r="D6" s="8"/>
    </row>
    <row r="7" ht="15.75" customHeight="1">
      <c r="A7" s="3" t="s">
        <v>184</v>
      </c>
      <c r="B7" s="32">
        <v>0.015</v>
      </c>
      <c r="D7" s="8"/>
    </row>
    <row r="8" ht="15.75" customHeight="1"/>
    <row r="9" ht="15.75" customHeight="1"/>
    <row r="10" ht="15.75" customHeight="1">
      <c r="A10" s="72" t="s">
        <v>185</v>
      </c>
      <c r="B10" s="72" t="s">
        <v>186</v>
      </c>
      <c r="C10" s="72" t="s">
        <v>187</v>
      </c>
      <c r="D10" s="72" t="s">
        <v>1</v>
      </c>
      <c r="E10" s="72" t="s">
        <v>188</v>
      </c>
      <c r="F10" s="72" t="s">
        <v>189</v>
      </c>
    </row>
    <row r="11" ht="15.75" customHeight="1">
      <c r="A11" s="73" t="s">
        <v>190</v>
      </c>
      <c r="B11" s="15">
        <v>1.86E7</v>
      </c>
      <c r="C11" s="15">
        <v>0.0</v>
      </c>
      <c r="F11" s="8" t="s">
        <v>191</v>
      </c>
    </row>
    <row r="12" ht="15.75" customHeight="1">
      <c r="A12" s="73" t="s">
        <v>192</v>
      </c>
      <c r="B12" s="15">
        <v>6000000.0</v>
      </c>
      <c r="C12" s="15">
        <v>0.0</v>
      </c>
      <c r="D12" s="74"/>
      <c r="E12" s="74"/>
      <c r="F12" s="8" t="s">
        <v>191</v>
      </c>
    </row>
    <row r="13" ht="15.75" customHeight="1">
      <c r="A13" s="73" t="s">
        <v>193</v>
      </c>
      <c r="B13" s="15">
        <v>2400000.0</v>
      </c>
      <c r="C13" s="15">
        <v>0.0</v>
      </c>
      <c r="D13" s="74" t="s">
        <v>194</v>
      </c>
      <c r="E13" s="74"/>
      <c r="F13" s="8" t="s">
        <v>191</v>
      </c>
    </row>
    <row r="14" ht="15.75" customHeight="1">
      <c r="A14" s="73" t="s">
        <v>195</v>
      </c>
      <c r="B14" s="15">
        <v>1.18E7</v>
      </c>
      <c r="C14" s="15">
        <v>0.0</v>
      </c>
      <c r="D14" s="74" t="s">
        <v>196</v>
      </c>
      <c r="E14" s="74"/>
      <c r="F14" s="8" t="s">
        <v>191</v>
      </c>
    </row>
    <row r="15" ht="15.75" customHeight="1">
      <c r="A15" s="73" t="s">
        <v>197</v>
      </c>
      <c r="B15" s="15">
        <v>2200000.0</v>
      </c>
      <c r="C15" s="15">
        <v>0.0</v>
      </c>
      <c r="D15" s="74"/>
      <c r="E15" s="74"/>
      <c r="F15" s="8" t="s">
        <v>191</v>
      </c>
    </row>
    <row r="16" ht="15.75" customHeight="1">
      <c r="A16" s="73" t="s">
        <v>198</v>
      </c>
      <c r="B16" s="15">
        <v>1400000.0</v>
      </c>
      <c r="C16" s="15">
        <v>0.0</v>
      </c>
      <c r="D16" s="74"/>
      <c r="E16" s="74"/>
      <c r="F16" s="8" t="s">
        <v>191</v>
      </c>
    </row>
    <row r="17" ht="15.75" customHeight="1">
      <c r="A17" s="73" t="s">
        <v>199</v>
      </c>
      <c r="B17" s="15">
        <v>1100.0</v>
      </c>
      <c r="C17" s="15">
        <v>0.0</v>
      </c>
      <c r="D17" s="74"/>
      <c r="E17" s="74"/>
      <c r="F17" s="8" t="s">
        <v>191</v>
      </c>
    </row>
    <row r="18" ht="15.75" customHeight="1">
      <c r="A18" s="73" t="s">
        <v>200</v>
      </c>
      <c r="B18" s="15">
        <v>160.0</v>
      </c>
      <c r="C18" s="15">
        <v>0.0</v>
      </c>
      <c r="D18" s="74" t="s">
        <v>201</v>
      </c>
      <c r="E18" s="74"/>
      <c r="F18" s="8" t="s">
        <v>191</v>
      </c>
    </row>
    <row r="19" ht="15.75" customHeight="1">
      <c r="A19" s="73" t="s">
        <v>202</v>
      </c>
      <c r="B19" s="15">
        <v>160.0</v>
      </c>
      <c r="C19" s="15">
        <v>0.0</v>
      </c>
      <c r="D19" s="74" t="s">
        <v>201</v>
      </c>
      <c r="E19" s="74"/>
      <c r="F19" s="8" t="s">
        <v>191</v>
      </c>
    </row>
    <row r="20" ht="15.75" customHeight="1">
      <c r="A20" s="73" t="s">
        <v>203</v>
      </c>
      <c r="B20" s="15">
        <v>33000.0</v>
      </c>
      <c r="C20" s="15">
        <v>0.0</v>
      </c>
      <c r="D20" s="74" t="s">
        <v>201</v>
      </c>
      <c r="E20" s="74"/>
      <c r="F20" s="8" t="s">
        <v>191</v>
      </c>
    </row>
    <row r="21" ht="15.75" customHeight="1">
      <c r="A21" s="73" t="s">
        <v>204</v>
      </c>
      <c r="B21" s="15">
        <v>30000.0</v>
      </c>
      <c r="C21" s="15">
        <v>0.0</v>
      </c>
      <c r="D21" s="74" t="s">
        <v>201</v>
      </c>
      <c r="E21" s="74"/>
      <c r="F21" s="8" t="s">
        <v>191</v>
      </c>
    </row>
    <row r="22" ht="15.75" customHeight="1">
      <c r="A22" s="73" t="s">
        <v>205</v>
      </c>
      <c r="B22" s="15">
        <v>45000.0</v>
      </c>
      <c r="C22" s="15">
        <v>0.0</v>
      </c>
      <c r="D22" s="74" t="s">
        <v>201</v>
      </c>
      <c r="E22" s="74"/>
      <c r="F22" s="8" t="s">
        <v>191</v>
      </c>
    </row>
    <row r="23" ht="15.75" customHeight="1">
      <c r="A23" s="73" t="s">
        <v>206</v>
      </c>
      <c r="B23" s="15">
        <v>150000.0</v>
      </c>
      <c r="C23" s="15">
        <v>0.0</v>
      </c>
      <c r="D23" s="74" t="s">
        <v>201</v>
      </c>
      <c r="E23" s="74"/>
      <c r="F23" s="8" t="s">
        <v>191</v>
      </c>
    </row>
    <row r="24" ht="15.75" customHeight="1">
      <c r="A24" s="73" t="s">
        <v>207</v>
      </c>
      <c r="B24" s="15">
        <v>80000.0</v>
      </c>
      <c r="C24" s="15">
        <v>0.0</v>
      </c>
      <c r="D24" s="74" t="s">
        <v>201</v>
      </c>
      <c r="E24" s="74"/>
      <c r="F24" s="8" t="s">
        <v>191</v>
      </c>
    </row>
    <row r="25" ht="15.75" customHeight="1">
      <c r="A25" s="73" t="s">
        <v>208</v>
      </c>
      <c r="B25" s="15">
        <v>10000.0</v>
      </c>
      <c r="C25" s="15">
        <v>0.0</v>
      </c>
      <c r="D25" s="74" t="s">
        <v>201</v>
      </c>
      <c r="E25" s="74"/>
      <c r="F25" s="8" t="s">
        <v>191</v>
      </c>
    </row>
    <row r="26" ht="15.75" customHeight="1">
      <c r="A26" s="73" t="s">
        <v>209</v>
      </c>
      <c r="B26" s="15">
        <v>15000.0</v>
      </c>
      <c r="C26" s="15">
        <v>0.0</v>
      </c>
      <c r="D26" s="74" t="s">
        <v>201</v>
      </c>
      <c r="E26" s="74"/>
      <c r="F26" s="8" t="s">
        <v>191</v>
      </c>
    </row>
    <row r="27" ht="15.75" customHeight="1">
      <c r="A27" s="73" t="s">
        <v>210</v>
      </c>
      <c r="B27" s="15">
        <v>18000.0</v>
      </c>
      <c r="C27" s="15">
        <v>0.0</v>
      </c>
      <c r="D27" s="74" t="s">
        <v>201</v>
      </c>
      <c r="E27" s="74"/>
      <c r="F27" s="8" t="s">
        <v>191</v>
      </c>
    </row>
    <row r="28" ht="15.75" customHeight="1">
      <c r="A28" s="73" t="s">
        <v>211</v>
      </c>
      <c r="B28" s="15">
        <v>320.0</v>
      </c>
      <c r="C28" s="15">
        <v>0.0</v>
      </c>
      <c r="D28" s="74" t="s">
        <v>201</v>
      </c>
      <c r="E28" s="74"/>
      <c r="F28" s="8" t="s">
        <v>191</v>
      </c>
    </row>
    <row r="29" ht="15.75" customHeight="1">
      <c r="A29" s="73" t="s">
        <v>212</v>
      </c>
      <c r="B29" s="15">
        <v>34000.0</v>
      </c>
      <c r="C29" s="15">
        <v>0.0</v>
      </c>
      <c r="D29" s="74" t="s">
        <v>201</v>
      </c>
      <c r="E29" s="74"/>
      <c r="F29" s="8" t="s">
        <v>191</v>
      </c>
    </row>
    <row r="30" ht="15.75" customHeight="1">
      <c r="A30" s="73" t="s">
        <v>213</v>
      </c>
      <c r="B30" s="15">
        <v>850000.0</v>
      </c>
      <c r="C30" s="15">
        <v>0.0</v>
      </c>
      <c r="D30" s="74" t="s">
        <v>201</v>
      </c>
      <c r="E30" s="74"/>
      <c r="F30" s="8" t="s">
        <v>191</v>
      </c>
    </row>
    <row r="31" ht="15.75" customHeight="1">
      <c r="A31" s="73" t="s">
        <v>214</v>
      </c>
      <c r="B31" s="15">
        <v>80000.0</v>
      </c>
      <c r="C31" s="15">
        <v>0.0</v>
      </c>
      <c r="D31" s="74" t="s">
        <v>201</v>
      </c>
      <c r="E31" s="74"/>
      <c r="F31" s="8" t="s">
        <v>191</v>
      </c>
    </row>
    <row r="32" ht="15.75" customHeight="1">
      <c r="A32" s="73" t="s">
        <v>215</v>
      </c>
      <c r="B32" s="15">
        <v>130000.0</v>
      </c>
      <c r="C32" s="15">
        <v>0.0</v>
      </c>
      <c r="D32" s="74" t="s">
        <v>201</v>
      </c>
      <c r="E32" s="74"/>
      <c r="F32" s="8" t="s">
        <v>191</v>
      </c>
    </row>
    <row r="33" ht="15.75" customHeight="1">
      <c r="A33" s="73" t="s">
        <v>216</v>
      </c>
      <c r="B33" s="15">
        <v>120000.0</v>
      </c>
      <c r="C33" s="15">
        <v>0.0</v>
      </c>
      <c r="D33" s="74" t="s">
        <v>201</v>
      </c>
      <c r="E33" s="74"/>
      <c r="F33" s="8" t="s">
        <v>191</v>
      </c>
    </row>
    <row r="34" ht="15.75" customHeight="1">
      <c r="A34" s="73" t="s">
        <v>217</v>
      </c>
      <c r="B34" s="15">
        <v>65000.0</v>
      </c>
      <c r="C34" s="15">
        <v>0.0</v>
      </c>
      <c r="D34" s="74" t="s">
        <v>201</v>
      </c>
      <c r="E34" s="74"/>
      <c r="F34" s="8" t="s">
        <v>191</v>
      </c>
    </row>
    <row r="35" ht="15.75" customHeight="1">
      <c r="A35" s="3" t="s">
        <v>218</v>
      </c>
      <c r="B35" s="15">
        <f>SUM($B$11:$B$34)*Contingency</f>
        <v>4406174</v>
      </c>
      <c r="C35" s="15">
        <v>0.0</v>
      </c>
      <c r="D35" s="74" t="s">
        <v>219</v>
      </c>
      <c r="E35" s="74"/>
    </row>
    <row r="36" ht="15.75" customHeight="1">
      <c r="A36" s="3" t="s">
        <v>220</v>
      </c>
      <c r="B36" s="15">
        <v>0.0</v>
      </c>
      <c r="C36" s="15">
        <f>ROUND(SUM($B$11:$B$34)*Grid_OM,0)</f>
        <v>660926</v>
      </c>
      <c r="D36" s="74" t="s">
        <v>221</v>
      </c>
      <c r="E36" s="74"/>
    </row>
    <row r="37" ht="15.75" customHeight="1">
      <c r="A37" s="3" t="s">
        <v>222</v>
      </c>
      <c r="B37" s="15">
        <v>0.0</v>
      </c>
      <c r="C37" s="15">
        <f>ROUND(SUM($B$11:$B$34)*Grid_Insurance,0)</f>
        <v>660926</v>
      </c>
      <c r="D37" s="74" t="s">
        <v>221</v>
      </c>
      <c r="E37" s="74"/>
    </row>
    <row r="38" ht="15.75" customHeight="1">
      <c r="A38" s="3" t="s">
        <v>223</v>
      </c>
      <c r="B38" s="15">
        <f>IF(B1&gt;20, 250000, 100000)*(1-POWER(1/(1+IRR),Project_Lifetime))</f>
        <v>224083.3087</v>
      </c>
      <c r="C38" s="15">
        <v>0.0</v>
      </c>
      <c r="D38" s="74" t="s">
        <v>224</v>
      </c>
      <c r="E38" s="74"/>
      <c r="F38" s="8" t="s">
        <v>225</v>
      </c>
    </row>
    <row r="39" ht="15.75" customHeight="1">
      <c r="A39" s="3" t="s">
        <v>226</v>
      </c>
      <c r="B39" s="15">
        <f>Grid_Connection_Size*20000</f>
        <v>1089058.676</v>
      </c>
      <c r="C39" s="15"/>
      <c r="D39" s="74" t="s">
        <v>227</v>
      </c>
      <c r="E39" s="74"/>
      <c r="F39" s="8" t="s">
        <v>225</v>
      </c>
    </row>
    <row r="40" ht="15.75" customHeight="1">
      <c r="A40" s="3" t="s">
        <v>228</v>
      </c>
      <c r="B40" s="15">
        <v>0.0</v>
      </c>
      <c r="C40" s="15">
        <f>164.5*365</f>
        <v>60042.5</v>
      </c>
      <c r="D40" s="74" t="s">
        <v>229</v>
      </c>
      <c r="E40" s="74"/>
    </row>
    <row r="41" ht="15.75" customHeight="1">
      <c r="A41" s="75" t="s">
        <v>230</v>
      </c>
      <c r="B41" s="15">
        <f>-GRID_ITC*SUM(B11:B35)</f>
        <v>-14540374.2</v>
      </c>
      <c r="C41" s="15">
        <v>0.0</v>
      </c>
      <c r="D41" s="74"/>
      <c r="E41" s="74"/>
    </row>
    <row r="42" ht="15.75" customHeight="1">
      <c r="B42" s="76">
        <f t="shared" ref="B42:C42" si="1">SUM(B11:B41)</f>
        <v>35240681.78</v>
      </c>
      <c r="C42" s="76">
        <f t="shared" si="1"/>
        <v>1381894.5</v>
      </c>
      <c r="D42" s="74" t="s">
        <v>231</v>
      </c>
    </row>
    <row r="43" ht="15.75" customHeight="1"/>
    <row r="44" ht="15.75" customHeight="1">
      <c r="A44" s="72" t="s">
        <v>232</v>
      </c>
      <c r="B44" s="72" t="s">
        <v>186</v>
      </c>
      <c r="C44" s="72" t="s">
        <v>187</v>
      </c>
      <c r="D44" s="72" t="s">
        <v>1</v>
      </c>
      <c r="E44" s="72" t="s">
        <v>188</v>
      </c>
      <c r="F44" s="72" t="s">
        <v>189</v>
      </c>
    </row>
    <row r="45" ht="15.75" customHeight="1">
      <c r="A45" s="3" t="s">
        <v>233</v>
      </c>
      <c r="B45" s="15">
        <f>20000*B1</f>
        <v>1089058.676</v>
      </c>
      <c r="C45" s="15">
        <v>0.0</v>
      </c>
      <c r="F45" s="8" t="s">
        <v>234</v>
      </c>
      <c r="H45" s="74"/>
    </row>
    <row r="46" ht="15.75" customHeight="1">
      <c r="A46" s="3" t="s">
        <v>235</v>
      </c>
      <c r="B46" s="15">
        <f>IF(B1&lt;20, 20000, 7500000)</f>
        <v>7500000</v>
      </c>
      <c r="C46" s="15">
        <v>0.0</v>
      </c>
      <c r="D46" s="74"/>
      <c r="F46" s="8" t="s">
        <v>234</v>
      </c>
      <c r="H46" s="74"/>
    </row>
    <row r="47" ht="15.75" customHeight="1">
      <c r="A47" s="75" t="s">
        <v>236</v>
      </c>
      <c r="B47" s="15">
        <f>-B46*GRID_ITC</f>
        <v>-2250000</v>
      </c>
      <c r="C47" s="15">
        <v>0.0</v>
      </c>
      <c r="D47" s="74"/>
      <c r="F47" s="8"/>
      <c r="H47" s="74"/>
    </row>
    <row r="48" ht="15.75" customHeight="1">
      <c r="A48" s="3" t="s">
        <v>237</v>
      </c>
      <c r="B48" s="15">
        <v>0.0</v>
      </c>
      <c r="C48" s="77">
        <v>21280.0</v>
      </c>
      <c r="D48" s="74" t="s">
        <v>238</v>
      </c>
      <c r="F48" s="8" t="s">
        <v>239</v>
      </c>
      <c r="G48" s="74"/>
      <c r="H48" s="74"/>
    </row>
    <row r="49" ht="15.75" customHeight="1">
      <c r="A49" s="3" t="s">
        <v>240</v>
      </c>
      <c r="B49" s="15">
        <v>0.0</v>
      </c>
      <c r="C49" s="15">
        <f>164.5*365</f>
        <v>60042.5</v>
      </c>
      <c r="D49" s="74" t="s">
        <v>229</v>
      </c>
      <c r="F49" s="8" t="s">
        <v>234</v>
      </c>
      <c r="G49" s="74"/>
      <c r="H49" s="74"/>
    </row>
    <row r="50" ht="15.75" customHeight="1">
      <c r="A50" s="3" t="s">
        <v>241</v>
      </c>
      <c r="B50" s="15">
        <f>(1-POWER(1/(1+IRR),Project_Lifetime))*IF(Grid_Connection_Size&gt;20, 15000000, 100000)</f>
        <v>13444998.52</v>
      </c>
      <c r="C50" s="15">
        <v>0.0</v>
      </c>
      <c r="F50" s="8" t="s">
        <v>234</v>
      </c>
    </row>
    <row r="51" ht="15.75" customHeight="1">
      <c r="A51" s="3" t="s">
        <v>242</v>
      </c>
      <c r="B51" s="15">
        <v>0.0</v>
      </c>
      <c r="C51" s="15">
        <f>5728*Grid_Connection_Size</f>
        <v>311906.4049</v>
      </c>
      <c r="F51" s="8" t="s">
        <v>234</v>
      </c>
    </row>
    <row r="52" ht="15.75" customHeight="1">
      <c r="A52" s="3" t="s">
        <v>243</v>
      </c>
      <c r="B52" s="15">
        <v>0.0</v>
      </c>
      <c r="C52" s="15">
        <f>ROUND(SUM($B$11:$B$34)*12*0.0048,0)</f>
        <v>2537956</v>
      </c>
      <c r="D52" s="74" t="s">
        <v>244</v>
      </c>
      <c r="F52" s="8" t="s">
        <v>234</v>
      </c>
    </row>
    <row r="53" ht="15.75" customHeight="1">
      <c r="A53" s="3" t="s">
        <v>245</v>
      </c>
      <c r="B53" s="15">
        <f>20000*Grid_Connection_Size</f>
        <v>1089058.676</v>
      </c>
      <c r="C53" s="15">
        <v>0.0</v>
      </c>
      <c r="F53" s="8" t="s">
        <v>246</v>
      </c>
    </row>
    <row r="54" ht="15.75" customHeight="1">
      <c r="A54" s="3" t="s">
        <v>247</v>
      </c>
      <c r="B54" s="15">
        <f>250000*(1-POWER((1-Inflation_Rate)/(1+IRR),Project_Lifetime))</f>
        <v>235672.3518</v>
      </c>
      <c r="C54" s="15">
        <v>0.0</v>
      </c>
      <c r="F54" s="8" t="s">
        <v>246</v>
      </c>
    </row>
    <row r="55" ht="15.75" customHeight="1">
      <c r="B55" s="76">
        <f t="shared" ref="B55:C55" si="2">IF($B$2 = "PGE B-20",SUM(B45:B48), SUM(B49:B54))</f>
        <v>14769729.55</v>
      </c>
      <c r="C55" s="76">
        <f t="shared" si="2"/>
        <v>2909904.905</v>
      </c>
      <c r="D55" s="74" t="s">
        <v>231</v>
      </c>
      <c r="E55" s="76"/>
      <c r="F55" s="8"/>
    </row>
    <row r="56" ht="15.75" customHeight="1">
      <c r="B56" s="76"/>
      <c r="C56" s="76"/>
      <c r="D56" s="74"/>
      <c r="E56" s="76"/>
      <c r="F56" s="8"/>
    </row>
    <row r="57" ht="15.75" customHeight="1"/>
    <row r="58" ht="15.75" customHeight="1">
      <c r="A58" s="72" t="s">
        <v>248</v>
      </c>
      <c r="B58" s="78">
        <f>IF($B$2 = "CAISO",B42, B55)*(Grid_Connection_Size/45)</f>
        <v>42643522.51</v>
      </c>
      <c r="C58" s="78">
        <f>IF($B$2 = "CAISO",C42, C55)*(Grid_Connection_Size/45)</f>
        <v>1672182.439</v>
      </c>
      <c r="D58" s="3" t="s">
        <v>249</v>
      </c>
      <c r="H58" s="9" t="s">
        <v>250</v>
      </c>
    </row>
    <row r="59" ht="15.75" customHeight="1">
      <c r="A59" s="56"/>
      <c r="B59" s="15"/>
    </row>
    <row r="60" ht="15.75" customHeight="1"/>
    <row r="61" ht="15.75" customHeight="1"/>
    <row r="62" ht="15.75" customHeight="1">
      <c r="A62" s="72" t="s">
        <v>251</v>
      </c>
      <c r="B62" s="3" t="s">
        <v>252</v>
      </c>
      <c r="C62" s="3">
        <v>1.0</v>
      </c>
      <c r="D62" s="3">
        <f t="shared" ref="D62:V62" si="3">C62+1</f>
        <v>2</v>
      </c>
      <c r="E62" s="3">
        <f t="shared" si="3"/>
        <v>3</v>
      </c>
      <c r="F62" s="3">
        <f t="shared" si="3"/>
        <v>4</v>
      </c>
      <c r="G62" s="3">
        <f t="shared" si="3"/>
        <v>5</v>
      </c>
      <c r="H62" s="3">
        <f t="shared" si="3"/>
        <v>6</v>
      </c>
      <c r="I62" s="3">
        <f t="shared" si="3"/>
        <v>7</v>
      </c>
      <c r="J62" s="3">
        <f t="shared" si="3"/>
        <v>8</v>
      </c>
      <c r="K62" s="3">
        <f t="shared" si="3"/>
        <v>9</v>
      </c>
      <c r="L62" s="3">
        <f t="shared" si="3"/>
        <v>10</v>
      </c>
      <c r="M62" s="2">
        <f t="shared" si="3"/>
        <v>11</v>
      </c>
      <c r="N62" s="3">
        <f t="shared" si="3"/>
        <v>12</v>
      </c>
      <c r="O62" s="3">
        <f t="shared" si="3"/>
        <v>13</v>
      </c>
      <c r="P62" s="3">
        <f t="shared" si="3"/>
        <v>14</v>
      </c>
      <c r="Q62" s="3">
        <f t="shared" si="3"/>
        <v>15</v>
      </c>
      <c r="R62" s="3">
        <f t="shared" si="3"/>
        <v>16</v>
      </c>
      <c r="S62" s="3">
        <f t="shared" si="3"/>
        <v>17</v>
      </c>
      <c r="T62" s="3">
        <f t="shared" si="3"/>
        <v>18</v>
      </c>
      <c r="U62" s="3">
        <f t="shared" si="3"/>
        <v>19</v>
      </c>
      <c r="V62" s="3">
        <f t="shared" si="3"/>
        <v>20</v>
      </c>
    </row>
    <row r="63" ht="15.75" customHeight="1">
      <c r="A63" s="3" t="s">
        <v>253</v>
      </c>
      <c r="B63" s="20">
        <f t="shared" ref="B63:B64" si="6">SUM(C63:W63)</f>
        <v>42643522.51</v>
      </c>
      <c r="C63" s="15">
        <f>GRID_CAPEX</f>
        <v>42643522.51</v>
      </c>
      <c r="D63" s="15">
        <v>0.0</v>
      </c>
      <c r="E63" s="15">
        <f t="shared" ref="E63:L63" si="4">D63</f>
        <v>0</v>
      </c>
      <c r="F63" s="15">
        <f t="shared" si="4"/>
        <v>0</v>
      </c>
      <c r="G63" s="15">
        <f t="shared" si="4"/>
        <v>0</v>
      </c>
      <c r="H63" s="15">
        <f t="shared" si="4"/>
        <v>0</v>
      </c>
      <c r="I63" s="15">
        <f t="shared" si="4"/>
        <v>0</v>
      </c>
      <c r="J63" s="15">
        <f t="shared" si="4"/>
        <v>0</v>
      </c>
      <c r="K63" s="15">
        <f t="shared" si="4"/>
        <v>0</v>
      </c>
      <c r="L63" s="15">
        <f t="shared" si="4"/>
        <v>0</v>
      </c>
      <c r="M63" s="15">
        <v>0.0</v>
      </c>
      <c r="N63" s="15">
        <v>0.0</v>
      </c>
      <c r="O63" s="15">
        <f t="shared" ref="O63:V63" si="5">N63</f>
        <v>0</v>
      </c>
      <c r="P63" s="15">
        <f t="shared" si="5"/>
        <v>0</v>
      </c>
      <c r="Q63" s="15">
        <f t="shared" si="5"/>
        <v>0</v>
      </c>
      <c r="R63" s="15">
        <f t="shared" si="5"/>
        <v>0</v>
      </c>
      <c r="S63" s="15">
        <f t="shared" si="5"/>
        <v>0</v>
      </c>
      <c r="T63" s="15">
        <f t="shared" si="5"/>
        <v>0</v>
      </c>
      <c r="U63" s="15">
        <f t="shared" si="5"/>
        <v>0</v>
      </c>
      <c r="V63" s="15">
        <f t="shared" si="5"/>
        <v>0</v>
      </c>
    </row>
    <row r="64" ht="15.75" customHeight="1">
      <c r="A64" s="3" t="s">
        <v>254</v>
      </c>
      <c r="B64" s="20">
        <f t="shared" si="6"/>
        <v>16823699.19</v>
      </c>
      <c r="C64" s="15">
        <f>GRID_OPEX</f>
        <v>1672182.439</v>
      </c>
      <c r="D64" s="15">
        <f>ROUND(C64*(1+Inflation_Rate)/(1+IRR),2)</f>
        <v>1536616.22</v>
      </c>
      <c r="E64" s="15">
        <f>ROUND(D64*(1+Inflation_Rate)/(1+IRR),2)</f>
        <v>1412040.55</v>
      </c>
      <c r="F64" s="15">
        <f>ROUND(E64*(1+Inflation_Rate)/(1+IRR),2)</f>
        <v>1297564.41</v>
      </c>
      <c r="G64" s="15">
        <f>ROUND(F64*(1+Inflation_Rate)/(1+IRR),2)</f>
        <v>1192369.01</v>
      </c>
      <c r="H64" s="15">
        <f>ROUND(G64*(1+Inflation_Rate)/(1+IRR),2)</f>
        <v>1095701.95</v>
      </c>
      <c r="I64" s="15">
        <f>ROUND(H64*(1+Inflation_Rate)/(1+IRR),2)</f>
        <v>1006871.83</v>
      </c>
      <c r="J64" s="15">
        <f>ROUND(I64*(1+Inflation_Rate)/(1+IRR),2)</f>
        <v>925243.29</v>
      </c>
      <c r="K64" s="15">
        <f>ROUND(J64*(1+Inflation_Rate)/(1+IRR),2)</f>
        <v>850232.49</v>
      </c>
      <c r="L64" s="15">
        <f>ROUND(K64*(1+Inflation_Rate)/(1+IRR),2)</f>
        <v>781302.93</v>
      </c>
      <c r="M64" s="15">
        <f>ROUND(L64*(1+Inflation_Rate)/(1+IRR),2)</f>
        <v>717961.59</v>
      </c>
      <c r="N64" s="15">
        <f>ROUND(M64*(1+Inflation_Rate)/(1+IRR),2)</f>
        <v>659755.42</v>
      </c>
      <c r="O64" s="15">
        <f>ROUND(N64*(1+Inflation_Rate)/(1+IRR),2)</f>
        <v>606268.11</v>
      </c>
      <c r="P64" s="15">
        <f>ROUND(O64*(1+Inflation_Rate)/(1+IRR),2)</f>
        <v>557117.09</v>
      </c>
      <c r="Q64" s="15">
        <f>ROUND(P64*(1+Inflation_Rate)/(1+IRR),2)</f>
        <v>511950.81</v>
      </c>
      <c r="R64" s="15">
        <f>ROUND(Q64*(1+Inflation_Rate)/(1+IRR),2)</f>
        <v>470446.23</v>
      </c>
      <c r="S64" s="15">
        <f>ROUND(R64*(1+Inflation_Rate)/(1+IRR),2)</f>
        <v>432306.48</v>
      </c>
      <c r="T64" s="15">
        <f>ROUND(S64*(1+Inflation_Rate)/(1+IRR),2)</f>
        <v>397258.78</v>
      </c>
      <c r="U64" s="15">
        <f>ROUND(T64*(1+Inflation_Rate)/(1+IRR),2)</f>
        <v>365052.44</v>
      </c>
      <c r="V64" s="15">
        <f>ROUND(U64*(1+Inflation_Rate)/(1+IRR),2)</f>
        <v>335457.12</v>
      </c>
    </row>
    <row r="65" ht="15.75" customHeight="1">
      <c r="D65" s="25"/>
    </row>
    <row r="66" ht="15.75" customHeight="1">
      <c r="D66" s="25"/>
    </row>
    <row r="67" ht="15.75" customHeight="1">
      <c r="A67" s="3" t="s">
        <v>255</v>
      </c>
      <c r="B67" s="20">
        <f>B63+B64</f>
        <v>59467221.69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3"/>
    <hyperlink r:id="rId2" ref="D4"/>
    <hyperlink r:id="rId3" ref="F11"/>
    <hyperlink r:id="rId4" ref="F38"/>
    <hyperlink r:id="rId5" ref="F45"/>
    <hyperlink r:id="rId6" ref="F48"/>
    <hyperlink r:id="rId7" ref="F53"/>
  </hyperlinks>
  <printOptions/>
  <pageMargins bottom="0.75" footer="0.0" header="0.0" left="0.7" right="0.7" top="0.75"/>
  <pageSetup orientation="landscape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28.33"/>
    <col customWidth="1" min="2" max="2" width="15.0"/>
    <col customWidth="1" min="3" max="22" width="14.0"/>
    <col customWidth="1" min="23" max="26" width="10.56"/>
  </cols>
  <sheetData>
    <row r="1" ht="15.75" customHeight="1"/>
    <row r="2" ht="15.75" customHeight="1">
      <c r="A2" s="3" t="s">
        <v>256</v>
      </c>
      <c r="B2" s="3">
        <v>4.0</v>
      </c>
      <c r="C2" s="3" t="s">
        <v>257</v>
      </c>
      <c r="D2" s="3" t="s">
        <v>258</v>
      </c>
    </row>
    <row r="3" ht="15.75" customHeight="1">
      <c r="A3" s="3" t="s">
        <v>259</v>
      </c>
      <c r="B3" s="3">
        <v>4.0</v>
      </c>
      <c r="C3" s="3" t="s">
        <v>257</v>
      </c>
      <c r="D3" s="3" t="s">
        <v>260</v>
      </c>
    </row>
    <row r="4" ht="15.75" customHeight="1">
      <c r="A4" s="3" t="s">
        <v>261</v>
      </c>
      <c r="B4" s="15">
        <v>150000.0</v>
      </c>
    </row>
    <row r="5" ht="15.75" customHeight="1"/>
    <row r="6" ht="15.75" customHeight="1"/>
    <row r="7" ht="15.75" customHeight="1">
      <c r="A7" s="3" t="s">
        <v>262</v>
      </c>
      <c r="B7" s="15">
        <f>MAX((Electrolyzer_power/20)*B2,2)*B4+MAX(Solar_Size*B3/40,2)*B4</f>
        <v>4633588.014</v>
      </c>
    </row>
    <row r="8" ht="15.75" customHeight="1"/>
    <row r="9" ht="15.75" customHeight="1"/>
    <row r="10" ht="15.75" customHeight="1">
      <c r="A10" s="72" t="s">
        <v>251</v>
      </c>
      <c r="B10" s="3" t="s">
        <v>252</v>
      </c>
      <c r="C10" s="3">
        <v>1.0</v>
      </c>
      <c r="D10" s="3">
        <f t="shared" ref="D10:V10" si="1">C10+1</f>
        <v>2</v>
      </c>
      <c r="E10" s="3">
        <f t="shared" si="1"/>
        <v>3</v>
      </c>
      <c r="F10" s="3">
        <f t="shared" si="1"/>
        <v>4</v>
      </c>
      <c r="G10" s="3">
        <f t="shared" si="1"/>
        <v>5</v>
      </c>
      <c r="H10" s="3">
        <f t="shared" si="1"/>
        <v>6</v>
      </c>
      <c r="I10" s="3">
        <f t="shared" si="1"/>
        <v>7</v>
      </c>
      <c r="J10" s="3">
        <f t="shared" si="1"/>
        <v>8</v>
      </c>
      <c r="K10" s="3">
        <f t="shared" si="1"/>
        <v>9</v>
      </c>
      <c r="L10" s="3">
        <f t="shared" si="1"/>
        <v>10</v>
      </c>
      <c r="M10" s="2">
        <f t="shared" si="1"/>
        <v>11</v>
      </c>
      <c r="N10" s="3">
        <f t="shared" si="1"/>
        <v>12</v>
      </c>
      <c r="O10" s="3">
        <f t="shared" si="1"/>
        <v>13</v>
      </c>
      <c r="P10" s="3">
        <f t="shared" si="1"/>
        <v>14</v>
      </c>
      <c r="Q10" s="3">
        <f t="shared" si="1"/>
        <v>15</v>
      </c>
      <c r="R10" s="3">
        <f t="shared" si="1"/>
        <v>16</v>
      </c>
      <c r="S10" s="3">
        <f t="shared" si="1"/>
        <v>17</v>
      </c>
      <c r="T10" s="3">
        <f t="shared" si="1"/>
        <v>18</v>
      </c>
      <c r="U10" s="3">
        <f t="shared" si="1"/>
        <v>19</v>
      </c>
      <c r="V10" s="3">
        <f t="shared" si="1"/>
        <v>20</v>
      </c>
    </row>
    <row r="11" ht="15.75" customHeight="1">
      <c r="A11" s="3" t="s">
        <v>254</v>
      </c>
      <c r="B11" s="20">
        <f>SUM(C11:W11)</f>
        <v>46618172.98</v>
      </c>
      <c r="C11" s="15">
        <f>B7</f>
        <v>4633588.014</v>
      </c>
      <c r="D11" s="15">
        <f>ROUND(C11*(1+Inflation_Rate)/(1+IRR),2)</f>
        <v>4257936.41</v>
      </c>
      <c r="E11" s="15">
        <f>ROUND(D11*(1+Inflation_Rate)/(1+IRR),2)</f>
        <v>3912739.42</v>
      </c>
      <c r="F11" s="15">
        <f>ROUND(E11*(1+Inflation_Rate)/(1+IRR),2)</f>
        <v>3595528.05</v>
      </c>
      <c r="G11" s="15">
        <f>ROUND(F11*(1+Inflation_Rate)/(1+IRR),2)</f>
        <v>3304033.45</v>
      </c>
      <c r="H11" s="15">
        <f>ROUND(G11*(1+Inflation_Rate)/(1+IRR),2)</f>
        <v>3036170.74</v>
      </c>
      <c r="I11" s="15">
        <f>ROUND(H11*(1+Inflation_Rate)/(1+IRR),2)</f>
        <v>2790024.04</v>
      </c>
      <c r="J11" s="15">
        <f>ROUND(I11*(1+Inflation_Rate)/(1+IRR),2)</f>
        <v>2563832.81</v>
      </c>
      <c r="K11" s="15">
        <f>ROUND(J11*(1+Inflation_Rate)/(1+IRR),2)</f>
        <v>2355979.22</v>
      </c>
      <c r="L11" s="15">
        <f>ROUND(K11*(1+Inflation_Rate)/(1+IRR),2)</f>
        <v>2164976.62</v>
      </c>
      <c r="M11" s="15">
        <f>ROUND(L11*(1+Inflation_Rate)/(1+IRR),2)</f>
        <v>1989458.87</v>
      </c>
      <c r="N11" s="15">
        <f>ROUND(M11*(1+Inflation_Rate)/(1+IRR),2)</f>
        <v>1828170.6</v>
      </c>
      <c r="O11" s="15">
        <f>ROUND(N11*(1+Inflation_Rate)/(1+IRR),2)</f>
        <v>1679958.2</v>
      </c>
      <c r="P11" s="15">
        <f>ROUND(O11*(1+Inflation_Rate)/(1+IRR),2)</f>
        <v>1543761.59</v>
      </c>
      <c r="Q11" s="15">
        <f>ROUND(P11*(1+Inflation_Rate)/(1+IRR),2)</f>
        <v>1418606.63</v>
      </c>
      <c r="R11" s="15">
        <f>ROUND(Q11*(1+Inflation_Rate)/(1+IRR),2)</f>
        <v>1303598.16</v>
      </c>
      <c r="S11" s="15">
        <f>ROUND(R11*(1+Inflation_Rate)/(1+IRR),2)</f>
        <v>1197913.59</v>
      </c>
      <c r="T11" s="15">
        <f>ROUND(S11*(1+Inflation_Rate)/(1+IRR),2)</f>
        <v>1100797.02</v>
      </c>
      <c r="U11" s="15">
        <f>ROUND(T11*(1+Inflation_Rate)/(1+IRR),2)</f>
        <v>1011553.83</v>
      </c>
      <c r="V11" s="15">
        <f>ROUND(U11*(1+Inflation_Rate)/(1+IRR),2)</f>
        <v>929545.72</v>
      </c>
    </row>
    <row r="12" ht="15.75" customHeight="1"/>
    <row r="13" ht="15.75" customHeight="1"/>
    <row r="14" ht="15.75" customHeight="1">
      <c r="A14" s="2" t="s">
        <v>73</v>
      </c>
      <c r="B14" s="20">
        <f>B11</f>
        <v>46618172.98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2.78"/>
    <col customWidth="1" min="2" max="2" width="17.33"/>
    <col customWidth="1" min="3" max="3" width="18.44"/>
    <col customWidth="1" min="4" max="4" width="16.44"/>
    <col customWidth="1" min="5" max="5" width="14.33"/>
    <col customWidth="1" min="6" max="7" width="14.0"/>
    <col customWidth="1" min="8" max="8" width="16.0"/>
    <col customWidth="1" min="9" max="12" width="14.0"/>
    <col customWidth="1" min="13" max="13" width="15.67"/>
    <col customWidth="1" min="14" max="14" width="15.0"/>
    <col customWidth="1" min="15" max="22" width="14.0"/>
    <col customWidth="1" min="23" max="23" width="12.44"/>
    <col customWidth="1" min="24" max="24" width="14.67"/>
    <col customWidth="1" min="25" max="26" width="10.56"/>
  </cols>
  <sheetData>
    <row r="1" ht="15.75" customHeight="1">
      <c r="A1" s="3" t="s">
        <v>15</v>
      </c>
      <c r="B1" s="3">
        <f>Project_Start_Year</f>
        <v>2023</v>
      </c>
    </row>
    <row r="2" ht="15.75" customHeight="1"/>
    <row r="3" ht="15.75" customHeight="1">
      <c r="A3" s="26" t="s">
        <v>113</v>
      </c>
      <c r="B3" s="73"/>
      <c r="C3" s="73"/>
      <c r="D3" s="73"/>
    </row>
    <row r="4" ht="15.75" customHeight="1">
      <c r="A4" s="79" t="s">
        <v>263</v>
      </c>
      <c r="B4" s="27">
        <v>0.53</v>
      </c>
      <c r="C4" s="73"/>
      <c r="D4" s="28" t="s">
        <v>264</v>
      </c>
    </row>
    <row r="5" ht="15.75" customHeight="1">
      <c r="A5" s="79" t="s">
        <v>265</v>
      </c>
      <c r="B5" s="30">
        <v>0.02</v>
      </c>
      <c r="C5" s="73" t="s">
        <v>266</v>
      </c>
      <c r="D5" s="31" t="s">
        <v>267</v>
      </c>
      <c r="G5" s="9"/>
    </row>
    <row r="6" ht="15.75" customHeight="1">
      <c r="A6" s="79" t="s">
        <v>268</v>
      </c>
      <c r="B6" s="80">
        <v>0.018</v>
      </c>
      <c r="C6" s="73" t="s">
        <v>269</v>
      </c>
      <c r="D6" s="73"/>
    </row>
    <row r="7" ht="15.75" customHeight="1">
      <c r="A7" s="79" t="s">
        <v>270</v>
      </c>
      <c r="B7" s="30">
        <v>0.05</v>
      </c>
      <c r="C7" s="73" t="s">
        <v>271</v>
      </c>
      <c r="D7" s="73"/>
    </row>
    <row r="8" ht="15.75" customHeight="1">
      <c r="A8" s="79" t="s">
        <v>272</v>
      </c>
      <c r="B8" s="30">
        <v>0.95</v>
      </c>
      <c r="C8" s="73" t="s">
        <v>271</v>
      </c>
      <c r="D8" s="73"/>
    </row>
    <row r="9" ht="15.75" customHeight="1">
      <c r="A9" s="79" t="s">
        <v>273</v>
      </c>
      <c r="B9" s="81">
        <f>B8-B7</f>
        <v>0.9</v>
      </c>
      <c r="C9" s="73"/>
      <c r="D9" s="73"/>
    </row>
    <row r="10" ht="15.75" customHeight="1">
      <c r="A10" s="79" t="s">
        <v>274</v>
      </c>
      <c r="B10" s="9">
        <v>0.9</v>
      </c>
      <c r="C10" s="73" t="s">
        <v>275</v>
      </c>
      <c r="D10" s="9" t="s">
        <v>276</v>
      </c>
    </row>
    <row r="11" ht="15.75" customHeight="1">
      <c r="A11" s="79" t="s">
        <v>277</v>
      </c>
      <c r="B11" s="80">
        <v>0.03</v>
      </c>
      <c r="C11" s="79" t="s">
        <v>278</v>
      </c>
      <c r="D11" s="8" t="s">
        <v>279</v>
      </c>
    </row>
    <row r="12" ht="15.75" customHeight="1">
      <c r="A12" s="79" t="s">
        <v>88</v>
      </c>
      <c r="B12" s="82">
        <v>10.0</v>
      </c>
      <c r="C12" s="73" t="s">
        <v>280</v>
      </c>
      <c r="D12" s="31" t="s">
        <v>281</v>
      </c>
    </row>
    <row r="13" ht="15.75" customHeight="1">
      <c r="A13" s="79" t="s">
        <v>282</v>
      </c>
      <c r="B13" s="83">
        <v>0.3</v>
      </c>
      <c r="C13" s="73" t="s">
        <v>283</v>
      </c>
      <c r="D13" s="8" t="s">
        <v>284</v>
      </c>
    </row>
    <row r="14" ht="15.75" customHeight="1">
      <c r="A14" s="3" t="s">
        <v>285</v>
      </c>
      <c r="B14" s="84">
        <f>ROUND('Model and Assumptions'!B34,2)</f>
        <v>563.55</v>
      </c>
    </row>
    <row r="15" ht="15.75" customHeight="1">
      <c r="A15" s="79" t="s">
        <v>286</v>
      </c>
      <c r="B15" s="3">
        <v>10.0</v>
      </c>
    </row>
    <row r="16" ht="15.75" customHeight="1"/>
    <row r="17" ht="15.75" customHeight="1">
      <c r="A17" s="72" t="s">
        <v>287</v>
      </c>
      <c r="B17" s="72" t="s">
        <v>288</v>
      </c>
      <c r="C17" s="72" t="s">
        <v>289</v>
      </c>
      <c r="D17" s="85" t="s">
        <v>290</v>
      </c>
    </row>
    <row r="18" ht="15.75" customHeight="1">
      <c r="A18" s="73" t="s">
        <v>291</v>
      </c>
      <c r="B18" s="77">
        <v>215000.0</v>
      </c>
      <c r="C18" s="77">
        <v>0.0</v>
      </c>
      <c r="D18" s="86" t="s">
        <v>292</v>
      </c>
      <c r="H18" s="87" t="s">
        <v>293</v>
      </c>
    </row>
    <row r="19" ht="15.75" customHeight="1">
      <c r="A19" s="73" t="s">
        <v>294</v>
      </c>
      <c r="B19" s="77">
        <v>37000.0</v>
      </c>
      <c r="C19" s="77">
        <v>7400.0</v>
      </c>
      <c r="D19" s="86" t="s">
        <v>295</v>
      </c>
      <c r="H19" s="8" t="s">
        <v>296</v>
      </c>
    </row>
    <row r="20" ht="15.75" customHeight="1">
      <c r="A20" s="73" t="s">
        <v>297</v>
      </c>
      <c r="B20" s="77">
        <v>5000.0</v>
      </c>
      <c r="C20" s="77">
        <v>500.0</v>
      </c>
      <c r="D20" s="86" t="s">
        <v>298</v>
      </c>
      <c r="G20" s="3" t="s">
        <v>299</v>
      </c>
      <c r="H20" s="8" t="s">
        <v>300</v>
      </c>
      <c r="K20" s="9"/>
    </row>
    <row r="21" ht="15.75" customHeight="1">
      <c r="A21" s="73" t="s">
        <v>301</v>
      </c>
      <c r="B21" s="77">
        <v>50000.0</v>
      </c>
      <c r="C21" s="77">
        <v>5000.0</v>
      </c>
      <c r="D21" s="86" t="s">
        <v>298</v>
      </c>
      <c r="G21" s="3" t="s">
        <v>299</v>
      </c>
      <c r="H21" s="8" t="s">
        <v>300</v>
      </c>
    </row>
    <row r="22" ht="15.75" customHeight="1">
      <c r="A22" s="73" t="s">
        <v>302</v>
      </c>
      <c r="B22" s="77">
        <v>30000.0</v>
      </c>
      <c r="C22" s="77">
        <v>0.0</v>
      </c>
      <c r="D22" s="86" t="s">
        <v>303</v>
      </c>
      <c r="G22" s="3" t="s">
        <v>299</v>
      </c>
      <c r="H22" s="8" t="s">
        <v>300</v>
      </c>
    </row>
    <row r="23" ht="15.75" customHeight="1">
      <c r="A23" s="73" t="s">
        <v>304</v>
      </c>
      <c r="B23" s="77">
        <v>14400.0</v>
      </c>
      <c r="C23" s="77">
        <v>0.0</v>
      </c>
      <c r="D23" s="86" t="s">
        <v>305</v>
      </c>
      <c r="G23" s="3" t="s">
        <v>299</v>
      </c>
      <c r="H23" s="8" t="s">
        <v>300</v>
      </c>
    </row>
    <row r="24" ht="15.75" customHeight="1">
      <c r="A24" s="73" t="s">
        <v>306</v>
      </c>
      <c r="B24" s="77">
        <v>26616.9</v>
      </c>
      <c r="C24" s="77">
        <v>0.0</v>
      </c>
      <c r="D24" s="86" t="s">
        <v>307</v>
      </c>
      <c r="G24" s="3" t="s">
        <v>299</v>
      </c>
      <c r="H24" s="8" t="s">
        <v>300</v>
      </c>
    </row>
    <row r="25" ht="15.75" customHeight="1">
      <c r="A25" s="73" t="s">
        <v>308</v>
      </c>
      <c r="B25" s="77">
        <v>12900.0</v>
      </c>
      <c r="C25" s="77">
        <v>0.0</v>
      </c>
      <c r="D25" s="86" t="s">
        <v>309</v>
      </c>
      <c r="G25" s="3" t="s">
        <v>299</v>
      </c>
      <c r="H25" s="8" t="s">
        <v>300</v>
      </c>
    </row>
    <row r="26" ht="15.75" customHeight="1">
      <c r="A26" s="73" t="s">
        <v>310</v>
      </c>
      <c r="B26" s="77">
        <v>21500.0</v>
      </c>
      <c r="C26" s="77">
        <v>0.0</v>
      </c>
      <c r="D26" s="86" t="s">
        <v>311</v>
      </c>
      <c r="G26" s="3" t="s">
        <v>299</v>
      </c>
      <c r="H26" s="8" t="s">
        <v>300</v>
      </c>
    </row>
    <row r="27" ht="15.75" customHeight="1">
      <c r="A27" s="73" t="s">
        <v>312</v>
      </c>
      <c r="B27" s="77">
        <v>0.0</v>
      </c>
      <c r="C27" s="77">
        <f>0.015*SUM($B$18:$B$26)</f>
        <v>6186.2535</v>
      </c>
      <c r="D27" s="86" t="s">
        <v>313</v>
      </c>
      <c r="G27" s="3" t="s">
        <v>299</v>
      </c>
      <c r="H27" s="8" t="s">
        <v>300</v>
      </c>
    </row>
    <row r="28" ht="15.75" customHeight="1">
      <c r="A28" s="73" t="s">
        <v>218</v>
      </c>
      <c r="B28" s="77">
        <v>41241.69</v>
      </c>
      <c r="C28" s="77">
        <v>0.0</v>
      </c>
      <c r="D28" s="86" t="s">
        <v>314</v>
      </c>
    </row>
    <row r="29" ht="15.75" customHeight="1">
      <c r="A29" s="73" t="s">
        <v>315</v>
      </c>
      <c r="B29" s="20">
        <f t="shared" ref="B29:C29" si="1">SUM(B18:B28)</f>
        <v>453658.59</v>
      </c>
      <c r="C29" s="20">
        <f t="shared" si="1"/>
        <v>19086.2535</v>
      </c>
    </row>
    <row r="30" ht="15.75" customHeight="1"/>
    <row r="31" ht="15.75" customHeight="1"/>
    <row r="32" ht="15.75" customHeight="1">
      <c r="A32" s="3" t="s">
        <v>316</v>
      </c>
      <c r="B32" s="3">
        <f>ROUND(IF($B$14&lt;120,$B$14/120+((120-$B$14)/120)*525/428,IF($B$14&lt;240,(($B$14-120)/120)*(369/428)+(240-$B$14)/120*1,MAX(EXP(5.97 - 0.00026*$B$14)/428, 1.1*215/428))),2)</f>
        <v>0.79</v>
      </c>
      <c r="C32" s="3">
        <f>B32</f>
        <v>0.79</v>
      </c>
      <c r="D32" s="3" t="s">
        <v>317</v>
      </c>
      <c r="E32" s="8" t="s">
        <v>318</v>
      </c>
      <c r="J32" s="9"/>
    </row>
    <row r="33" ht="15.75" customHeight="1">
      <c r="A33" s="3" t="s">
        <v>319</v>
      </c>
      <c r="B33" s="3">
        <f>ROUND(POWER(1-$B$11, Project_Start_Year-2022),2)</f>
        <v>0.97</v>
      </c>
      <c r="C33" s="3">
        <f>ROUND(POWER(1-$B$11, Project_Start_Year-2022),2)</f>
        <v>0.97</v>
      </c>
      <c r="E33" s="8"/>
    </row>
    <row r="34" ht="15.75" customHeight="1">
      <c r="A34" s="3" t="s">
        <v>320</v>
      </c>
      <c r="B34" s="15">
        <f t="shared" ref="B34:C34" si="2">ROUND(B29*$B$14*B32*B33,0)</f>
        <v>195911720</v>
      </c>
      <c r="C34" s="15">
        <f t="shared" si="2"/>
        <v>8242367</v>
      </c>
    </row>
    <row r="35" ht="15.75" customHeight="1">
      <c r="A35" s="3" t="s">
        <v>321</v>
      </c>
      <c r="B35" s="20">
        <f>B34*(1-Battery_ITC_Credit)</f>
        <v>137138204</v>
      </c>
      <c r="C35" s="20">
        <f>C34*(1-Battery_ITC_Credit)</f>
        <v>5769656.9</v>
      </c>
      <c r="D35" s="3" t="s">
        <v>322</v>
      </c>
    </row>
    <row r="36" ht="15.75" customHeight="1"/>
    <row r="37" ht="15.75" customHeight="1">
      <c r="A37" s="2" t="s">
        <v>323</v>
      </c>
    </row>
    <row r="38" ht="15.75" customHeight="1">
      <c r="A38" s="3" t="s">
        <v>324</v>
      </c>
    </row>
    <row r="39" ht="15.75" customHeight="1">
      <c r="A39" s="3" t="s">
        <v>325</v>
      </c>
    </row>
    <row r="40" ht="15.75" customHeight="1">
      <c r="A40" s="3" t="s">
        <v>326</v>
      </c>
    </row>
    <row r="41" ht="15.75" customHeight="1">
      <c r="A41" s="3" t="s">
        <v>327</v>
      </c>
    </row>
    <row r="42" ht="15.75" customHeight="1">
      <c r="A42" s="3" t="s">
        <v>328</v>
      </c>
      <c r="C42" s="3" t="s">
        <v>329</v>
      </c>
      <c r="D42" s="31" t="s">
        <v>281</v>
      </c>
      <c r="M42" s="2"/>
      <c r="N42" s="2"/>
    </row>
    <row r="43" ht="15.75" customHeight="1">
      <c r="A43" s="3" t="s">
        <v>330</v>
      </c>
      <c r="C43" s="88"/>
      <c r="D43" s="31" t="s">
        <v>331</v>
      </c>
    </row>
    <row r="44" ht="15.75" customHeight="1">
      <c r="A44" s="3" t="s">
        <v>332</v>
      </c>
      <c r="C44" s="88"/>
      <c r="D44" s="28" t="s">
        <v>331</v>
      </c>
    </row>
    <row r="45" ht="15.75" customHeight="1"/>
    <row r="46" ht="15.75" customHeight="1"/>
    <row r="47" ht="15.75" customHeight="1"/>
    <row r="48" ht="15.75" customHeight="1">
      <c r="A48" s="72" t="s">
        <v>251</v>
      </c>
      <c r="B48" s="3" t="s">
        <v>252</v>
      </c>
      <c r="C48" s="3">
        <v>1.0</v>
      </c>
      <c r="D48" s="3">
        <f t="shared" ref="D48:L48" si="3">C48+1</f>
        <v>2</v>
      </c>
      <c r="E48" s="3">
        <f t="shared" si="3"/>
        <v>3</v>
      </c>
      <c r="F48" s="3">
        <f t="shared" si="3"/>
        <v>4</v>
      </c>
      <c r="G48" s="3">
        <f t="shared" si="3"/>
        <v>5</v>
      </c>
      <c r="H48" s="3">
        <f t="shared" si="3"/>
        <v>6</v>
      </c>
      <c r="I48" s="3">
        <f t="shared" si="3"/>
        <v>7</v>
      </c>
      <c r="J48" s="3">
        <f t="shared" si="3"/>
        <v>8</v>
      </c>
      <c r="K48" s="3">
        <f t="shared" si="3"/>
        <v>9</v>
      </c>
      <c r="L48" s="3">
        <f t="shared" si="3"/>
        <v>10</v>
      </c>
      <c r="M48" s="2">
        <v>11.0</v>
      </c>
      <c r="N48" s="2">
        <f>L48+1</f>
        <v>11</v>
      </c>
      <c r="O48" s="3">
        <f t="shared" ref="O48:W48" si="4">N48+1</f>
        <v>12</v>
      </c>
      <c r="P48" s="3">
        <f t="shared" si="4"/>
        <v>13</v>
      </c>
      <c r="Q48" s="3">
        <f t="shared" si="4"/>
        <v>14</v>
      </c>
      <c r="R48" s="3">
        <f t="shared" si="4"/>
        <v>15</v>
      </c>
      <c r="S48" s="3">
        <f t="shared" si="4"/>
        <v>16</v>
      </c>
      <c r="T48" s="3">
        <f t="shared" si="4"/>
        <v>17</v>
      </c>
      <c r="U48" s="3">
        <f t="shared" si="4"/>
        <v>18</v>
      </c>
      <c r="V48" s="3">
        <f t="shared" si="4"/>
        <v>19</v>
      </c>
      <c r="W48" s="3">
        <f t="shared" si="4"/>
        <v>20</v>
      </c>
      <c r="X48" s="3">
        <v>21.0</v>
      </c>
    </row>
    <row r="49" ht="15.75" customHeight="1">
      <c r="A49" s="3" t="s">
        <v>253</v>
      </c>
      <c r="B49" s="20">
        <f t="shared" ref="B49:B50" si="7">SUM(C49:X49)</f>
        <v>148344396</v>
      </c>
      <c r="C49" s="15">
        <f>Battery_CAPEX</f>
        <v>137138204</v>
      </c>
      <c r="D49" s="3">
        <v>0.0</v>
      </c>
      <c r="E49" s="3">
        <f t="shared" ref="E49:L49" si="5">D49</f>
        <v>0</v>
      </c>
      <c r="F49" s="3">
        <f t="shared" si="5"/>
        <v>0</v>
      </c>
      <c r="G49" s="3">
        <f t="shared" si="5"/>
        <v>0</v>
      </c>
      <c r="H49" s="3">
        <f t="shared" si="5"/>
        <v>0</v>
      </c>
      <c r="I49" s="3">
        <f t="shared" si="5"/>
        <v>0</v>
      </c>
      <c r="J49" s="3">
        <f t="shared" si="5"/>
        <v>0</v>
      </c>
      <c r="K49" s="3">
        <f t="shared" si="5"/>
        <v>0</v>
      </c>
      <c r="L49" s="3">
        <f t="shared" si="5"/>
        <v>0</v>
      </c>
      <c r="M49" s="89">
        <f>-($B$4*N49)</f>
        <v>-17257244.14</v>
      </c>
      <c r="N49" s="15">
        <f>C49*POWER((1-Battery_Cost_Drop_Rate)/(1+IRR), B15)</f>
        <v>32560837.99</v>
      </c>
      <c r="O49" s="3">
        <v>0.0</v>
      </c>
      <c r="P49" s="3">
        <f t="shared" ref="P49:W49" si="6">O49</f>
        <v>0</v>
      </c>
      <c r="Q49" s="3">
        <f t="shared" si="6"/>
        <v>0</v>
      </c>
      <c r="R49" s="3">
        <f t="shared" si="6"/>
        <v>0</v>
      </c>
      <c r="S49" s="3">
        <f t="shared" si="6"/>
        <v>0</v>
      </c>
      <c r="T49" s="3">
        <f t="shared" si="6"/>
        <v>0</v>
      </c>
      <c r="U49" s="3">
        <f t="shared" si="6"/>
        <v>0</v>
      </c>
      <c r="V49" s="3">
        <f t="shared" si="6"/>
        <v>0</v>
      </c>
      <c r="W49" s="3">
        <f t="shared" si="6"/>
        <v>0</v>
      </c>
      <c r="X49" s="15">
        <f>-$B$4*N49*POWER((1-Battery_Cost_Drop_Rate)/(1+IRR),B15)</f>
        <v>-4097401.849</v>
      </c>
    </row>
    <row r="50" ht="15.75" customHeight="1">
      <c r="A50" s="3" t="s">
        <v>254</v>
      </c>
      <c r="B50" s="20">
        <f t="shared" si="7"/>
        <v>48267662.37</v>
      </c>
      <c r="C50" s="15">
        <f>BATTERY_OPEX</f>
        <v>5769656.9</v>
      </c>
      <c r="D50" s="15">
        <f>ROUND(C50/(1+IRR),2)</f>
        <v>5151479.38</v>
      </c>
      <c r="E50" s="15">
        <f>ROUND(D50/(1+IRR),2)</f>
        <v>4599535.16</v>
      </c>
      <c r="F50" s="15">
        <f>ROUND(E50/(1+IRR),2)</f>
        <v>4106727.82</v>
      </c>
      <c r="G50" s="15">
        <f>ROUND(F50/(1+IRR),2)</f>
        <v>3666721.27</v>
      </c>
      <c r="H50" s="15">
        <f>ROUND(G50/(1+IRR),2)</f>
        <v>3273858.28</v>
      </c>
      <c r="I50" s="15">
        <f>ROUND(H50/(1+IRR),2)</f>
        <v>2923087.75</v>
      </c>
      <c r="J50" s="15">
        <f>ROUND(I50/(1+IRR),2)</f>
        <v>2609899.78</v>
      </c>
      <c r="K50" s="15">
        <f>ROUND(J50/(1+IRR),2)</f>
        <v>2330267.66</v>
      </c>
      <c r="L50" s="15">
        <f>ROUND(K50/(1+IRR),2)</f>
        <v>2080596.13</v>
      </c>
      <c r="M50" s="15">
        <v>0.0</v>
      </c>
      <c r="N50" s="15">
        <f>ROUND(L50/(1+IRR),2)</f>
        <v>1857675.12</v>
      </c>
      <c r="O50" s="15">
        <f>ROUND(N50/(1+IRR),2)</f>
        <v>1658638.5</v>
      </c>
      <c r="P50" s="15">
        <f>ROUND(O50/(1+IRR),2)</f>
        <v>1480927.23</v>
      </c>
      <c r="Q50" s="15">
        <f>ROUND(P50/(1+IRR),2)</f>
        <v>1322256.46</v>
      </c>
      <c r="R50" s="15">
        <f>ROUND(Q50/(1+IRR),2)</f>
        <v>1180586.13</v>
      </c>
      <c r="S50" s="15">
        <f>ROUND(R50/(1+IRR),2)</f>
        <v>1054094.76</v>
      </c>
      <c r="T50" s="15">
        <f>ROUND(S50/(1+IRR),2)</f>
        <v>941156.04</v>
      </c>
      <c r="U50" s="15">
        <f>ROUND(T50/(1+IRR),2)</f>
        <v>840317.89</v>
      </c>
      <c r="V50" s="15">
        <f>ROUND(U50/(1+IRR),2)</f>
        <v>750283.83</v>
      </c>
      <c r="W50" s="15">
        <f>ROUND(V50/(1+IRR),2)</f>
        <v>669896.28</v>
      </c>
      <c r="X50" s="3">
        <v>0.0</v>
      </c>
    </row>
    <row r="51" ht="15.75" customHeight="1">
      <c r="A51" s="3" t="s">
        <v>333</v>
      </c>
      <c r="B51" s="84">
        <f>AVERAGE(C51:L51, N51:W51)</f>
        <v>515.442</v>
      </c>
      <c r="C51" s="84">
        <f>Battery_capacity</f>
        <v>563.55</v>
      </c>
      <c r="D51" s="3">
        <f>ROUND(C51*(1-Battery_Degradation),2)</f>
        <v>552.28</v>
      </c>
      <c r="E51" s="3">
        <f>ROUND(D51*(1-Battery_Degradation),2)</f>
        <v>541.23</v>
      </c>
      <c r="F51" s="3">
        <f>ROUND(E51*(1-Battery_Degradation),2)</f>
        <v>530.41</v>
      </c>
      <c r="G51" s="3">
        <f>ROUND(F51*(1-Battery_Degradation),2)</f>
        <v>519.8</v>
      </c>
      <c r="H51" s="3">
        <f>ROUND(G51*(1-Battery_Degradation),2)</f>
        <v>509.4</v>
      </c>
      <c r="I51" s="3">
        <f>ROUND(H51*(1-Battery_Degradation),2)</f>
        <v>499.21</v>
      </c>
      <c r="J51" s="3">
        <f>ROUND(I51*(1-Battery_Degradation),2)</f>
        <v>489.23</v>
      </c>
      <c r="K51" s="3">
        <f>ROUND(J51*(1-Battery_Degradation),2)</f>
        <v>479.45</v>
      </c>
      <c r="L51" s="3">
        <f>ROUND(K51*(1-Battery_Degradation),2)</f>
        <v>469.86</v>
      </c>
      <c r="N51" s="84">
        <f>C51</f>
        <v>563.55</v>
      </c>
      <c r="O51" s="3">
        <f>ROUND(N51*(1-Battery_Degradation),2)</f>
        <v>552.28</v>
      </c>
      <c r="P51" s="3">
        <f>ROUND(O51*(1-Battery_Degradation),2)</f>
        <v>541.23</v>
      </c>
      <c r="Q51" s="3">
        <f>ROUND(P51*(1-Battery_Degradation),2)</f>
        <v>530.41</v>
      </c>
      <c r="R51" s="3">
        <f>ROUND(Q51*(1-Battery_Degradation),2)</f>
        <v>519.8</v>
      </c>
      <c r="S51" s="3">
        <f>ROUND(R51*(1-Battery_Degradation),2)</f>
        <v>509.4</v>
      </c>
      <c r="T51" s="3">
        <f>ROUND(S51*(1-Battery_Degradation),2)</f>
        <v>499.21</v>
      </c>
      <c r="U51" s="3">
        <f>ROUND(T51*(1-Battery_Degradation),2)</f>
        <v>489.23</v>
      </c>
      <c r="V51" s="3">
        <f>ROUND(U51*(1-Battery_Degradation),2)</f>
        <v>479.45</v>
      </c>
      <c r="W51" s="3">
        <f>ROUND(V51*(1-Battery_Degradation),2)</f>
        <v>469.86</v>
      </c>
    </row>
    <row r="52" ht="15.75" customHeight="1"/>
    <row r="53" ht="15.75" customHeight="1"/>
    <row r="54" ht="15.75" customHeight="1"/>
    <row r="55" ht="15.75" customHeight="1"/>
    <row r="56" ht="15.75" customHeight="1">
      <c r="A56" s="3" t="s">
        <v>47</v>
      </c>
      <c r="B56" s="90">
        <f>B49+B50</f>
        <v>196612058.4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4"/>
    <hyperlink r:id="rId2" ref="D5"/>
    <hyperlink r:id="rId3" ref="D11"/>
    <hyperlink r:id="rId4" ref="D12"/>
    <hyperlink r:id="rId5" ref="D13"/>
    <hyperlink r:id="rId6" ref="H18"/>
    <hyperlink r:id="rId7" ref="H19"/>
    <hyperlink r:id="rId8" ref="H20"/>
    <hyperlink r:id="rId9" ref="H21"/>
    <hyperlink r:id="rId10" ref="H22"/>
    <hyperlink r:id="rId11" ref="H23"/>
    <hyperlink r:id="rId12" ref="H24"/>
    <hyperlink r:id="rId13" ref="H25"/>
    <hyperlink r:id="rId14" ref="H26"/>
    <hyperlink r:id="rId15" ref="H27"/>
    <hyperlink r:id="rId16" ref="E32"/>
    <hyperlink r:id="rId17" ref="D42"/>
    <hyperlink r:id="rId18" ref="D43"/>
    <hyperlink r:id="rId19" ref="D44"/>
  </hyperlinks>
  <printOptions/>
  <pageMargins bottom="0.75" footer="0.0" header="0.0" left="0.7" right="0.7" top="0.75"/>
  <pageSetup orientation="landscape"/>
  <drawing r:id="rId2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8.44"/>
    <col customWidth="1" min="2" max="2" width="18.67"/>
    <col customWidth="1" min="3" max="3" width="20.44"/>
    <col customWidth="1" min="4" max="4" width="17.67"/>
    <col customWidth="1" min="5" max="5" width="14.0"/>
    <col customWidth="1" min="6" max="6" width="17.44"/>
    <col customWidth="1" min="7" max="11" width="13.0"/>
    <col customWidth="1" min="12" max="12" width="12.78"/>
    <col customWidth="1" min="13" max="13" width="15.33"/>
    <col customWidth="1" min="14" max="17" width="12.78"/>
    <col customWidth="1" min="18" max="22" width="12.67"/>
    <col customWidth="1" min="23" max="23" width="15.11"/>
    <col customWidth="1" min="24" max="26" width="10.56"/>
  </cols>
  <sheetData>
    <row r="1" ht="15.75" customHeight="1">
      <c r="A1" s="3" t="s">
        <v>334</v>
      </c>
      <c r="B1" s="84">
        <f>'Model and Assumptions'!B42</f>
        <v>200</v>
      </c>
    </row>
    <row r="2" ht="15.75" customHeight="1">
      <c r="A2" s="3" t="s">
        <v>4</v>
      </c>
      <c r="B2" s="3">
        <f>Project_Start_Year</f>
        <v>2023</v>
      </c>
    </row>
    <row r="3" ht="15.75" customHeight="1"/>
    <row r="4" ht="15.75" customHeight="1">
      <c r="A4" s="3" t="s">
        <v>335</v>
      </c>
      <c r="B4" s="30">
        <v>0.3</v>
      </c>
      <c r="C4" s="3" t="s">
        <v>336</v>
      </c>
      <c r="D4" s="8" t="s">
        <v>337</v>
      </c>
    </row>
    <row r="5" ht="15.75" customHeight="1">
      <c r="A5" s="3" t="s">
        <v>338</v>
      </c>
      <c r="B5" s="30">
        <v>0.1</v>
      </c>
      <c r="C5" s="3" t="s">
        <v>339</v>
      </c>
      <c r="D5" s="8" t="s">
        <v>340</v>
      </c>
    </row>
    <row r="6" ht="15.75" customHeight="1">
      <c r="A6" s="3" t="s">
        <v>88</v>
      </c>
      <c r="B6" s="33">
        <v>30.0</v>
      </c>
      <c r="C6" s="3" t="s">
        <v>341</v>
      </c>
      <c r="D6" s="31" t="s">
        <v>342</v>
      </c>
    </row>
    <row r="7" ht="15.75" customHeight="1">
      <c r="A7" s="3" t="s">
        <v>343</v>
      </c>
      <c r="B7" s="30">
        <v>0.005</v>
      </c>
      <c r="C7" s="3" t="s">
        <v>344</v>
      </c>
      <c r="D7" s="31" t="s">
        <v>345</v>
      </c>
    </row>
    <row r="8" ht="15.75" customHeight="1">
      <c r="A8" s="3" t="s">
        <v>346</v>
      </c>
      <c r="B8" s="30">
        <v>0.03</v>
      </c>
      <c r="C8" s="3" t="s">
        <v>347</v>
      </c>
      <c r="D8" s="8" t="s">
        <v>348</v>
      </c>
    </row>
    <row r="9" ht="15.75" customHeight="1">
      <c r="A9" s="3" t="s">
        <v>349</v>
      </c>
      <c r="B9" s="30">
        <v>0.025</v>
      </c>
      <c r="C9" s="3" t="s">
        <v>350</v>
      </c>
      <c r="D9" s="8" t="s">
        <v>351</v>
      </c>
      <c r="E9" s="8" t="s">
        <v>352</v>
      </c>
      <c r="J9" s="9"/>
    </row>
    <row r="10" ht="15.75" customHeight="1">
      <c r="A10" s="3" t="s">
        <v>353</v>
      </c>
      <c r="B10" s="34">
        <f>ROUND(1-20/55,2)</f>
        <v>0.64</v>
      </c>
      <c r="D10" s="8" t="s">
        <v>354</v>
      </c>
    </row>
    <row r="11" ht="15.75" customHeight="1">
      <c r="A11" s="3" t="s">
        <v>355</v>
      </c>
      <c r="B11" s="5">
        <v>0.03</v>
      </c>
      <c r="D11" s="8" t="s">
        <v>356</v>
      </c>
    </row>
    <row r="12" ht="15.75" customHeight="1"/>
    <row r="13" ht="15.75" customHeight="1">
      <c r="A13" s="2" t="s">
        <v>357</v>
      </c>
    </row>
    <row r="14" ht="15.75" customHeight="1">
      <c r="A14" s="3" t="s">
        <v>358</v>
      </c>
    </row>
    <row r="15" ht="15.75" customHeight="1">
      <c r="A15" s="3" t="s">
        <v>359</v>
      </c>
    </row>
    <row r="16" ht="15.75" customHeight="1">
      <c r="A16" s="3" t="s">
        <v>360</v>
      </c>
      <c r="B16" s="25">
        <v>4.8</v>
      </c>
    </row>
    <row r="17" ht="15.75" customHeight="1">
      <c r="A17" s="3" t="s">
        <v>361</v>
      </c>
      <c r="B17" s="25">
        <v>0.6</v>
      </c>
    </row>
    <row r="18" ht="15.75" customHeight="1"/>
    <row r="19" ht="15.75" customHeight="1">
      <c r="A19" s="3" t="s">
        <v>362</v>
      </c>
      <c r="B19" s="2" t="s">
        <v>363</v>
      </c>
      <c r="C19" s="2" t="s">
        <v>364</v>
      </c>
      <c r="D19" s="2" t="s">
        <v>365</v>
      </c>
    </row>
    <row r="20" ht="15.75" customHeight="1">
      <c r="A20" s="3" t="s">
        <v>366</v>
      </c>
      <c r="B20" s="15">
        <v>0.0</v>
      </c>
      <c r="C20" s="15">
        <f>0.33 * 10^6</f>
        <v>330000</v>
      </c>
      <c r="D20" s="15">
        <f t="shared" ref="D20:D30" si="1">B20+$B$1*C20</f>
        <v>66000000</v>
      </c>
      <c r="E20" s="74" t="s">
        <v>367</v>
      </c>
      <c r="F20" s="8" t="s">
        <v>368</v>
      </c>
      <c r="G20" s="15"/>
      <c r="I20" s="9"/>
    </row>
    <row r="21" ht="15.75" customHeight="1">
      <c r="A21" s="3" t="s">
        <v>369</v>
      </c>
      <c r="B21" s="15">
        <v>0.0</v>
      </c>
      <c r="C21" s="15">
        <f>B17*0.045*1000000</f>
        <v>27000</v>
      </c>
      <c r="D21" s="15">
        <f t="shared" si="1"/>
        <v>5400000</v>
      </c>
      <c r="E21" s="74" t="s">
        <v>370</v>
      </c>
      <c r="F21" s="8" t="s">
        <v>368</v>
      </c>
      <c r="G21" s="15"/>
    </row>
    <row r="22" ht="15.75" customHeight="1">
      <c r="A22" s="3" t="s">
        <v>297</v>
      </c>
      <c r="B22" s="15">
        <v>0.0</v>
      </c>
      <c r="C22" s="15">
        <f>B16*30.2*1000</f>
        <v>144960</v>
      </c>
      <c r="D22" s="15">
        <f t="shared" si="1"/>
        <v>28992000</v>
      </c>
      <c r="E22" s="91"/>
      <c r="F22" s="8" t="s">
        <v>368</v>
      </c>
      <c r="G22" s="15"/>
    </row>
    <row r="23" ht="15.75" customHeight="1">
      <c r="A23" s="3" t="s">
        <v>371</v>
      </c>
      <c r="B23" s="15">
        <v>69000.0</v>
      </c>
      <c r="C23" s="15">
        <f>B16*15.8*1000</f>
        <v>75840</v>
      </c>
      <c r="D23" s="15">
        <f t="shared" si="1"/>
        <v>15237000</v>
      </c>
      <c r="E23" s="91"/>
      <c r="F23" s="8" t="s">
        <v>368</v>
      </c>
      <c r="G23" s="15"/>
    </row>
    <row r="24" ht="15.75" customHeight="1">
      <c r="A24" s="3" t="s">
        <v>372</v>
      </c>
      <c r="B24" s="15">
        <v>0.0</v>
      </c>
      <c r="C24" s="15">
        <f>15.6*0.7*B16*1000</f>
        <v>52416</v>
      </c>
      <c r="D24" s="15">
        <f t="shared" si="1"/>
        <v>10483200</v>
      </c>
      <c r="E24" s="74"/>
      <c r="F24" s="8" t="s">
        <v>368</v>
      </c>
      <c r="G24" s="15"/>
      <c r="M24" s="3">
        <f>Project_Lifetime</f>
        <v>20</v>
      </c>
    </row>
    <row r="25" ht="15.75" customHeight="1">
      <c r="A25" s="3" t="s">
        <v>373</v>
      </c>
      <c r="B25" s="15">
        <v>0.0</v>
      </c>
      <c r="C25" s="15">
        <f>12.3*B16*1000</f>
        <v>59040</v>
      </c>
      <c r="D25" s="15">
        <f t="shared" si="1"/>
        <v>11808000</v>
      </c>
      <c r="E25" s="74"/>
      <c r="F25" s="8"/>
      <c r="G25" s="15"/>
    </row>
    <row r="26" ht="15.75" customHeight="1">
      <c r="A26" s="3" t="s">
        <v>374</v>
      </c>
      <c r="B26" s="15">
        <v>106000.0</v>
      </c>
      <c r="C26" s="15">
        <f>0.083*(SUM(C22:C25)-C24)+0.54*C24</f>
        <v>51531.36</v>
      </c>
      <c r="D26" s="15">
        <f t="shared" si="1"/>
        <v>10412272</v>
      </c>
      <c r="E26" s="91"/>
      <c r="F26" s="8" t="s">
        <v>368</v>
      </c>
      <c r="G26" s="15"/>
    </row>
    <row r="27" ht="15.75" customHeight="1">
      <c r="A27" s="3" t="s">
        <v>375</v>
      </c>
      <c r="B27" s="15">
        <v>209466.0</v>
      </c>
      <c r="C27" s="15">
        <f>0.02*B17*1000000</f>
        <v>12000</v>
      </c>
      <c r="D27" s="15">
        <f t="shared" si="1"/>
        <v>2609466</v>
      </c>
      <c r="E27" s="74" t="s">
        <v>376</v>
      </c>
      <c r="F27" s="8" t="s">
        <v>368</v>
      </c>
      <c r="G27" s="15"/>
    </row>
    <row r="28" ht="15.75" customHeight="1">
      <c r="A28" s="3" t="s">
        <v>377</v>
      </c>
      <c r="B28" s="15">
        <v>550000.0</v>
      </c>
      <c r="C28" s="15">
        <f>0.015*(SUM(C20:C27))</f>
        <v>11291.8104</v>
      </c>
      <c r="D28" s="15">
        <f t="shared" si="1"/>
        <v>2808362.08</v>
      </c>
      <c r="E28" s="74"/>
      <c r="F28" s="8" t="s">
        <v>368</v>
      </c>
      <c r="G28" s="15"/>
    </row>
    <row r="29" ht="15.75" customHeight="1">
      <c r="A29" s="3" t="s">
        <v>218</v>
      </c>
      <c r="B29" s="15">
        <f>Contingency*SUM(B20:B28)</f>
        <v>93446.6</v>
      </c>
      <c r="C29" s="15">
        <f>Contingency*SUM(C20:C28)</f>
        <v>76407.91704</v>
      </c>
      <c r="D29" s="15">
        <f t="shared" si="1"/>
        <v>15375030.01</v>
      </c>
      <c r="E29" s="74"/>
      <c r="F29" s="8" t="s">
        <v>368</v>
      </c>
      <c r="G29" s="15"/>
    </row>
    <row r="30" ht="15.75" customHeight="1">
      <c r="A30" s="3" t="s">
        <v>378</v>
      </c>
      <c r="B30" s="15">
        <v>200000.0</v>
      </c>
      <c r="C30" s="15">
        <f>0.049*SUM(C20:C29)</f>
        <v>41183.86728</v>
      </c>
      <c r="D30" s="15">
        <f t="shared" si="1"/>
        <v>8436773.457</v>
      </c>
    </row>
    <row r="31" ht="15.75" customHeight="1">
      <c r="C31" s="9"/>
    </row>
    <row r="32" ht="15.75" customHeight="1">
      <c r="A32" s="3" t="s">
        <v>379</v>
      </c>
      <c r="B32" s="15">
        <f t="shared" ref="B32:D32" si="2">SUM(B20:B30)</f>
        <v>1227912.6</v>
      </c>
      <c r="C32" s="20">
        <f t="shared" si="2"/>
        <v>881670.9547</v>
      </c>
      <c r="D32" s="15">
        <f t="shared" si="2"/>
        <v>177562103.5</v>
      </c>
      <c r="F32" s="8" t="s">
        <v>356</v>
      </c>
    </row>
    <row r="33" ht="15.75" customHeight="1">
      <c r="A33" s="3" t="s">
        <v>380</v>
      </c>
      <c r="B33" s="15"/>
      <c r="C33" s="15"/>
      <c r="D33" s="20">
        <f>D32*POWER(1-Solar_Cost_Drop, Project_Start_Year-2022)</f>
        <v>173123051</v>
      </c>
      <c r="F33" s="8"/>
    </row>
    <row r="34" ht="15.75" customHeight="1">
      <c r="A34" s="3" t="s">
        <v>381</v>
      </c>
      <c r="B34" s="15"/>
      <c r="C34" s="15"/>
      <c r="D34" s="20">
        <f>D33*(1-Solar_ITC)</f>
        <v>121186135.7</v>
      </c>
      <c r="F34" s="8"/>
    </row>
    <row r="35" ht="15.75" customHeight="1">
      <c r="B35" s="15"/>
      <c r="C35" s="15"/>
      <c r="D35" s="20"/>
      <c r="F35" s="8"/>
    </row>
    <row r="36" ht="15.75" customHeight="1"/>
    <row r="37" ht="15.75" customHeight="1">
      <c r="A37" s="2" t="s">
        <v>254</v>
      </c>
      <c r="B37" s="2" t="s">
        <v>382</v>
      </c>
      <c r="C37" s="2" t="s">
        <v>383</v>
      </c>
      <c r="D37" s="2" t="s">
        <v>384</v>
      </c>
    </row>
    <row r="38" ht="15.75" customHeight="1">
      <c r="A38" s="11" t="s">
        <v>385</v>
      </c>
      <c r="B38" s="15">
        <v>0.0</v>
      </c>
      <c r="C38" s="15">
        <f>6.5*1000</f>
        <v>6500</v>
      </c>
      <c r="D38" s="15">
        <f t="shared" ref="D38:D39" si="3">C38*$B$1</f>
        <v>1300000</v>
      </c>
      <c r="F38" s="8" t="s">
        <v>386</v>
      </c>
    </row>
    <row r="39" ht="15.75" customHeight="1">
      <c r="A39" s="3" t="s">
        <v>387</v>
      </c>
      <c r="B39" s="15">
        <v>0.0</v>
      </c>
      <c r="C39" s="15">
        <f>19000-C38</f>
        <v>12500</v>
      </c>
      <c r="D39" s="15">
        <f t="shared" si="3"/>
        <v>2500000</v>
      </c>
      <c r="E39" s="9"/>
      <c r="F39" s="8" t="s">
        <v>388</v>
      </c>
    </row>
    <row r="40" ht="15.75" customHeight="1">
      <c r="A40" s="3" t="s">
        <v>379</v>
      </c>
      <c r="D40" s="15">
        <f>SUM(D38:D39)</f>
        <v>3800000</v>
      </c>
    </row>
    <row r="41" ht="15.75" customHeight="1">
      <c r="A41" s="3" t="s">
        <v>380</v>
      </c>
      <c r="D41" s="15">
        <f>D40*POWER(1-Solar_Cost_Drop, Project_Start_Year-2022)</f>
        <v>3705000</v>
      </c>
    </row>
    <row r="42" ht="15.75" customHeight="1">
      <c r="A42" s="3" t="s">
        <v>381</v>
      </c>
      <c r="D42" s="20">
        <f>D41*(1-Solar_ITC)</f>
        <v>2593500</v>
      </c>
      <c r="F42" s="3" t="s">
        <v>389</v>
      </c>
    </row>
    <row r="43" ht="15.75" customHeight="1"/>
    <row r="44" ht="15.75" customHeight="1"/>
    <row r="45" ht="15.75" customHeight="1"/>
    <row r="46" ht="15.75" customHeight="1"/>
    <row r="47" ht="15.75" customHeight="1">
      <c r="A47" s="72" t="s">
        <v>251</v>
      </c>
      <c r="B47" s="3" t="s">
        <v>252</v>
      </c>
      <c r="C47" s="3">
        <v>1.0</v>
      </c>
      <c r="D47" s="3">
        <f t="shared" ref="D47:V47" si="4">C47+1</f>
        <v>2</v>
      </c>
      <c r="E47" s="3">
        <f t="shared" si="4"/>
        <v>3</v>
      </c>
      <c r="F47" s="3">
        <f t="shared" si="4"/>
        <v>4</v>
      </c>
      <c r="G47" s="3">
        <f t="shared" si="4"/>
        <v>5</v>
      </c>
      <c r="H47" s="3">
        <f t="shared" si="4"/>
        <v>6</v>
      </c>
      <c r="I47" s="3">
        <f t="shared" si="4"/>
        <v>7</v>
      </c>
      <c r="J47" s="3">
        <f t="shared" si="4"/>
        <v>8</v>
      </c>
      <c r="K47" s="3">
        <f t="shared" si="4"/>
        <v>9</v>
      </c>
      <c r="L47" s="3">
        <f t="shared" si="4"/>
        <v>10</v>
      </c>
      <c r="M47" s="2">
        <f t="shared" si="4"/>
        <v>11</v>
      </c>
      <c r="N47" s="3">
        <f t="shared" si="4"/>
        <v>12</v>
      </c>
      <c r="O47" s="3">
        <f t="shared" si="4"/>
        <v>13</v>
      </c>
      <c r="P47" s="3">
        <f t="shared" si="4"/>
        <v>14</v>
      </c>
      <c r="Q47" s="3">
        <f t="shared" si="4"/>
        <v>15</v>
      </c>
      <c r="R47" s="3">
        <f t="shared" si="4"/>
        <v>16</v>
      </c>
      <c r="S47" s="3">
        <f t="shared" si="4"/>
        <v>17</v>
      </c>
      <c r="T47" s="3">
        <f t="shared" si="4"/>
        <v>18</v>
      </c>
      <c r="U47" s="3">
        <f t="shared" si="4"/>
        <v>19</v>
      </c>
      <c r="V47" s="3">
        <f t="shared" si="4"/>
        <v>20</v>
      </c>
      <c r="W47" s="2" t="s">
        <v>390</v>
      </c>
    </row>
    <row r="48" ht="15.75" customHeight="1">
      <c r="A48" s="3" t="s">
        <v>253</v>
      </c>
      <c r="B48" s="92">
        <f t="shared" ref="B48:B49" si="7">SUM(C48:W48)</f>
        <v>119676763.1</v>
      </c>
      <c r="C48" s="89">
        <f>D34</f>
        <v>121186135.7</v>
      </c>
      <c r="D48" s="89">
        <v>0.0</v>
      </c>
      <c r="E48" s="89">
        <f t="shared" ref="E48:L48" si="5">D48</f>
        <v>0</v>
      </c>
      <c r="F48" s="89">
        <f t="shared" si="5"/>
        <v>0</v>
      </c>
      <c r="G48" s="89">
        <f t="shared" si="5"/>
        <v>0</v>
      </c>
      <c r="H48" s="89">
        <f t="shared" si="5"/>
        <v>0</v>
      </c>
      <c r="I48" s="89">
        <f t="shared" si="5"/>
        <v>0</v>
      </c>
      <c r="J48" s="89">
        <f t="shared" si="5"/>
        <v>0</v>
      </c>
      <c r="K48" s="89">
        <f t="shared" si="5"/>
        <v>0</v>
      </c>
      <c r="L48" s="89">
        <f t="shared" si="5"/>
        <v>0</v>
      </c>
      <c r="M48" s="89">
        <v>0.0</v>
      </c>
      <c r="N48" s="89">
        <v>0.0</v>
      </c>
      <c r="O48" s="89">
        <f t="shared" ref="O48:V48" si="6">N48</f>
        <v>0</v>
      </c>
      <c r="P48" s="89">
        <f t="shared" si="6"/>
        <v>0</v>
      </c>
      <c r="Q48" s="89">
        <f t="shared" si="6"/>
        <v>0</v>
      </c>
      <c r="R48" s="89">
        <f t="shared" si="6"/>
        <v>0</v>
      </c>
      <c r="S48" s="89">
        <f t="shared" si="6"/>
        <v>0</v>
      </c>
      <c r="T48" s="89">
        <f t="shared" si="6"/>
        <v>0</v>
      </c>
      <c r="U48" s="89">
        <f t="shared" si="6"/>
        <v>0</v>
      </c>
      <c r="V48" s="89">
        <f t="shared" si="6"/>
        <v>0</v>
      </c>
      <c r="W48" s="89">
        <f>-((SUM(D20:D23)*POWER((1-Solar_Cost_Drop)/(1+IRR),Project_Start_Year - 2022+Project_Lifetime)*(1-B10)*(1-Project_Lifetime/B6))*2)</f>
        <v>-1509372.611</v>
      </c>
    </row>
    <row r="49" ht="15.75" customHeight="1">
      <c r="A49" s="3" t="s">
        <v>254</v>
      </c>
      <c r="B49" s="92">
        <f t="shared" si="7"/>
        <v>21696642.2</v>
      </c>
      <c r="C49" s="89">
        <f>D42</f>
        <v>2593500</v>
      </c>
      <c r="D49" s="89">
        <f>ROUND(C49/(1+IRR),2)</f>
        <v>2315625</v>
      </c>
      <c r="E49" s="89">
        <f>ROUND(D49/(1+IRR),2)</f>
        <v>2067522.32</v>
      </c>
      <c r="F49" s="89">
        <f>ROUND(E49/(1+IRR),2)</f>
        <v>1846002.07</v>
      </c>
      <c r="G49" s="89">
        <f>ROUND(F49/(1+IRR),2)</f>
        <v>1648216.13</v>
      </c>
      <c r="H49" s="89">
        <f>ROUND(G49/(1+IRR),2)</f>
        <v>1471621.54</v>
      </c>
      <c r="I49" s="89">
        <f>ROUND(H49/(1+IRR),2)</f>
        <v>1313947.8</v>
      </c>
      <c r="J49" s="89">
        <f>ROUND(I49/(1+IRR),2)</f>
        <v>1173167.68</v>
      </c>
      <c r="K49" s="89">
        <f>ROUND(J49/(1+IRR),2)</f>
        <v>1047471.14</v>
      </c>
      <c r="L49" s="89">
        <f>ROUND(K49/(1+IRR),2)</f>
        <v>935242.09</v>
      </c>
      <c r="M49" s="89">
        <f>ROUND(L49/(1+IRR),2)</f>
        <v>835037.58</v>
      </c>
      <c r="N49" s="89">
        <f>ROUND(M49/(1+IRR),2)</f>
        <v>745569.27</v>
      </c>
      <c r="O49" s="89">
        <f>ROUND(N49/(1+IRR),2)</f>
        <v>665686.85</v>
      </c>
      <c r="P49" s="89">
        <f>ROUND(O49/(1+IRR),2)</f>
        <v>594363.26</v>
      </c>
      <c r="Q49" s="89">
        <f>ROUND(P49/(1+IRR),2)</f>
        <v>530681.48</v>
      </c>
      <c r="R49" s="89">
        <f>ROUND(Q49/(1+IRR),2)</f>
        <v>473822.75</v>
      </c>
      <c r="S49" s="89">
        <f>ROUND(R49/(1+IRR),2)</f>
        <v>423056.03</v>
      </c>
      <c r="T49" s="89">
        <f>ROUND(S49/(1+IRR),2)</f>
        <v>377728.6</v>
      </c>
      <c r="U49" s="89">
        <f>ROUND(T49/(1+IRR),2)</f>
        <v>337257.68</v>
      </c>
      <c r="V49" s="89">
        <f>ROUND(U49/(1+IRR),2)</f>
        <v>301122.93</v>
      </c>
      <c r="W49" s="89"/>
    </row>
    <row r="50" ht="15.75" customHeight="1">
      <c r="A50" s="3" t="s">
        <v>391</v>
      </c>
      <c r="B50" s="84">
        <f>B1</f>
        <v>200</v>
      </c>
      <c r="C50" s="3">
        <f t="shared" ref="C50:V50" si="8">ROUND(B50*(1-$B$7),2)</f>
        <v>199</v>
      </c>
      <c r="D50" s="3">
        <f t="shared" si="8"/>
        <v>198.01</v>
      </c>
      <c r="E50" s="3">
        <f t="shared" si="8"/>
        <v>197.02</v>
      </c>
      <c r="F50" s="3">
        <f t="shared" si="8"/>
        <v>196.03</v>
      </c>
      <c r="G50" s="3">
        <f t="shared" si="8"/>
        <v>195.05</v>
      </c>
      <c r="H50" s="3">
        <f t="shared" si="8"/>
        <v>194.07</v>
      </c>
      <c r="I50" s="3">
        <f t="shared" si="8"/>
        <v>193.1</v>
      </c>
      <c r="J50" s="3">
        <f t="shared" si="8"/>
        <v>192.13</v>
      </c>
      <c r="K50" s="3">
        <f t="shared" si="8"/>
        <v>191.17</v>
      </c>
      <c r="L50" s="3">
        <f t="shared" si="8"/>
        <v>190.21</v>
      </c>
      <c r="M50" s="3">
        <f t="shared" si="8"/>
        <v>189.26</v>
      </c>
      <c r="N50" s="3">
        <f t="shared" si="8"/>
        <v>188.31</v>
      </c>
      <c r="O50" s="3">
        <f t="shared" si="8"/>
        <v>187.37</v>
      </c>
      <c r="P50" s="3">
        <f t="shared" si="8"/>
        <v>186.43</v>
      </c>
      <c r="Q50" s="3">
        <f t="shared" si="8"/>
        <v>185.5</v>
      </c>
      <c r="R50" s="3">
        <f t="shared" si="8"/>
        <v>184.57</v>
      </c>
      <c r="S50" s="3">
        <f t="shared" si="8"/>
        <v>183.65</v>
      </c>
      <c r="T50" s="3">
        <f t="shared" si="8"/>
        <v>182.73</v>
      </c>
      <c r="U50" s="3">
        <f t="shared" si="8"/>
        <v>181.82</v>
      </c>
      <c r="V50" s="3">
        <f t="shared" si="8"/>
        <v>180.91</v>
      </c>
    </row>
    <row r="51" ht="15.75" customHeight="1"/>
    <row r="52" ht="15.75" customHeight="1"/>
    <row r="53" ht="15.75" customHeight="1"/>
    <row r="54" ht="15.75" customHeight="1"/>
    <row r="55" ht="15.75" customHeight="1">
      <c r="A55" s="2" t="s">
        <v>392</v>
      </c>
      <c r="B55" s="90">
        <f>B48+B49</f>
        <v>141373405.3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ref="D4"/>
    <hyperlink r:id="rId3" ref="D6"/>
    <hyperlink r:id="rId4" ref="D7"/>
    <hyperlink r:id="rId5" ref="D8"/>
    <hyperlink r:id="rId6" ref="D9"/>
    <hyperlink r:id="rId7" location="capital_expenditures_(capex) " ref="E9"/>
    <hyperlink r:id="rId8" location=":~:text=A%20second%20life&amp;text=A%20panel%20might%20cost%20around,recycling%20startup%20called%20TG%20Companies." ref="D10"/>
    <hyperlink r:id="rId9" ref="D11"/>
    <hyperlink r:id="rId10" ref="F20"/>
    <hyperlink r:id="rId11" ref="F32"/>
    <hyperlink r:id="rId12" ref="F39"/>
  </hyperlinks>
  <printOptions/>
  <pageMargins bottom="0.75" footer="0.0" header="0.0" left="0.7" right="0.7" top="0.75"/>
  <pageSetup orientation="landscape"/>
  <drawing r:id="rId13"/>
  <legacyDrawing r:id="rId1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3.11"/>
    <col customWidth="1" min="2" max="2" width="24.44"/>
    <col customWidth="1" min="3" max="3" width="20.33"/>
    <col customWidth="1" min="4" max="4" width="16.67"/>
    <col customWidth="1" min="5" max="5" width="18.67"/>
    <col customWidth="1" min="6" max="12" width="14.0"/>
    <col customWidth="1" min="13" max="13" width="16.0"/>
    <col customWidth="1" min="14" max="16" width="14.0"/>
    <col customWidth="1" min="17" max="22" width="12.44"/>
    <col customWidth="1" min="23" max="26" width="10.56"/>
  </cols>
  <sheetData>
    <row r="1" ht="15.75" customHeight="1">
      <c r="A1" s="3" t="s">
        <v>15</v>
      </c>
      <c r="B1" s="3">
        <f>Project_Start_Year</f>
        <v>2023</v>
      </c>
    </row>
    <row r="2" ht="15.75" customHeight="1">
      <c r="A2" s="3" t="s">
        <v>393</v>
      </c>
      <c r="B2" s="84">
        <f>'Model and Assumptions'!B49</f>
        <v>54.45293381</v>
      </c>
    </row>
    <row r="3" ht="15.75" customHeight="1"/>
    <row r="4" ht="15.75" customHeight="1"/>
    <row r="5" ht="15.75" customHeight="1"/>
    <row r="6" ht="15.75" customHeight="1"/>
    <row r="7" ht="15.75" customHeight="1">
      <c r="A7" s="11"/>
      <c r="B7" s="32"/>
    </row>
    <row r="8" ht="15.75" customHeight="1">
      <c r="A8" s="11" t="s">
        <v>394</v>
      </c>
      <c r="B8" s="3">
        <v>70000.0</v>
      </c>
      <c r="C8" s="3" t="s">
        <v>395</v>
      </c>
      <c r="D8" s="8" t="s">
        <v>396</v>
      </c>
    </row>
    <row r="9" ht="15.75" customHeight="1">
      <c r="A9" s="11" t="s">
        <v>282</v>
      </c>
      <c r="B9" s="32">
        <v>0.3</v>
      </c>
      <c r="D9" s="31" t="s">
        <v>397</v>
      </c>
    </row>
    <row r="10" ht="15.75" customHeight="1">
      <c r="A10" s="11" t="s">
        <v>398</v>
      </c>
      <c r="B10" s="93">
        <v>0.1</v>
      </c>
      <c r="C10" s="3" t="s">
        <v>399</v>
      </c>
      <c r="D10" s="8" t="s">
        <v>400</v>
      </c>
      <c r="F10" s="8" t="s">
        <v>94</v>
      </c>
    </row>
    <row r="11" ht="15.75" customHeight="1">
      <c r="A11" s="11" t="s">
        <v>401</v>
      </c>
      <c r="B11" s="32">
        <v>0.015</v>
      </c>
      <c r="C11" s="3" t="s">
        <v>402</v>
      </c>
      <c r="D11" s="8" t="s">
        <v>403</v>
      </c>
    </row>
    <row r="12" ht="15.75" customHeight="1">
      <c r="A12" s="11" t="s">
        <v>404</v>
      </c>
      <c r="B12" s="32">
        <f>60%+B11*(Project_Start_Year-2022)</f>
        <v>0.615</v>
      </c>
      <c r="C12" s="3" t="s">
        <v>405</v>
      </c>
      <c r="D12" s="8" t="s">
        <v>403</v>
      </c>
    </row>
    <row r="13" ht="15.75" customHeight="1">
      <c r="A13" s="11" t="s">
        <v>406</v>
      </c>
      <c r="B13" s="3">
        <f>ROUND(MAX(('Model and Assumptions'!B18/B12)*POWER(1-B11, Project_Start_Year-2022), 'Model and Assumptions'!B18/0.9),2)</f>
        <v>53.81</v>
      </c>
      <c r="C13" s="3" t="s">
        <v>405</v>
      </c>
      <c r="D13" s="8" t="s">
        <v>403</v>
      </c>
    </row>
    <row r="14" ht="15.75" customHeight="1">
      <c r="A14" s="11" t="s">
        <v>407</v>
      </c>
      <c r="B14" s="37">
        <v>0.14</v>
      </c>
      <c r="C14" s="3" t="s">
        <v>408</v>
      </c>
      <c r="D14" s="8" t="s">
        <v>409</v>
      </c>
    </row>
    <row r="15" ht="15.75" customHeight="1"/>
    <row r="16" ht="15.75" customHeight="1"/>
    <row r="17" ht="15.75" customHeight="1"/>
    <row r="18" ht="15.75" customHeight="1"/>
    <row r="19" ht="15.75" customHeight="1">
      <c r="A19" s="56" t="s">
        <v>410</v>
      </c>
      <c r="B19" s="2" t="s">
        <v>411</v>
      </c>
      <c r="C19" s="94" t="s">
        <v>412</v>
      </c>
      <c r="D19" s="94" t="s">
        <v>413</v>
      </c>
      <c r="E19" s="2" t="s">
        <v>1</v>
      </c>
      <c r="F19" s="2" t="s">
        <v>414</v>
      </c>
    </row>
    <row r="20" ht="15.75" customHeight="1">
      <c r="A20" s="3" t="s">
        <v>415</v>
      </c>
      <c r="B20" s="15">
        <v>445000.0</v>
      </c>
      <c r="C20" s="15">
        <v>0.0</v>
      </c>
      <c r="D20" s="15">
        <v>0.0</v>
      </c>
      <c r="E20" s="74" t="s">
        <v>416</v>
      </c>
      <c r="F20" s="74" t="s">
        <v>417</v>
      </c>
    </row>
    <row r="21" ht="15.75" customHeight="1">
      <c r="A21" s="3" t="s">
        <v>418</v>
      </c>
      <c r="B21" s="15">
        <v>334500.0</v>
      </c>
      <c r="C21" s="15">
        <v>0.0</v>
      </c>
      <c r="D21" s="15">
        <v>0.0</v>
      </c>
      <c r="E21" s="74" t="s">
        <v>416</v>
      </c>
      <c r="F21" s="74" t="s">
        <v>417</v>
      </c>
    </row>
    <row r="22" ht="15.75" customHeight="1">
      <c r="A22" s="3" t="s">
        <v>419</v>
      </c>
      <c r="B22" s="15">
        <v>30000.0</v>
      </c>
      <c r="C22" s="15">
        <v>0.0</v>
      </c>
      <c r="D22" s="15">
        <v>0.0</v>
      </c>
      <c r="E22" s="74" t="s">
        <v>416</v>
      </c>
      <c r="F22" s="74" t="s">
        <v>417</v>
      </c>
    </row>
    <row r="23" ht="15.75" customHeight="1">
      <c r="A23" s="3" t="s">
        <v>420</v>
      </c>
      <c r="B23" s="15">
        <v>14500.0</v>
      </c>
      <c r="C23" s="15">
        <v>0.0</v>
      </c>
      <c r="D23" s="15">
        <v>0.0</v>
      </c>
      <c r="E23" s="74" t="s">
        <v>416</v>
      </c>
      <c r="F23" s="74" t="s">
        <v>417</v>
      </c>
    </row>
    <row r="24" ht="15.75" customHeight="1">
      <c r="A24" s="3" t="s">
        <v>421</v>
      </c>
      <c r="B24" s="15">
        <v>164000.0</v>
      </c>
      <c r="C24" s="15">
        <v>0.0</v>
      </c>
      <c r="D24" s="15">
        <v>0.0</v>
      </c>
      <c r="E24" s="74" t="s">
        <v>416</v>
      </c>
      <c r="F24" s="74" t="s">
        <v>417</v>
      </c>
    </row>
    <row r="25" ht="15.75" customHeight="1">
      <c r="A25" s="3" t="s">
        <v>422</v>
      </c>
      <c r="B25" s="15">
        <v>3000.0</v>
      </c>
      <c r="C25" s="15">
        <v>0.0</v>
      </c>
      <c r="D25" s="15">
        <v>0.0</v>
      </c>
      <c r="E25" s="74" t="s">
        <v>416</v>
      </c>
      <c r="F25" s="74" t="s">
        <v>417</v>
      </c>
    </row>
    <row r="26" ht="15.75" customHeight="1">
      <c r="A26" s="3" t="s">
        <v>423</v>
      </c>
      <c r="B26" s="15">
        <v>7500.0</v>
      </c>
      <c r="C26" s="15">
        <v>0.0</v>
      </c>
      <c r="D26" s="15">
        <v>0.0</v>
      </c>
      <c r="E26" s="74" t="s">
        <v>416</v>
      </c>
      <c r="F26" s="74" t="s">
        <v>417</v>
      </c>
    </row>
    <row r="27" ht="15.75" customHeight="1">
      <c r="A27" s="3" t="s">
        <v>424</v>
      </c>
      <c r="B27" s="15">
        <v>32500.0</v>
      </c>
      <c r="C27" s="15">
        <v>0.0</v>
      </c>
      <c r="D27" s="15">
        <v>0.0</v>
      </c>
      <c r="E27" s="74" t="s">
        <v>416</v>
      </c>
      <c r="F27" s="74" t="s">
        <v>417</v>
      </c>
    </row>
    <row r="28" ht="15.75" customHeight="1">
      <c r="A28" s="3" t="s">
        <v>425</v>
      </c>
      <c r="B28" s="15">
        <v>5000.0</v>
      </c>
      <c r="C28" s="15">
        <v>0.0</v>
      </c>
      <c r="D28" s="15">
        <v>0.0</v>
      </c>
      <c r="E28" s="74" t="s">
        <v>416</v>
      </c>
      <c r="F28" s="74" t="s">
        <v>417</v>
      </c>
    </row>
    <row r="29" ht="15.75" customHeight="1">
      <c r="A29" s="3" t="s">
        <v>426</v>
      </c>
      <c r="B29" s="15">
        <v>102750.0</v>
      </c>
      <c r="C29" s="15">
        <v>0.0</v>
      </c>
      <c r="D29" s="15">
        <v>0.0</v>
      </c>
      <c r="E29" s="74" t="s">
        <v>427</v>
      </c>
      <c r="F29" s="74" t="s">
        <v>417</v>
      </c>
    </row>
    <row r="30" ht="15.75" customHeight="1">
      <c r="A30" s="3" t="s">
        <v>428</v>
      </c>
      <c r="B30" s="15">
        <v>44500.0</v>
      </c>
      <c r="C30" s="15">
        <v>0.0</v>
      </c>
      <c r="D30" s="15">
        <v>0.0</v>
      </c>
      <c r="E30" s="74" t="s">
        <v>416</v>
      </c>
      <c r="F30" s="74" t="s">
        <v>417</v>
      </c>
    </row>
    <row r="31" ht="15.75" customHeight="1">
      <c r="A31" s="3" t="s">
        <v>429</v>
      </c>
      <c r="B31" s="15">
        <v>5500.0</v>
      </c>
      <c r="C31" s="15">
        <v>0.0</v>
      </c>
      <c r="D31" s="15">
        <v>0.0</v>
      </c>
      <c r="E31" s="74" t="s">
        <v>416</v>
      </c>
      <c r="F31" s="74" t="s">
        <v>417</v>
      </c>
    </row>
    <row r="32" ht="15.75" customHeight="1">
      <c r="A32" s="3" t="s">
        <v>430</v>
      </c>
      <c r="B32" s="15">
        <v>6750.0</v>
      </c>
      <c r="C32" s="15">
        <v>0.0</v>
      </c>
      <c r="D32" s="15">
        <v>0.0</v>
      </c>
      <c r="E32" s="74" t="s">
        <v>416</v>
      </c>
      <c r="F32" s="74" t="s">
        <v>417</v>
      </c>
    </row>
    <row r="33" ht="15.75" customHeight="1">
      <c r="A33" s="3" t="s">
        <v>431</v>
      </c>
      <c r="B33" s="15">
        <v>135000.0</v>
      </c>
      <c r="C33" s="15">
        <v>0.0</v>
      </c>
      <c r="D33" s="15">
        <v>0.0</v>
      </c>
      <c r="E33" s="74" t="s">
        <v>416</v>
      </c>
      <c r="F33" s="74" t="s">
        <v>417</v>
      </c>
    </row>
    <row r="34" ht="15.75" customHeight="1">
      <c r="A34" s="3" t="s">
        <v>432</v>
      </c>
      <c r="B34" s="15">
        <v>500.0</v>
      </c>
      <c r="C34" s="15">
        <v>0.0</v>
      </c>
      <c r="D34" s="15">
        <v>0.0</v>
      </c>
      <c r="E34" s="74" t="s">
        <v>416</v>
      </c>
      <c r="F34" s="74" t="s">
        <v>417</v>
      </c>
    </row>
    <row r="35" ht="15.75" customHeight="1">
      <c r="A35" s="3" t="s">
        <v>433</v>
      </c>
      <c r="B35" s="15">
        <v>90000.0</v>
      </c>
      <c r="C35" s="15">
        <v>0.0</v>
      </c>
      <c r="D35" s="15">
        <v>0.0</v>
      </c>
      <c r="E35" s="74" t="s">
        <v>416</v>
      </c>
      <c r="F35" s="74" t="s">
        <v>417</v>
      </c>
    </row>
    <row r="36" ht="15.75" customHeight="1">
      <c r="A36" s="3" t="s">
        <v>434</v>
      </c>
      <c r="B36" s="15">
        <v>47900.0</v>
      </c>
      <c r="C36" s="15">
        <v>0.0</v>
      </c>
      <c r="D36" s="15">
        <v>0.0</v>
      </c>
      <c r="E36" s="74" t="s">
        <v>416</v>
      </c>
      <c r="F36" s="74" t="s">
        <v>417</v>
      </c>
    </row>
    <row r="37" ht="15.75" customHeight="1">
      <c r="A37" s="3" t="s">
        <v>435</v>
      </c>
      <c r="B37" s="15">
        <v>99045.0</v>
      </c>
      <c r="C37" s="15">
        <v>0.0</v>
      </c>
      <c r="D37" s="15">
        <v>0.0</v>
      </c>
      <c r="E37" s="74" t="s">
        <v>436</v>
      </c>
      <c r="F37" s="74" t="s">
        <v>417</v>
      </c>
    </row>
    <row r="38" ht="15.75" customHeight="1">
      <c r="A38" s="3" t="s">
        <v>437</v>
      </c>
      <c r="B38" s="15">
        <v>73631.79907045858</v>
      </c>
      <c r="C38" s="15">
        <v>0.0</v>
      </c>
      <c r="D38" s="15">
        <v>0.0</v>
      </c>
      <c r="E38" s="74" t="s">
        <v>438</v>
      </c>
      <c r="F38" s="74" t="s">
        <v>417</v>
      </c>
    </row>
    <row r="39" ht="15.75" customHeight="1">
      <c r="A39" s="3" t="s">
        <v>220</v>
      </c>
      <c r="B39" s="15">
        <v>0.0</v>
      </c>
      <c r="C39" s="15">
        <v>34947.5</v>
      </c>
      <c r="D39" s="15">
        <v>0.0</v>
      </c>
      <c r="E39" s="74" t="s">
        <v>439</v>
      </c>
      <c r="F39" s="74" t="s">
        <v>417</v>
      </c>
    </row>
    <row r="40" ht="15.75" customHeight="1">
      <c r="A40" s="3" t="s">
        <v>440</v>
      </c>
      <c r="B40" s="15">
        <v>0.0</v>
      </c>
      <c r="C40" s="15">
        <v>10500.0</v>
      </c>
      <c r="D40" s="15">
        <v>0.0</v>
      </c>
      <c r="E40" s="74" t="s">
        <v>441</v>
      </c>
      <c r="F40" s="74" t="s">
        <v>417</v>
      </c>
    </row>
    <row r="41" ht="15.75" customHeight="1">
      <c r="A41" s="3" t="s">
        <v>442</v>
      </c>
      <c r="B41" s="15">
        <v>0.0</v>
      </c>
      <c r="C41" s="15">
        <v>0.0</v>
      </c>
      <c r="D41" s="15">
        <f>(3897+0.0015*H2_Day*365 )/ H2_Day</f>
        <v>0.7079578144</v>
      </c>
      <c r="E41" s="74" t="s">
        <v>443</v>
      </c>
      <c r="F41" s="74" t="s">
        <v>444</v>
      </c>
    </row>
    <row r="42" ht="15.75" customHeight="1">
      <c r="A42" s="3" t="s">
        <v>445</v>
      </c>
      <c r="B42" s="15">
        <v>0.0</v>
      </c>
      <c r="C42" s="15">
        <v>0.0</v>
      </c>
      <c r="D42" s="15">
        <f>0.0143*D41</f>
        <v>0.01012379675</v>
      </c>
      <c r="E42" s="74" t="s">
        <v>446</v>
      </c>
      <c r="F42" s="74" t="s">
        <v>417</v>
      </c>
    </row>
    <row r="43" ht="15.75" customHeight="1">
      <c r="A43" s="3" t="s">
        <v>447</v>
      </c>
      <c r="B43" s="15">
        <v>22500.0</v>
      </c>
      <c r="C43" s="15">
        <v>0.0</v>
      </c>
      <c r="D43" s="15">
        <v>0.0</v>
      </c>
      <c r="E43" s="74" t="s">
        <v>448</v>
      </c>
      <c r="F43" s="74" t="s">
        <v>417</v>
      </c>
    </row>
    <row r="44" ht="15.75" customHeight="1">
      <c r="B44" s="20">
        <f t="shared" ref="B44:D44" si="1">SUM(B20:B43)</f>
        <v>1664076.799</v>
      </c>
      <c r="C44" s="20">
        <f t="shared" si="1"/>
        <v>45447.5</v>
      </c>
      <c r="D44" s="20">
        <f t="shared" si="1"/>
        <v>0.7180816112</v>
      </c>
    </row>
    <row r="45" ht="15.75" customHeight="1">
      <c r="B45" s="15"/>
      <c r="C45" s="15"/>
    </row>
    <row r="46" ht="15.75" customHeight="1"/>
    <row r="47" ht="15.75" customHeight="1"/>
    <row r="48" ht="15.75" customHeight="1">
      <c r="D48" s="8" t="s">
        <v>449</v>
      </c>
    </row>
    <row r="49" ht="15.75" customHeight="1"/>
    <row r="50" ht="15.75" customHeight="1"/>
    <row r="51" ht="15.75" customHeight="1">
      <c r="A51" s="3" t="s">
        <v>450</v>
      </c>
      <c r="B51" s="3">
        <f>ROUND(IF(Electrolyzer_power &gt; 20, POWER(0.989,Electrolyzer_power/20), POWER(1.011,20/Electrolyzer_power)),2)</f>
        <v>0.97</v>
      </c>
      <c r="C51" s="3" t="s">
        <v>451</v>
      </c>
      <c r="D51" s="8" t="s">
        <v>452</v>
      </c>
    </row>
    <row r="52" ht="15.75" customHeight="1">
      <c r="A52" s="3" t="s">
        <v>453</v>
      </c>
      <c r="B52" s="3">
        <f>ROUND(POWER(1-$B$10, Project_Start_Year - 2022),2)</f>
        <v>0.9</v>
      </c>
    </row>
    <row r="53" ht="15.75" customHeight="1"/>
    <row r="54" ht="15.75" customHeight="1">
      <c r="A54" s="3" t="s">
        <v>454</v>
      </c>
      <c r="B54" s="20">
        <f>B44*B51*B52</f>
        <v>1452739.046</v>
      </c>
    </row>
    <row r="55" ht="15.75" customHeight="1">
      <c r="M55" s="3" t="s">
        <v>455</v>
      </c>
    </row>
    <row r="56" ht="15.75" customHeight="1">
      <c r="A56" s="72" t="s">
        <v>251</v>
      </c>
      <c r="B56" s="3" t="s">
        <v>252</v>
      </c>
      <c r="C56" s="3">
        <v>1.0</v>
      </c>
      <c r="D56" s="3">
        <f t="shared" ref="D56:V56" si="2">C56+1</f>
        <v>2</v>
      </c>
      <c r="E56" s="3">
        <f t="shared" si="2"/>
        <v>3</v>
      </c>
      <c r="F56" s="3">
        <f t="shared" si="2"/>
        <v>4</v>
      </c>
      <c r="G56" s="3">
        <f t="shared" si="2"/>
        <v>5</v>
      </c>
      <c r="H56" s="3">
        <f t="shared" si="2"/>
        <v>6</v>
      </c>
      <c r="I56" s="3">
        <f t="shared" si="2"/>
        <v>7</v>
      </c>
      <c r="J56" s="3">
        <f t="shared" si="2"/>
        <v>8</v>
      </c>
      <c r="K56" s="3">
        <f t="shared" si="2"/>
        <v>9</v>
      </c>
      <c r="L56" s="3">
        <f t="shared" si="2"/>
        <v>10</v>
      </c>
      <c r="M56" s="2">
        <f t="shared" si="2"/>
        <v>11</v>
      </c>
      <c r="N56" s="3">
        <f t="shared" si="2"/>
        <v>12</v>
      </c>
      <c r="O56" s="3">
        <f t="shared" si="2"/>
        <v>13</v>
      </c>
      <c r="P56" s="3">
        <f t="shared" si="2"/>
        <v>14</v>
      </c>
      <c r="Q56" s="3">
        <f t="shared" si="2"/>
        <v>15</v>
      </c>
      <c r="R56" s="3">
        <f t="shared" si="2"/>
        <v>16</v>
      </c>
      <c r="S56" s="3">
        <f t="shared" si="2"/>
        <v>17</v>
      </c>
      <c r="T56" s="3">
        <f t="shared" si="2"/>
        <v>18</v>
      </c>
      <c r="U56" s="3">
        <f t="shared" si="2"/>
        <v>19</v>
      </c>
      <c r="V56" s="3">
        <f t="shared" si="2"/>
        <v>20</v>
      </c>
    </row>
    <row r="57" ht="15.75" customHeight="1">
      <c r="A57" s="3" t="s">
        <v>253</v>
      </c>
      <c r="B57" s="15">
        <f t="shared" ref="B57:B59" si="5">SUM(C57:V57)</f>
        <v>101280088.2</v>
      </c>
      <c r="C57" s="15">
        <f>B54*Electrolyzer_power</f>
        <v>79105903.1</v>
      </c>
      <c r="D57" s="3">
        <v>0.0</v>
      </c>
      <c r="E57" s="3">
        <f t="shared" ref="E57:L57" si="3">D57</f>
        <v>0</v>
      </c>
      <c r="F57" s="3">
        <f t="shared" si="3"/>
        <v>0</v>
      </c>
      <c r="G57" s="3">
        <f t="shared" si="3"/>
        <v>0</v>
      </c>
      <c r="H57" s="3">
        <f t="shared" si="3"/>
        <v>0</v>
      </c>
      <c r="I57" s="3">
        <f t="shared" si="3"/>
        <v>0</v>
      </c>
      <c r="J57" s="3">
        <f t="shared" si="3"/>
        <v>0</v>
      </c>
      <c r="K57" s="3">
        <f t="shared" si="3"/>
        <v>0</v>
      </c>
      <c r="L57" s="3">
        <f t="shared" si="3"/>
        <v>0</v>
      </c>
      <c r="M57" s="15">
        <f>C57*POWER(1-B10,L56)*B12/(B12+L56*B11)</f>
        <v>22174185.07</v>
      </c>
      <c r="N57" s="3">
        <v>0.0</v>
      </c>
      <c r="O57" s="3">
        <f t="shared" ref="O57:V57" si="4">N57</f>
        <v>0</v>
      </c>
      <c r="P57" s="3">
        <f t="shared" si="4"/>
        <v>0</v>
      </c>
      <c r="Q57" s="3">
        <f t="shared" si="4"/>
        <v>0</v>
      </c>
      <c r="R57" s="3">
        <f t="shared" si="4"/>
        <v>0</v>
      </c>
      <c r="S57" s="3">
        <f t="shared" si="4"/>
        <v>0</v>
      </c>
      <c r="T57" s="3">
        <f t="shared" si="4"/>
        <v>0</v>
      </c>
      <c r="U57" s="3">
        <f t="shared" si="4"/>
        <v>0</v>
      </c>
      <c r="V57" s="3">
        <f t="shared" si="4"/>
        <v>0</v>
      </c>
    </row>
    <row r="58" ht="15.75" customHeight="1">
      <c r="A58" s="3" t="s">
        <v>456</v>
      </c>
      <c r="B58" s="15">
        <f t="shared" si="5"/>
        <v>20703203.83</v>
      </c>
      <c r="C58" s="15">
        <f>$C$44*C62</f>
        <v>2474749.709</v>
      </c>
      <c r="D58" s="15">
        <f>ROUND(C58/(1+IRR),2)</f>
        <v>2209597.95</v>
      </c>
      <c r="E58" s="15">
        <f>ROUND(D58/(1+IRR),2)</f>
        <v>1972855.31</v>
      </c>
      <c r="F58" s="15">
        <f>ROUND(E58/(1+IRR),2)</f>
        <v>1761477.96</v>
      </c>
      <c r="G58" s="15">
        <f>ROUND(F58/(1+IRR),2)</f>
        <v>1572748.18</v>
      </c>
      <c r="H58" s="15">
        <f>ROUND(G58/(1+IRR),2)</f>
        <v>1404239.45</v>
      </c>
      <c r="I58" s="15">
        <f>ROUND(H58/(1+IRR),2)</f>
        <v>1253785.22</v>
      </c>
      <c r="J58" s="15">
        <f>ROUND(I58/(1+IRR),2)</f>
        <v>1119451.09</v>
      </c>
      <c r="K58" s="15">
        <f>ROUND(J58/(1+IRR),2)</f>
        <v>999509.9</v>
      </c>
      <c r="L58" s="15">
        <f>ROUND(K58/(1+IRR),2)</f>
        <v>892419.55</v>
      </c>
      <c r="M58" s="15">
        <f>ROUND(L58/(1+IRR),2)</f>
        <v>796803.17</v>
      </c>
      <c r="N58" s="15">
        <f>ROUND(M58/(1+IRR),2)</f>
        <v>711431.4</v>
      </c>
      <c r="O58" s="15">
        <f>ROUND(N58/(1+IRR),2)</f>
        <v>635206.61</v>
      </c>
      <c r="P58" s="15">
        <f>ROUND(O58/(1+IRR),2)</f>
        <v>567148.76</v>
      </c>
      <c r="Q58" s="15">
        <f>ROUND(P58/(1+IRR),2)</f>
        <v>506382.82</v>
      </c>
      <c r="R58" s="15">
        <f>ROUND(Q58/(1+IRR),2)</f>
        <v>452127.52</v>
      </c>
      <c r="S58" s="15">
        <f>ROUND(R58/(1+IRR),2)</f>
        <v>403685.29</v>
      </c>
      <c r="T58" s="15">
        <f>ROUND(S58/(1+IRR),2)</f>
        <v>360433.29</v>
      </c>
      <c r="U58" s="15">
        <f>ROUND(T58/(1+IRR),2)</f>
        <v>321815.44</v>
      </c>
      <c r="V58" s="15">
        <f>ROUND(U58/(1+IRR),2)</f>
        <v>287335.21</v>
      </c>
    </row>
    <row r="59" ht="15.75" customHeight="1">
      <c r="A59" s="3" t="s">
        <v>457</v>
      </c>
      <c r="B59" s="15">
        <f t="shared" si="5"/>
        <v>175461.2308</v>
      </c>
      <c r="C59" s="15">
        <f>D44 * H2_Day</f>
        <v>17439.87383</v>
      </c>
      <c r="D59" s="15">
        <f>C59*(1+Inflation_Rate)/(1+IRR)</f>
        <v>16025.99834</v>
      </c>
      <c r="E59" s="15">
        <f>D59*(1+Inflation_Rate)/(1+IRR)</f>
        <v>14726.74776</v>
      </c>
      <c r="F59" s="15">
        <f>E59*(1+Inflation_Rate)/(1+IRR)</f>
        <v>13532.82928</v>
      </c>
      <c r="G59" s="15">
        <f>F59*(1+Inflation_Rate)/(1+IRR)</f>
        <v>12435.70348</v>
      </c>
      <c r="H59" s="15">
        <f>G59*(1+Inflation_Rate)/(1+IRR)</f>
        <v>11427.52323</v>
      </c>
      <c r="I59" s="15">
        <f>H59*(1+Inflation_Rate)/(1+IRR)</f>
        <v>10501.0776</v>
      </c>
      <c r="J59" s="15">
        <f>I59*(1+Inflation_Rate)/(1+IRR)</f>
        <v>9649.740238</v>
      </c>
      <c r="K59" s="15">
        <f>J59*(1+Inflation_Rate)/(1+IRR)</f>
        <v>8867.422012</v>
      </c>
      <c r="L59" s="15">
        <f>K59*(1+Inflation_Rate)/(1+IRR)</f>
        <v>8148.527442</v>
      </c>
      <c r="M59" s="15">
        <f>L59*(1+Inflation_Rate)/(1+IRR)</f>
        <v>7487.914681</v>
      </c>
      <c r="N59" s="15">
        <f>M59*(1+Inflation_Rate)/(1+IRR)</f>
        <v>6880.858741</v>
      </c>
      <c r="O59" s="15">
        <f>N59*(1+Inflation_Rate)/(1+IRR)</f>
        <v>6323.017693</v>
      </c>
      <c r="P59" s="15">
        <f>O59*(1+Inflation_Rate)/(1+IRR)</f>
        <v>5810.401616</v>
      </c>
      <c r="Q59" s="15">
        <f>P59*(1+Inflation_Rate)/(1+IRR)</f>
        <v>5339.344056</v>
      </c>
      <c r="R59" s="15">
        <f>Q59*(1+Inflation_Rate)/(1+IRR)</f>
        <v>4906.475806</v>
      </c>
      <c r="S59" s="15">
        <f>R59*(1+Inflation_Rate)/(1+IRR)</f>
        <v>4508.700803</v>
      </c>
      <c r="T59" s="15">
        <f>S59*(1+Inflation_Rate)/(1+IRR)</f>
        <v>4143.173988</v>
      </c>
      <c r="U59" s="15">
        <f>T59*(1+Inflation_Rate)/(1+IRR)</f>
        <v>3807.280954</v>
      </c>
      <c r="V59" s="15">
        <f>U59*(1+Inflation_Rate)/(1+IRR)</f>
        <v>3498.619248</v>
      </c>
    </row>
    <row r="60" ht="15.75" customHeight="1">
      <c r="A60" s="3" t="s">
        <v>458</v>
      </c>
      <c r="B60" s="15">
        <f>B58+B59</f>
        <v>20878665.06</v>
      </c>
      <c r="C60" s="9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</row>
    <row r="61" ht="15.75" customHeight="1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ht="15.75" customHeight="1">
      <c r="A62" s="3" t="s">
        <v>459</v>
      </c>
      <c r="B62" s="96">
        <f>AVERAGE(C62:L62, M62:V62)</f>
        <v>49.80329338</v>
      </c>
      <c r="C62" s="25">
        <f>Electrolyzer_power</f>
        <v>54.45293381</v>
      </c>
      <c r="D62" s="3">
        <f>ROUND(C62*(1-Battery_Degradation),2)</f>
        <v>53.36</v>
      </c>
      <c r="E62" s="3">
        <f>ROUND(D62*(1-Battery_Degradation),2)</f>
        <v>52.29</v>
      </c>
      <c r="F62" s="3">
        <f>ROUND(E62*(1-Battery_Degradation),2)</f>
        <v>51.24</v>
      </c>
      <c r="G62" s="3">
        <f>ROUND(F62*(1-Battery_Degradation),2)</f>
        <v>50.22</v>
      </c>
      <c r="H62" s="3">
        <f>ROUND(G62*(1-Battery_Degradation),2)</f>
        <v>49.22</v>
      </c>
      <c r="I62" s="3">
        <f>ROUND(H62*(1-Battery_Degradation),2)</f>
        <v>48.24</v>
      </c>
      <c r="J62" s="3">
        <f>ROUND(I62*(1-Battery_Degradation),2)</f>
        <v>47.28</v>
      </c>
      <c r="K62" s="3">
        <f>ROUND(J62*(1-Battery_Degradation),2)</f>
        <v>46.33</v>
      </c>
      <c r="L62" s="3">
        <f>ROUND(K62*(1-Battery_Degradation),2)</f>
        <v>45.4</v>
      </c>
      <c r="M62" s="96">
        <f>C62</f>
        <v>54.45293381</v>
      </c>
      <c r="N62" s="3">
        <f>ROUND(M62*(1-Battery_Degradation),2)</f>
        <v>53.36</v>
      </c>
      <c r="O62" s="3">
        <f>ROUND(N62*(1-Battery_Degradation),2)</f>
        <v>52.29</v>
      </c>
      <c r="P62" s="3">
        <f>ROUND(O62*(1-Battery_Degradation),2)</f>
        <v>51.24</v>
      </c>
      <c r="Q62" s="3">
        <f>ROUND(P62*(1-Battery_Degradation),2)</f>
        <v>50.22</v>
      </c>
      <c r="R62" s="3">
        <f>ROUND(Q62*(1-Battery_Degradation),2)</f>
        <v>49.22</v>
      </c>
      <c r="S62" s="3">
        <f>ROUND(R62*(1-Battery_Degradation),2)</f>
        <v>48.24</v>
      </c>
      <c r="T62" s="3">
        <f>ROUND(S62*(1-Battery_Degradation),2)</f>
        <v>47.28</v>
      </c>
      <c r="U62" s="3">
        <f>ROUND(T62*(1-Battery_Degradation),2)</f>
        <v>46.33</v>
      </c>
      <c r="V62" s="3">
        <f>ROUND(U62*(1-Battery_Degradation),2)</f>
        <v>45.4</v>
      </c>
    </row>
    <row r="63" ht="15.75" customHeight="1"/>
    <row r="64" ht="15.75" customHeight="1"/>
    <row r="65" ht="15.75" customHeight="1"/>
    <row r="66" ht="15.75" customHeight="1"/>
    <row r="67" ht="15.75" customHeight="1">
      <c r="A67" s="3" t="s">
        <v>460</v>
      </c>
      <c r="B67" s="20">
        <f>B57+B58+B59</f>
        <v>122158753.2</v>
      </c>
    </row>
    <row r="68" ht="15.75" customHeight="1">
      <c r="A68" s="3" t="s">
        <v>461</v>
      </c>
      <c r="B68" s="20">
        <f>Electolyser_Total*(1-B9)</f>
        <v>85511127.26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8"/>
    <hyperlink r:id="rId2" ref="D9"/>
    <hyperlink r:id="rId3" ref="D10"/>
    <hyperlink r:id="rId4" ref="F10"/>
    <hyperlink r:id="rId5" ref="D11"/>
    <hyperlink r:id="rId6" ref="D12"/>
    <hyperlink r:id="rId7" ref="D13"/>
    <hyperlink r:id="rId8" ref="D14"/>
    <hyperlink r:id="rId9" ref="D51"/>
  </hyperlinks>
  <printOptions/>
  <pageMargins bottom="0.75" footer="0.0" header="0.0" left="0.7" right="0.7" top="0.75"/>
  <pageSetup orientation="landscape"/>
  <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7.44"/>
    <col customWidth="1" min="2" max="26" width="10.56"/>
  </cols>
  <sheetData>
    <row r="1" ht="15.75" customHeight="1">
      <c r="A1" s="3" t="s">
        <v>462</v>
      </c>
      <c r="B1" s="3" t="s">
        <v>463</v>
      </c>
    </row>
    <row r="2" ht="15.75" customHeight="1">
      <c r="A2" s="3" t="s">
        <v>464</v>
      </c>
      <c r="B2" s="3" t="s">
        <v>465</v>
      </c>
    </row>
    <row r="3" ht="15.75" customHeight="1"/>
    <row r="4" ht="15.75" customHeight="1">
      <c r="A4" s="3" t="s">
        <v>466</v>
      </c>
    </row>
    <row r="5" ht="15.75" customHeight="1">
      <c r="A5" s="9" t="s">
        <v>462</v>
      </c>
      <c r="B5" s="9" t="s">
        <v>467</v>
      </c>
    </row>
    <row r="6" ht="15.75" customHeight="1">
      <c r="A6" s="9" t="s">
        <v>464</v>
      </c>
      <c r="B6" s="9" t="s">
        <v>468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2023-01-07T22:56:00Z</dcterms:created>
  <dc:creator>Microsoft Office User</dc:creator>
</cp:coreProperties>
</file>