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211"/>
  <workbookPr dateCompatibility="0"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yurymaximov/Desktop/"/>
    </mc:Choice>
  </mc:AlternateContent>
  <xr:revisionPtr revIDLastSave="0" documentId="8_{B1011497-0C73-4B4E-A02F-31EC8E9D5700}" xr6:coauthVersionLast="47" xr6:coauthVersionMax="47" xr10:uidLastSave="{00000000-0000-0000-0000-000000000000}"/>
  <bookViews>
    <workbookView xWindow="0" yWindow="500" windowWidth="28800" windowHeight="16500" activeTab="2" xr2:uid="{3E6721D8-3738-C945-A41A-D860EC43DAB3}"/>
  </bookViews>
  <sheets>
    <sheet name="Scenario_list" sheetId="14" state="hidden" r:id="rId1"/>
    <sheet name="Overall comments" sheetId="50" r:id="rId2"/>
    <sheet name="Model and Assumptions" sheetId="9" r:id="rId3"/>
    <sheet name="Model" sheetId="49" r:id="rId4"/>
    <sheet name="Final Numerics" sheetId="46" r:id="rId5"/>
    <sheet name="Electricity Rates" sheetId="43" r:id="rId6"/>
    <sheet name="CapEx" sheetId="41" r:id="rId7"/>
    <sheet name="LCOE -- Battery" sheetId="44" r:id="rId8"/>
    <sheet name="LCOE -- Grid" sheetId="45" r:id="rId9"/>
    <sheet name="LCOE -- Electrolyser" sheetId="47" r:id="rId10"/>
    <sheet name="LCOE -- Solar" sheetId="42" r:id="rId11"/>
    <sheet name="Batteries" sheetId="5" r:id="rId12"/>
    <sheet name="20Y" sheetId="24" r:id="rId13"/>
    <sheet name="LCOS Solar + Degradation" sheetId="26" r:id="rId14"/>
    <sheet name="Model Initial - Battery Lazard" sheetId="28" r:id="rId15"/>
    <sheet name="LCOS - Battery" sheetId="27" r:id="rId16"/>
    <sheet name="H3 Project Proposal" sheetId="40" r:id="rId17"/>
    <sheet name="PEM Electrolyser" sheetId="29" r:id="rId18"/>
    <sheet name="10Y&gt;&gt;" sheetId="30" r:id="rId19"/>
    <sheet name="H2 break-even point(NPV=0)" sheetId="31" r:id="rId20"/>
    <sheet name="Debt rolling" sheetId="39" r:id="rId21"/>
    <sheet name="Base model + 100% Subs + PW&gt;&gt; " sheetId="34" r:id="rId22"/>
    <sheet name="H2 1-1-1 goal" sheetId="37" r:id="rId23"/>
    <sheet name="Grid + solar + CAISO" sheetId="38" r:id="rId24"/>
  </sheets>
  <definedNames>
    <definedName name="IRR">'Model and Assumptions'!$B$8</definedName>
    <definedName name="solver_adj" localSheetId="19" hidden="1">'H2 break-even point(NPV=0)'!$E$29:$M$29</definedName>
    <definedName name="solver_cvg" localSheetId="19" hidden="1">0.0001</definedName>
    <definedName name="solver_drv" localSheetId="19" hidden="1">1</definedName>
    <definedName name="solver_eng" localSheetId="19" hidden="1">1</definedName>
    <definedName name="solver_itr" localSheetId="19" hidden="1">2147483647</definedName>
    <definedName name="solver_lhs1" localSheetId="19" hidden="1">'H2 break-even point(NPV=0)'!$D$108</definedName>
    <definedName name="solver_lin" localSheetId="19" hidden="1">2</definedName>
    <definedName name="solver_mip" localSheetId="19" hidden="1">2147483647</definedName>
    <definedName name="solver_mni" localSheetId="19" hidden="1">30</definedName>
    <definedName name="solver_mrt" localSheetId="19" hidden="1">0.075</definedName>
    <definedName name="solver_msl" localSheetId="19" hidden="1">2</definedName>
    <definedName name="solver_neg" localSheetId="19" hidden="1">1</definedName>
    <definedName name="solver_nod" localSheetId="19" hidden="1">2147483647</definedName>
    <definedName name="solver_num" localSheetId="19" hidden="1">0</definedName>
    <definedName name="solver_opt" localSheetId="19" hidden="1">'H2 break-even point(NPV=0)'!$D$108</definedName>
    <definedName name="solver_pre" localSheetId="19" hidden="1">0.000001</definedName>
    <definedName name="solver_rbv" localSheetId="19" hidden="1">1</definedName>
    <definedName name="solver_rel1" localSheetId="19" hidden="1">3</definedName>
    <definedName name="solver_rhs1" localSheetId="19" hidden="1">0</definedName>
    <definedName name="solver_rlx" localSheetId="19" hidden="1">2</definedName>
    <definedName name="solver_rsd" localSheetId="19" hidden="1">0</definedName>
    <definedName name="solver_scl" localSheetId="19" hidden="1">1</definedName>
    <definedName name="solver_sho" localSheetId="19" hidden="1">2</definedName>
    <definedName name="solver_ssz" localSheetId="19" hidden="1">100</definedName>
    <definedName name="solver_tim" localSheetId="19" hidden="1">2147483647</definedName>
    <definedName name="solver_tol" localSheetId="19" hidden="1">0.01</definedName>
    <definedName name="solver_typ" localSheetId="19" hidden="1">3</definedName>
    <definedName name="solver_val" localSheetId="19" hidden="1">0</definedName>
    <definedName name="solver_ver" localSheetId="19" hidden="1">2</definedName>
  </definedName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purl.oclc.org/ooxml/spreadsheetml/main">
  <c r="V135" i="49" l="1"/>
  <c r="U135" i="49"/>
  <c r="T135" i="49"/>
  <c r="S135" i="49"/>
  <c r="R135" i="49"/>
  <c r="N135" i="49"/>
  <c r="M135" i="49"/>
  <c r="L135" i="49"/>
  <c r="K135" i="49"/>
  <c r="J135" i="49"/>
  <c r="F135" i="49"/>
  <c r="E135" i="49"/>
  <c r="G58" i="9"/>
  <c r="E86" i="49"/>
  <c r="C4" i="46"/>
  <c r="E82" i="49"/>
  <c r="D44" i="46"/>
  <c r="C45" i="46"/>
  <c r="C154" i="49"/>
  <c r="C155" i="49"/>
  <c r="C156" i="49"/>
  <c r="C157" i="49"/>
  <c r="C153" i="49"/>
  <c r="C44" i="46"/>
  <c r="C111" i="49"/>
  <c r="Q135" i="49" s="1"/>
  <c r="B11" i="45"/>
  <c r="C110" i="49"/>
  <c r="B9" i="45"/>
  <c r="E98" i="49"/>
  <c r="C80" i="49"/>
  <c r="B4" i="47"/>
  <c r="C90" i="49"/>
  <c r="B16" i="47"/>
  <c r="C7" i="46"/>
  <c r="J27" i="44"/>
  <c r="J25" i="44"/>
  <c r="N17" i="29"/>
  <c r="N18" i="29"/>
  <c r="J23" i="44"/>
  <c r="J20" i="44"/>
  <c r="J19" i="44"/>
  <c r="G31" i="9"/>
  <c r="M18" i="44"/>
  <c r="C18" i="49"/>
  <c r="J3" i="44"/>
  <c r="J18" i="44"/>
  <c r="C61" i="49"/>
  <c r="C58" i="49"/>
  <c r="K17" i="44"/>
  <c r="C48" i="49"/>
  <c r="E64" i="49" s="1"/>
  <c r="J4" i="44"/>
  <c r="C47" i="49"/>
  <c r="J6" i="44"/>
  <c r="C46" i="49"/>
  <c r="J7" i="44"/>
  <c r="C45" i="49"/>
  <c r="C55" i="49"/>
  <c r="J17" i="44"/>
  <c r="F1" i="49"/>
  <c r="G1" i="49" s="1"/>
  <c r="H1" i="49" s="1"/>
  <c r="I1" i="49" s="1"/>
  <c r="J1" i="49" s="1"/>
  <c r="K1" i="49" s="1"/>
  <c r="L1" i="49" s="1"/>
  <c r="M1" i="49" s="1"/>
  <c r="N1" i="49" s="1"/>
  <c r="O1" i="49" s="1"/>
  <c r="P1" i="49" s="1"/>
  <c r="Q1" i="49" s="1"/>
  <c r="R1" i="49" s="1"/>
  <c r="S1" i="49" s="1"/>
  <c r="T1" i="49" s="1"/>
  <c r="U1" i="49" s="1"/>
  <c r="V1" i="49" s="1"/>
  <c r="W1" i="49" s="1"/>
  <c r="X1" i="49" s="1"/>
  <c r="X81" i="49" s="1"/>
  <c r="J11" i="44"/>
  <c r="J12" i="44"/>
  <c r="J13" i="44"/>
  <c r="C43" i="49"/>
  <c r="C29" i="46"/>
  <c r="C41" i="49"/>
  <c r="C27" i="46"/>
  <c r="C29" i="49"/>
  <c r="C19" i="46"/>
  <c r="C22" i="49"/>
  <c r="C14" i="46"/>
  <c r="C17" i="49"/>
  <c r="C11" i="46"/>
  <c r="C16" i="49"/>
  <c r="E65" i="49" s="1"/>
  <c r="C10" i="46"/>
  <c r="C15" i="49"/>
  <c r="C9" i="46"/>
  <c r="C8" i="49"/>
  <c r="C7" i="49"/>
  <c r="C3" i="46"/>
  <c r="C6" i="49"/>
  <c r="C2" i="46"/>
  <c r="M32" i="44"/>
  <c r="M33" i="44"/>
  <c r="L33" i="44"/>
  <c r="C5" i="46"/>
  <c r="B39" i="9"/>
  <c r="G23" i="9" s="1"/>
  <c r="G26" i="9" s="1"/>
  <c r="B3" i="47"/>
  <c r="B2" i="47"/>
  <c r="I10" i="46"/>
  <c r="I9" i="46"/>
  <c r="I8" i="46"/>
  <c r="I7" i="46"/>
  <c r="I6" i="46"/>
  <c r="H8" i="42"/>
  <c r="F117" i="41"/>
  <c r="E117" i="41"/>
  <c r="G11" i="9" s="1"/>
  <c r="D117" i="41"/>
  <c r="I13" i="42" s="1"/>
  <c r="C37" i="46"/>
  <c r="J15" i="44"/>
  <c r="L3" i="44"/>
  <c r="D54" i="41"/>
  <c r="F53" i="41"/>
  <c r="B8" i="45"/>
  <c r="B7" i="45"/>
  <c r="B6" i="45"/>
  <c r="B5" i="45"/>
  <c r="B4" i="45"/>
  <c r="J45" i="44"/>
  <c r="J42" i="44"/>
  <c r="J5" i="44"/>
  <c r="J8" i="44"/>
  <c r="J10" i="44"/>
  <c r="H10" i="42"/>
  <c r="H7" i="42"/>
  <c r="H9" i="42"/>
  <c r="H6" i="42"/>
  <c r="H2" i="42"/>
  <c r="H3" i="42"/>
  <c r="H5" i="42"/>
  <c r="H4" i="42"/>
  <c r="B38" i="9"/>
  <c r="G24" i="9"/>
  <c r="B29" i="38"/>
  <c r="B28" i="38"/>
  <c r="B27" i="38"/>
  <c r="B26" i="38"/>
  <c r="B25" i="38"/>
  <c r="B24" i="38"/>
  <c r="B23" i="38"/>
  <c r="B22" i="38"/>
  <c r="B21" i="38"/>
  <c r="B20" i="38"/>
  <c r="B19" i="38"/>
  <c r="B18" i="38"/>
  <c r="B17" i="38"/>
  <c r="B16" i="38"/>
  <c r="B15" i="38"/>
  <c r="B14" i="38"/>
  <c r="B13" i="38"/>
  <c r="B12" i="38"/>
  <c r="B11" i="38"/>
  <c r="B10" i="38"/>
  <c r="B9" i="38"/>
  <c r="B8" i="38"/>
  <c r="B7" i="38"/>
  <c r="B6" i="38"/>
  <c r="B5" i="38"/>
  <c r="B4" i="38"/>
  <c r="B3" i="38"/>
  <c r="B2" i="38"/>
  <c r="G22" i="9"/>
  <c r="G71" i="9"/>
  <c r="G55" i="9"/>
  <c r="G59" i="9" s="1"/>
  <c r="G30" i="9"/>
  <c r="J2" i="44" s="1"/>
  <c r="G2" i="9"/>
  <c r="H1" i="42" s="1"/>
  <c r="C15" i="9"/>
  <c r="B19" i="9" s="1"/>
  <c r="F56" i="43"/>
  <c r="F55" i="43"/>
  <c r="F54" i="43"/>
  <c r="F53" i="43"/>
  <c r="F52" i="43"/>
  <c r="F51" i="43"/>
  <c r="F50" i="43"/>
  <c r="F49" i="43"/>
  <c r="F48" i="43"/>
  <c r="F47" i="43"/>
  <c r="F46" i="43"/>
  <c r="F45" i="43"/>
  <c r="F44" i="43"/>
  <c r="F43" i="43"/>
  <c r="F42" i="43"/>
  <c r="F41" i="43"/>
  <c r="F40" i="43"/>
  <c r="F39" i="43"/>
  <c r="F38" i="43"/>
  <c r="F37" i="43"/>
  <c r="F36" i="43"/>
  <c r="F35" i="43"/>
  <c r="F34" i="43"/>
  <c r="F33" i="43"/>
  <c r="F32" i="43"/>
  <c r="F31" i="43"/>
  <c r="F30" i="43"/>
  <c r="F29" i="43"/>
  <c r="F28" i="43"/>
  <c r="F27" i="43"/>
  <c r="F26" i="43"/>
  <c r="F25" i="43"/>
  <c r="F24" i="43"/>
  <c r="F23" i="43"/>
  <c r="F22" i="43"/>
  <c r="F21" i="43"/>
  <c r="F20" i="43"/>
  <c r="F19" i="43"/>
  <c r="F18" i="43"/>
  <c r="F17" i="43"/>
  <c r="F16" i="43"/>
  <c r="F15" i="43"/>
  <c r="F14" i="43"/>
  <c r="F13" i="43"/>
  <c r="F12" i="43"/>
  <c r="F11" i="43"/>
  <c r="F10" i="43"/>
  <c r="F9" i="43"/>
  <c r="F8" i="43"/>
  <c r="F7" i="43"/>
  <c r="F6" i="43"/>
  <c r="F5" i="43"/>
  <c r="E172" i="42"/>
  <c r="E141" i="42" s="1"/>
  <c r="D172" i="42"/>
  <c r="D141" i="42" s="1"/>
  <c r="C172" i="42"/>
  <c r="C141" i="42" s="1"/>
  <c r="D98" i="42"/>
  <c r="E98" i="42"/>
  <c r="C98" i="42"/>
  <c r="E96" i="42"/>
  <c r="D96" i="42"/>
  <c r="C96" i="42"/>
  <c r="G36" i="9"/>
  <c r="J9" i="44" s="1"/>
  <c r="G38" i="9"/>
  <c r="B3" i="41"/>
  <c r="B17" i="9"/>
  <c r="J46" i="44" s="1"/>
  <c r="B2" i="41"/>
  <c r="C120" i="41" s="1"/>
  <c r="C121" i="41" s="1"/>
  <c r="C122" i="41" s="1"/>
  <c r="G75" i="9" s="1"/>
  <c r="F121" i="41"/>
  <c r="F122" i="41" s="1"/>
  <c r="G78" i="9" s="1"/>
  <c r="E121" i="41"/>
  <c r="E122" i="41" s="1"/>
  <c r="G77" i="9" s="1"/>
  <c r="D121" i="41"/>
  <c r="D122" i="41" s="1"/>
  <c r="G76" i="9" s="1"/>
  <c r="G12" i="9"/>
  <c r="D104" i="41"/>
  <c r="G46" i="9" s="1"/>
  <c r="L17" i="44" s="1"/>
  <c r="E55" i="41"/>
  <c r="D55" i="41"/>
  <c r="C55" i="41"/>
  <c r="F43" i="41"/>
  <c r="E43" i="41"/>
  <c r="D43" i="41"/>
  <c r="C43" i="41"/>
  <c r="E39" i="41"/>
  <c r="D63" i="42"/>
  <c r="D62" i="42"/>
  <c r="D61" i="42"/>
  <c r="D60" i="42"/>
  <c r="D59" i="42"/>
  <c r="D58" i="42"/>
  <c r="D57" i="42"/>
  <c r="D56" i="42"/>
  <c r="D55" i="42"/>
  <c r="D54" i="42"/>
  <c r="D53" i="42"/>
  <c r="D52" i="42"/>
  <c r="D51" i="42"/>
  <c r="D50" i="42"/>
  <c r="D49" i="42"/>
  <c r="D48" i="42"/>
  <c r="D47" i="42"/>
  <c r="D46" i="42"/>
  <c r="D45" i="42"/>
  <c r="D44" i="42"/>
  <c r="D43" i="42"/>
  <c r="D42" i="42"/>
  <c r="D41" i="42"/>
  <c r="D40" i="42"/>
  <c r="D39" i="42"/>
  <c r="D38" i="42"/>
  <c r="D37" i="42"/>
  <c r="D36" i="42"/>
  <c r="D35" i="42"/>
  <c r="D34" i="42"/>
  <c r="D33" i="42"/>
  <c r="D32" i="42"/>
  <c r="D31" i="42"/>
  <c r="D30" i="42"/>
  <c r="D29" i="42"/>
  <c r="D28" i="42"/>
  <c r="D27" i="42"/>
  <c r="D26" i="42"/>
  <c r="D25" i="42"/>
  <c r="D24" i="42"/>
  <c r="D23" i="42"/>
  <c r="D22" i="42"/>
  <c r="D21" i="42"/>
  <c r="D20" i="42"/>
  <c r="D32" i="41"/>
  <c r="F33" i="41" s="1"/>
  <c r="C35" i="41"/>
  <c r="C39" i="41" s="1"/>
  <c r="D36" i="41"/>
  <c r="F38" i="41"/>
  <c r="C67" i="41"/>
  <c r="C75" i="41"/>
  <c r="D75" i="41"/>
  <c r="D85" i="41" s="1"/>
  <c r="G63" i="9" s="1"/>
  <c r="C76" i="41"/>
  <c r="E77" i="41"/>
  <c r="E81" i="41"/>
  <c r="F81" i="41"/>
  <c r="F85" i="41" s="1"/>
  <c r="C90" i="41"/>
  <c r="E97" i="41"/>
  <c r="E99" i="41" s="1"/>
  <c r="F97" i="41"/>
  <c r="F104" i="41" s="1"/>
  <c r="G48" i="9" s="1"/>
  <c r="M17" i="44" s="1"/>
  <c r="C107" i="41"/>
  <c r="C108" i="41"/>
  <c r="C109" i="41"/>
  <c r="C110" i="41"/>
  <c r="C111" i="41"/>
  <c r="C112" i="41"/>
  <c r="C113" i="41"/>
  <c r="C114" i="41"/>
  <c r="C115" i="41"/>
  <c r="C20" i="46" l="1"/>
  <c r="G135" i="49"/>
  <c r="O135" i="49"/>
  <c r="W135" i="49"/>
  <c r="G27" i="9"/>
  <c r="C112" i="49" s="1"/>
  <c r="E120" i="49" s="1"/>
  <c r="H135" i="49"/>
  <c r="P135" i="49"/>
  <c r="X135" i="49"/>
  <c r="I135" i="49"/>
  <c r="C38" i="46"/>
  <c r="U85" i="49"/>
  <c r="C140" i="49"/>
  <c r="E141" i="49" s="1"/>
  <c r="V85" i="49"/>
  <c r="N85" i="49"/>
  <c r="J86" i="49"/>
  <c r="I86" i="49"/>
  <c r="O85" i="49"/>
  <c r="W85" i="49"/>
  <c r="K86" i="49"/>
  <c r="X85" i="49"/>
  <c r="Q85" i="49"/>
  <c r="M86" i="49"/>
  <c r="L86" i="49"/>
  <c r="S85" i="49"/>
  <c r="G86" i="49"/>
  <c r="P85" i="49"/>
  <c r="R85" i="49"/>
  <c r="F86" i="49"/>
  <c r="T85" i="49"/>
  <c r="H86" i="49"/>
  <c r="B18" i="45"/>
  <c r="B19" i="45" s="1"/>
  <c r="B12" i="45"/>
  <c r="C16" i="46"/>
  <c r="C23" i="49"/>
  <c r="C26" i="46"/>
  <c r="C25" i="46" s="1"/>
  <c r="J14" i="44" s="1"/>
  <c r="J30" i="44" s="1"/>
  <c r="J29" i="44" s="1"/>
  <c r="J31" i="44" s="1"/>
  <c r="C24" i="49"/>
  <c r="C30" i="49" s="1"/>
  <c r="T81" i="49"/>
  <c r="G82" i="49"/>
  <c r="R81" i="49"/>
  <c r="M82" i="49"/>
  <c r="S81" i="49"/>
  <c r="F82" i="49"/>
  <c r="H82" i="49"/>
  <c r="U81" i="49"/>
  <c r="N81" i="49"/>
  <c r="V81" i="49"/>
  <c r="I82" i="49"/>
  <c r="O81" i="49"/>
  <c r="W81" i="49"/>
  <c r="J82" i="49"/>
  <c r="P81" i="49"/>
  <c r="K82" i="49"/>
  <c r="Q81" i="49"/>
  <c r="L82" i="49"/>
  <c r="C96" i="49"/>
  <c r="Q141" i="49"/>
  <c r="Q98" i="49"/>
  <c r="X64" i="49"/>
  <c r="I98" i="49"/>
  <c r="R98" i="49"/>
  <c r="G98" i="49"/>
  <c r="O98" i="49"/>
  <c r="W98" i="49"/>
  <c r="H98" i="49"/>
  <c r="P98" i="49"/>
  <c r="X98" i="49"/>
  <c r="J98" i="49"/>
  <c r="L98" i="49"/>
  <c r="K98" i="49"/>
  <c r="S98" i="49"/>
  <c r="T98" i="49"/>
  <c r="M98" i="49"/>
  <c r="U98" i="49"/>
  <c r="F98" i="49"/>
  <c r="V98" i="49"/>
  <c r="Q61" i="49"/>
  <c r="Q68" i="49" s="1"/>
  <c r="R61" i="49"/>
  <c r="R68" i="49" s="1"/>
  <c r="S64" i="49"/>
  <c r="J65" i="49"/>
  <c r="R65" i="49"/>
  <c r="J64" i="49"/>
  <c r="T64" i="49"/>
  <c r="N61" i="49"/>
  <c r="N68" i="49" s="1"/>
  <c r="K65" i="49"/>
  <c r="H64" i="49"/>
  <c r="Q64" i="49"/>
  <c r="K61" i="49"/>
  <c r="K68" i="49" s="1"/>
  <c r="S61" i="49"/>
  <c r="S68" i="49" s="1"/>
  <c r="E61" i="49"/>
  <c r="E68" i="49" s="1"/>
  <c r="H65" i="49"/>
  <c r="P65" i="49"/>
  <c r="I64" i="49"/>
  <c r="R64" i="49"/>
  <c r="L61" i="49"/>
  <c r="L68" i="49" s="1"/>
  <c r="T61" i="49"/>
  <c r="T68" i="49" s="1"/>
  <c r="I65" i="49"/>
  <c r="Q65" i="49"/>
  <c r="M61" i="49"/>
  <c r="M68" i="49" s="1"/>
  <c r="V64" i="49"/>
  <c r="U61" i="49"/>
  <c r="U68" i="49" s="1"/>
  <c r="K64" i="49"/>
  <c r="F61" i="49"/>
  <c r="F68" i="49" s="1"/>
  <c r="V61" i="49"/>
  <c r="V68" i="49" s="1"/>
  <c r="S65" i="49"/>
  <c r="L64" i="49"/>
  <c r="U64" i="49"/>
  <c r="G61" i="49"/>
  <c r="G68" i="49" s="1"/>
  <c r="O61" i="49"/>
  <c r="O68" i="49" s="1"/>
  <c r="W61" i="49"/>
  <c r="W68" i="49" s="1"/>
  <c r="N56" i="49"/>
  <c r="C56" i="49" s="1"/>
  <c r="L65" i="49"/>
  <c r="T65" i="49"/>
  <c r="M64" i="49"/>
  <c r="H61" i="49"/>
  <c r="H68" i="49" s="1"/>
  <c r="P61" i="49"/>
  <c r="P68" i="49" s="1"/>
  <c r="X61" i="49"/>
  <c r="X68" i="49" s="1"/>
  <c r="M65" i="49"/>
  <c r="U65" i="49"/>
  <c r="F64" i="49"/>
  <c r="O64" i="49"/>
  <c r="W64" i="49"/>
  <c r="I61" i="49"/>
  <c r="I68" i="49" s="1"/>
  <c r="N59" i="49"/>
  <c r="C59" i="49" s="1"/>
  <c r="F65" i="49"/>
  <c r="N65" i="49"/>
  <c r="V65" i="49"/>
  <c r="G64" i="49"/>
  <c r="P64" i="49"/>
  <c r="J61" i="49"/>
  <c r="J68" i="49" s="1"/>
  <c r="G65" i="49"/>
  <c r="O65" i="49"/>
  <c r="W65" i="49"/>
  <c r="E59" i="49"/>
  <c r="E56" i="49"/>
  <c r="Q59" i="49"/>
  <c r="M56" i="49"/>
  <c r="U56" i="49"/>
  <c r="F56" i="49"/>
  <c r="I59" i="49"/>
  <c r="K56" i="49"/>
  <c r="S56" i="49"/>
  <c r="G59" i="49"/>
  <c r="O59" i="49"/>
  <c r="L56" i="49"/>
  <c r="T56" i="49"/>
  <c r="H59" i="49"/>
  <c r="P59" i="49"/>
  <c r="S59" i="49"/>
  <c r="H56" i="49"/>
  <c r="P56" i="49"/>
  <c r="L59" i="49"/>
  <c r="T59" i="49"/>
  <c r="J59" i="49"/>
  <c r="G56" i="49"/>
  <c r="O56" i="49"/>
  <c r="I56" i="49"/>
  <c r="Q56" i="49"/>
  <c r="M59" i="49"/>
  <c r="U59" i="49"/>
  <c r="R59" i="49"/>
  <c r="K59" i="49"/>
  <c r="J56" i="49"/>
  <c r="R56" i="49"/>
  <c r="F59" i="49"/>
  <c r="C9" i="49"/>
  <c r="C11" i="49" s="1"/>
  <c r="L18" i="44"/>
  <c r="G65" i="9"/>
  <c r="B10" i="47"/>
  <c r="G18" i="9"/>
  <c r="J13" i="42"/>
  <c r="G16" i="9"/>
  <c r="C15" i="46"/>
  <c r="K13" i="42"/>
  <c r="H17" i="42" s="1"/>
  <c r="G10" i="9"/>
  <c r="H154" i="42"/>
  <c r="J47" i="44"/>
  <c r="J43" i="44"/>
  <c r="G103" i="42"/>
  <c r="H155" i="42"/>
  <c r="G87" i="42"/>
  <c r="G92" i="42"/>
  <c r="H170" i="42"/>
  <c r="H127" i="42"/>
  <c r="G135" i="42"/>
  <c r="G119" i="42"/>
  <c r="H171" i="42"/>
  <c r="G151" i="42"/>
  <c r="G167" i="42"/>
  <c r="H186" i="42"/>
  <c r="G183" i="42"/>
  <c r="H90" i="42"/>
  <c r="H187" i="42"/>
  <c r="G199" i="42"/>
  <c r="H185" i="42"/>
  <c r="H91" i="42"/>
  <c r="H106" i="42"/>
  <c r="H107" i="42"/>
  <c r="H122" i="42"/>
  <c r="H123" i="42"/>
  <c r="H138" i="42"/>
  <c r="H139" i="42"/>
  <c r="G105" i="42"/>
  <c r="H188" i="42"/>
  <c r="H93" i="42"/>
  <c r="G187" i="42"/>
  <c r="H191" i="42"/>
  <c r="G77" i="42"/>
  <c r="G93" i="42"/>
  <c r="G109" i="42"/>
  <c r="G125" i="42"/>
  <c r="G141" i="42"/>
  <c r="G157" i="42"/>
  <c r="G173" i="42"/>
  <c r="G189" i="42"/>
  <c r="H80" i="42"/>
  <c r="H96" i="42"/>
  <c r="H112" i="42"/>
  <c r="H128" i="42"/>
  <c r="H144" i="42"/>
  <c r="H160" i="42"/>
  <c r="H176" i="42"/>
  <c r="H192" i="42"/>
  <c r="G121" i="42"/>
  <c r="H108" i="42"/>
  <c r="G154" i="42"/>
  <c r="G139" i="42"/>
  <c r="H190" i="42"/>
  <c r="G76" i="42"/>
  <c r="G156" i="42"/>
  <c r="H159" i="42"/>
  <c r="G78" i="42"/>
  <c r="G94" i="42"/>
  <c r="G110" i="42"/>
  <c r="G126" i="42"/>
  <c r="G142" i="42"/>
  <c r="G158" i="42"/>
  <c r="G174" i="42"/>
  <c r="G190" i="42"/>
  <c r="H81" i="42"/>
  <c r="H97" i="42"/>
  <c r="H113" i="42"/>
  <c r="H129" i="42"/>
  <c r="H145" i="42"/>
  <c r="H161" i="42"/>
  <c r="H177" i="42"/>
  <c r="H193" i="42"/>
  <c r="G88" i="42"/>
  <c r="H92" i="42"/>
  <c r="H173" i="42"/>
  <c r="H94" i="42"/>
  <c r="G108" i="42"/>
  <c r="H95" i="42"/>
  <c r="G79" i="42"/>
  <c r="G95" i="42"/>
  <c r="G111" i="42"/>
  <c r="G127" i="42"/>
  <c r="G143" i="42"/>
  <c r="G159" i="42"/>
  <c r="G175" i="42"/>
  <c r="G191" i="42"/>
  <c r="H82" i="42"/>
  <c r="H98" i="42"/>
  <c r="H114" i="42"/>
  <c r="H130" i="42"/>
  <c r="H146" i="42"/>
  <c r="H162" i="42"/>
  <c r="H178" i="42"/>
  <c r="H194" i="42"/>
  <c r="H76" i="42"/>
  <c r="G138" i="42"/>
  <c r="H109" i="42"/>
  <c r="G171" i="42"/>
  <c r="G188" i="42"/>
  <c r="G80" i="42"/>
  <c r="G96" i="42"/>
  <c r="G112" i="42"/>
  <c r="G128" i="42"/>
  <c r="G144" i="42"/>
  <c r="G160" i="42"/>
  <c r="G176" i="42"/>
  <c r="G192" i="42"/>
  <c r="H83" i="42"/>
  <c r="H99" i="42"/>
  <c r="H115" i="42"/>
  <c r="H131" i="42"/>
  <c r="H147" i="42"/>
  <c r="H163" i="42"/>
  <c r="H179" i="42"/>
  <c r="H195" i="42"/>
  <c r="G169" i="42"/>
  <c r="H156" i="42"/>
  <c r="G90" i="42"/>
  <c r="H125" i="42"/>
  <c r="G107" i="42"/>
  <c r="H142" i="42"/>
  <c r="H111" i="42"/>
  <c r="G113" i="42"/>
  <c r="G129" i="42"/>
  <c r="G145" i="42"/>
  <c r="G161" i="42"/>
  <c r="G177" i="42"/>
  <c r="G193" i="42"/>
  <c r="H84" i="42"/>
  <c r="H100" i="42"/>
  <c r="H116" i="42"/>
  <c r="H132" i="42"/>
  <c r="H148" i="42"/>
  <c r="H164" i="42"/>
  <c r="H180" i="42"/>
  <c r="H196" i="42"/>
  <c r="G153" i="42"/>
  <c r="H140" i="42"/>
  <c r="H77" i="42"/>
  <c r="G91" i="42"/>
  <c r="H110" i="42"/>
  <c r="G124" i="42"/>
  <c r="H175" i="42"/>
  <c r="G82" i="42"/>
  <c r="G146" i="42"/>
  <c r="H85" i="42"/>
  <c r="H101" i="42"/>
  <c r="H117" i="42"/>
  <c r="H133" i="42"/>
  <c r="H197" i="42"/>
  <c r="G104" i="42"/>
  <c r="G184" i="42"/>
  <c r="G185" i="42"/>
  <c r="G122" i="42"/>
  <c r="H78" i="42"/>
  <c r="G140" i="42"/>
  <c r="H143" i="42"/>
  <c r="G162" i="42"/>
  <c r="G131" i="42"/>
  <c r="H102" i="42"/>
  <c r="H198" i="42"/>
  <c r="G120" i="42"/>
  <c r="G152" i="42"/>
  <c r="G200" i="42"/>
  <c r="G106" i="42"/>
  <c r="H174" i="42"/>
  <c r="G172" i="42"/>
  <c r="G98" i="42"/>
  <c r="H149" i="42"/>
  <c r="G83" i="42"/>
  <c r="G99" i="42"/>
  <c r="G115" i="42"/>
  <c r="G163" i="42"/>
  <c r="G195" i="42"/>
  <c r="H86" i="42"/>
  <c r="H118" i="42"/>
  <c r="H134" i="42"/>
  <c r="H150" i="42"/>
  <c r="H166" i="42"/>
  <c r="H182" i="42"/>
  <c r="G84" i="42"/>
  <c r="G100" i="42"/>
  <c r="G116" i="42"/>
  <c r="G132" i="42"/>
  <c r="G148" i="42"/>
  <c r="G164" i="42"/>
  <c r="G180" i="42"/>
  <c r="G196" i="42"/>
  <c r="H87" i="42"/>
  <c r="H103" i="42"/>
  <c r="H119" i="42"/>
  <c r="H135" i="42"/>
  <c r="H151" i="42"/>
  <c r="H167" i="42"/>
  <c r="H183" i="42"/>
  <c r="H199" i="42"/>
  <c r="G168" i="42"/>
  <c r="G137" i="42"/>
  <c r="H172" i="42"/>
  <c r="G186" i="42"/>
  <c r="H157" i="42"/>
  <c r="G155" i="42"/>
  <c r="H158" i="42"/>
  <c r="H79" i="42"/>
  <c r="G81" i="42"/>
  <c r="G130" i="42"/>
  <c r="G194" i="42"/>
  <c r="H165" i="42"/>
  <c r="G147" i="42"/>
  <c r="G85" i="42"/>
  <c r="G101" i="42"/>
  <c r="G117" i="42"/>
  <c r="G133" i="42"/>
  <c r="G149" i="42"/>
  <c r="G165" i="42"/>
  <c r="G181" i="42"/>
  <c r="G197" i="42"/>
  <c r="H88" i="42"/>
  <c r="H104" i="42"/>
  <c r="H120" i="42"/>
  <c r="H136" i="42"/>
  <c r="H152" i="42"/>
  <c r="H168" i="42"/>
  <c r="H184" i="42"/>
  <c r="H200" i="42"/>
  <c r="G136" i="42"/>
  <c r="G89" i="42"/>
  <c r="H124" i="42"/>
  <c r="G170" i="42"/>
  <c r="H141" i="42"/>
  <c r="H189" i="42"/>
  <c r="G123" i="42"/>
  <c r="H126" i="42"/>
  <c r="G97" i="42"/>
  <c r="G114" i="42"/>
  <c r="G178" i="42"/>
  <c r="H181" i="42"/>
  <c r="G179" i="42"/>
  <c r="G86" i="42"/>
  <c r="G102" i="42"/>
  <c r="G118" i="42"/>
  <c r="G134" i="42"/>
  <c r="G150" i="42"/>
  <c r="G166" i="42"/>
  <c r="G182" i="42"/>
  <c r="G198" i="42"/>
  <c r="H89" i="42"/>
  <c r="H105" i="42"/>
  <c r="H121" i="42"/>
  <c r="H137" i="42"/>
  <c r="H153" i="42"/>
  <c r="H169" i="42"/>
  <c r="C117" i="41"/>
  <c r="E85" i="41"/>
  <c r="G64" i="9" s="1"/>
  <c r="C85" i="41"/>
  <c r="C94" i="41"/>
  <c r="D35" i="41"/>
  <c r="F34" i="41"/>
  <c r="F35" i="41" s="1"/>
  <c r="C36" i="49" l="1"/>
  <c r="Q36" i="49" s="1"/>
  <c r="Q50" i="49" s="1"/>
  <c r="Q132" i="49" s="1"/>
  <c r="C113" i="49"/>
  <c r="B13" i="45"/>
  <c r="B15" i="45"/>
  <c r="C115" i="49"/>
  <c r="L120" i="49"/>
  <c r="C28" i="46"/>
  <c r="I120" i="49"/>
  <c r="I136" i="49" s="1"/>
  <c r="K120" i="49"/>
  <c r="U120" i="49"/>
  <c r="H120" i="49"/>
  <c r="G120" i="49"/>
  <c r="W120" i="49"/>
  <c r="S120" i="49"/>
  <c r="F120" i="49"/>
  <c r="O120" i="49"/>
  <c r="O136" i="49" s="1"/>
  <c r="X120" i="49"/>
  <c r="T120" i="49"/>
  <c r="P120" i="49"/>
  <c r="R120" i="49"/>
  <c r="J32" i="44"/>
  <c r="J33" i="44" s="1"/>
  <c r="J120" i="49"/>
  <c r="V120" i="49"/>
  <c r="V136" i="49" s="1"/>
  <c r="Q120" i="49"/>
  <c r="N120" i="49"/>
  <c r="M120" i="49"/>
  <c r="J22" i="44"/>
  <c r="C91" i="49"/>
  <c r="C92" i="49" s="1"/>
  <c r="C93" i="49" s="1"/>
  <c r="C40" i="49"/>
  <c r="R36" i="49"/>
  <c r="R50" i="49" s="1"/>
  <c r="R132" i="49" s="1"/>
  <c r="L36" i="49"/>
  <c r="L50" i="49" s="1"/>
  <c r="L132" i="49" s="1"/>
  <c r="T36" i="49"/>
  <c r="T50" i="49" s="1"/>
  <c r="T132" i="49" s="1"/>
  <c r="M36" i="49"/>
  <c r="M50" i="49" s="1"/>
  <c r="M132" i="49" s="1"/>
  <c r="U36" i="49"/>
  <c r="U50" i="49" s="1"/>
  <c r="U132" i="49" s="1"/>
  <c r="J36" i="49"/>
  <c r="J50" i="49" s="1"/>
  <c r="J132" i="49" s="1"/>
  <c r="V36" i="49"/>
  <c r="V50" i="49" s="1"/>
  <c r="V132" i="49" s="1"/>
  <c r="W36" i="49"/>
  <c r="W50" i="49" s="1"/>
  <c r="W132" i="49" s="1"/>
  <c r="G36" i="49"/>
  <c r="G50" i="49" s="1"/>
  <c r="G132" i="49" s="1"/>
  <c r="H36" i="49"/>
  <c r="H50" i="49" s="1"/>
  <c r="H132" i="49" s="1"/>
  <c r="P36" i="49"/>
  <c r="P50" i="49" s="1"/>
  <c r="P132" i="49" s="1"/>
  <c r="X36" i="49"/>
  <c r="X50" i="49" s="1"/>
  <c r="X132" i="49" s="1"/>
  <c r="O36" i="49"/>
  <c r="O50" i="49" s="1"/>
  <c r="O132" i="49" s="1"/>
  <c r="I36" i="49"/>
  <c r="I50" i="49" s="1"/>
  <c r="I132" i="49" s="1"/>
  <c r="S36" i="49"/>
  <c r="S50" i="49" s="1"/>
  <c r="S132" i="49" s="1"/>
  <c r="F36" i="49"/>
  <c r="F50" i="49" s="1"/>
  <c r="F132" i="49" s="1"/>
  <c r="C48" i="46"/>
  <c r="C50" i="46" s="1"/>
  <c r="C107" i="49"/>
  <c r="C108" i="49" s="1"/>
  <c r="B26" i="45"/>
  <c r="P141" i="49"/>
  <c r="H141" i="49"/>
  <c r="M141" i="49"/>
  <c r="L141" i="49"/>
  <c r="J141" i="49"/>
  <c r="T141" i="49"/>
  <c r="U141" i="49"/>
  <c r="N141" i="49"/>
  <c r="G141" i="49"/>
  <c r="W141" i="49"/>
  <c r="O141" i="49"/>
  <c r="R141" i="49"/>
  <c r="K141" i="49"/>
  <c r="S141" i="49"/>
  <c r="F141" i="49"/>
  <c r="X141" i="49"/>
  <c r="V141" i="49"/>
  <c r="I141" i="49"/>
  <c r="C68" i="49"/>
  <c r="C97" i="49"/>
  <c r="C82" i="49" s="1"/>
  <c r="N82" i="49" s="1"/>
  <c r="N86" i="49" s="1"/>
  <c r="N87" i="49" s="1"/>
  <c r="N64" i="49"/>
  <c r="W59" i="49"/>
  <c r="V59" i="49"/>
  <c r="V56" i="49"/>
  <c r="W56" i="49"/>
  <c r="X56" i="49"/>
  <c r="X59" i="49"/>
  <c r="G62" i="9"/>
  <c r="B22" i="47"/>
  <c r="F51" i="41"/>
  <c r="F55" i="41" s="1"/>
  <c r="H13" i="42"/>
  <c r="E41" i="42" s="1"/>
  <c r="F41" i="42" s="1"/>
  <c r="G9" i="9"/>
  <c r="H11" i="42"/>
  <c r="H14" i="42" s="1"/>
  <c r="H16" i="42" s="1"/>
  <c r="E35" i="42"/>
  <c r="F35" i="42" s="1"/>
  <c r="E26" i="42"/>
  <c r="F26" i="42" s="1"/>
  <c r="E37" i="42"/>
  <c r="F37" i="42" s="1"/>
  <c r="E29" i="42"/>
  <c r="F29" i="42" s="1"/>
  <c r="E59" i="42"/>
  <c r="F59" i="42" s="1"/>
  <c r="E52" i="42"/>
  <c r="F52" i="42" s="1"/>
  <c r="C97" i="41"/>
  <c r="C98" i="41" s="1"/>
  <c r="D39" i="41"/>
  <c r="G17" i="9" s="1"/>
  <c r="C99" i="41"/>
  <c r="C103" i="41" s="1"/>
  <c r="F39" i="41"/>
  <c r="G19" i="9" s="1"/>
  <c r="D64" i="40"/>
  <c r="C144" i="49" l="1"/>
  <c r="T136" i="49"/>
  <c r="U136" i="49"/>
  <c r="X136" i="49"/>
  <c r="P136" i="49"/>
  <c r="H136" i="49"/>
  <c r="Q136" i="49"/>
  <c r="J136" i="49"/>
  <c r="S136" i="49"/>
  <c r="L136" i="49"/>
  <c r="W136" i="49"/>
  <c r="E36" i="49"/>
  <c r="E50" i="49" s="1"/>
  <c r="E132" i="49" s="1"/>
  <c r="E136" i="49" s="1"/>
  <c r="M136" i="49"/>
  <c r="F136" i="49"/>
  <c r="K36" i="49"/>
  <c r="K50" i="49" s="1"/>
  <c r="K132" i="49" s="1"/>
  <c r="K136" i="49" s="1"/>
  <c r="N36" i="49"/>
  <c r="N50" i="49" s="1"/>
  <c r="N132" i="49" s="1"/>
  <c r="N136" i="49" s="1"/>
  <c r="R136" i="49"/>
  <c r="G136" i="49"/>
  <c r="C116" i="49"/>
  <c r="B16" i="45"/>
  <c r="C114" i="49"/>
  <c r="B14" i="45"/>
  <c r="C141" i="49"/>
  <c r="C44" i="49"/>
  <c r="C71" i="49" s="1"/>
  <c r="H72" i="49" s="1"/>
  <c r="C42" i="49"/>
  <c r="C81" i="49"/>
  <c r="L81" i="49" s="1"/>
  <c r="V121" i="49"/>
  <c r="V123" i="49" s="1"/>
  <c r="H121" i="49"/>
  <c r="H123" i="49" s="1"/>
  <c r="I121" i="49"/>
  <c r="R121" i="49"/>
  <c r="R123" i="49" s="1"/>
  <c r="O121" i="49"/>
  <c r="O123" i="49" s="1"/>
  <c r="J121" i="49"/>
  <c r="Q121" i="49"/>
  <c r="G121" i="49"/>
  <c r="T121" i="49"/>
  <c r="T123" i="49" s="1"/>
  <c r="F121" i="49"/>
  <c r="F123" i="49" s="1"/>
  <c r="S121" i="49"/>
  <c r="W121" i="49"/>
  <c r="W123" i="49" s="1"/>
  <c r="L121" i="49"/>
  <c r="L123" i="49" s="1"/>
  <c r="X121" i="49"/>
  <c r="U121" i="49"/>
  <c r="P121" i="49"/>
  <c r="M121" i="49"/>
  <c r="M123" i="49" s="1"/>
  <c r="B27" i="45"/>
  <c r="B20" i="45"/>
  <c r="B21" i="45" s="1"/>
  <c r="C146" i="49"/>
  <c r="C149" i="49" s="1"/>
  <c r="P82" i="49"/>
  <c r="X82" i="49"/>
  <c r="O82" i="49"/>
  <c r="N83" i="49"/>
  <c r="U82" i="49"/>
  <c r="Q82" i="49"/>
  <c r="W82" i="49"/>
  <c r="V82" i="49"/>
  <c r="R82" i="49"/>
  <c r="S82" i="49"/>
  <c r="T82" i="49"/>
  <c r="N98" i="49"/>
  <c r="N99" i="49" s="1"/>
  <c r="X65" i="49"/>
  <c r="C65" i="49" s="1"/>
  <c r="C64" i="49"/>
  <c r="B6" i="47"/>
  <c r="B23" i="47" s="1"/>
  <c r="E23" i="42"/>
  <c r="F23" i="42" s="1"/>
  <c r="E55" i="42"/>
  <c r="F55" i="42" s="1"/>
  <c r="E61" i="42"/>
  <c r="F61" i="42" s="1"/>
  <c r="E32" i="42"/>
  <c r="F32" i="42" s="1"/>
  <c r="E30" i="42"/>
  <c r="F30" i="42" s="1"/>
  <c r="E24" i="42"/>
  <c r="F24" i="42" s="1"/>
  <c r="E51" i="42"/>
  <c r="F51" i="42" s="1"/>
  <c r="E31" i="42"/>
  <c r="F31" i="42" s="1"/>
  <c r="E25" i="42"/>
  <c r="F25" i="42" s="1"/>
  <c r="E47" i="42"/>
  <c r="F47" i="42" s="1"/>
  <c r="E62" i="42"/>
  <c r="F62" i="42" s="1"/>
  <c r="E63" i="42"/>
  <c r="F63" i="42" s="1"/>
  <c r="E36" i="42"/>
  <c r="F36" i="42" s="1"/>
  <c r="E33" i="42"/>
  <c r="F33" i="42" s="1"/>
  <c r="E58" i="42"/>
  <c r="F58" i="42" s="1"/>
  <c r="E42" i="42"/>
  <c r="F42" i="42" s="1"/>
  <c r="E28" i="42"/>
  <c r="F28" i="42" s="1"/>
  <c r="E20" i="42"/>
  <c r="F20" i="42" s="1"/>
  <c r="E46" i="42"/>
  <c r="F46" i="42" s="1"/>
  <c r="E57" i="42"/>
  <c r="F57" i="42" s="1"/>
  <c r="E43" i="42"/>
  <c r="F43" i="42" s="1"/>
  <c r="E50" i="42"/>
  <c r="F50" i="42" s="1"/>
  <c r="E53" i="42"/>
  <c r="F53" i="42" s="1"/>
  <c r="E54" i="42"/>
  <c r="F54" i="42" s="1"/>
  <c r="E44" i="42"/>
  <c r="F44" i="42" s="1"/>
  <c r="E40" i="42"/>
  <c r="F40" i="42" s="1"/>
  <c r="E49" i="42"/>
  <c r="F49" i="42" s="1"/>
  <c r="E39" i="42"/>
  <c r="F39" i="42" s="1"/>
  <c r="E60" i="42"/>
  <c r="F60" i="42" s="1"/>
  <c r="E27" i="42"/>
  <c r="F27" i="42" s="1"/>
  <c r="E56" i="42"/>
  <c r="F56" i="42" s="1"/>
  <c r="E100" i="41"/>
  <c r="F84" i="42"/>
  <c r="F165" i="42"/>
  <c r="F197" i="42"/>
  <c r="F76" i="42"/>
  <c r="F189" i="42"/>
  <c r="F128" i="42"/>
  <c r="F129" i="42"/>
  <c r="F77" i="42"/>
  <c r="F162" i="42"/>
  <c r="F195" i="42"/>
  <c r="F91" i="42"/>
  <c r="F140" i="42"/>
  <c r="F105" i="42"/>
  <c r="F144" i="42"/>
  <c r="F145" i="42"/>
  <c r="F126" i="42"/>
  <c r="F178" i="42"/>
  <c r="F127" i="42"/>
  <c r="F161" i="42"/>
  <c r="F159" i="42"/>
  <c r="F177" i="42"/>
  <c r="F143" i="42"/>
  <c r="F149" i="42"/>
  <c r="F106" i="42"/>
  <c r="F136" i="42"/>
  <c r="F150" i="42"/>
  <c r="F181" i="42"/>
  <c r="F171" i="42"/>
  <c r="F124" i="42"/>
  <c r="F133" i="42"/>
  <c r="F78" i="42"/>
  <c r="F192" i="42"/>
  <c r="F180" i="42"/>
  <c r="F108" i="42"/>
  <c r="F103" i="42"/>
  <c r="F198" i="42"/>
  <c r="F135" i="42"/>
  <c r="F92" i="42"/>
  <c r="F153" i="42"/>
  <c r="F158" i="42"/>
  <c r="F115" i="42"/>
  <c r="F101" i="42"/>
  <c r="F176" i="42"/>
  <c r="F184" i="42"/>
  <c r="F93" i="42"/>
  <c r="F120" i="42"/>
  <c r="F173" i="42"/>
  <c r="F90" i="42"/>
  <c r="F166" i="42"/>
  <c r="F172" i="42"/>
  <c r="F139" i="42"/>
  <c r="F188" i="42"/>
  <c r="F111" i="42"/>
  <c r="F175" i="42"/>
  <c r="F86" i="42"/>
  <c r="F170" i="42"/>
  <c r="F155" i="42"/>
  <c r="F88" i="42"/>
  <c r="F112" i="42"/>
  <c r="F187" i="42"/>
  <c r="F174" i="42"/>
  <c r="F104" i="42"/>
  <c r="F141" i="42"/>
  <c r="F83" i="42"/>
  <c r="F151" i="42"/>
  <c r="F134" i="42"/>
  <c r="F117" i="42"/>
  <c r="F85" i="42"/>
  <c r="F116" i="42"/>
  <c r="F122" i="42"/>
  <c r="F107" i="42"/>
  <c r="F156" i="42"/>
  <c r="F185" i="42"/>
  <c r="F194" i="42"/>
  <c r="F138" i="42"/>
  <c r="F123" i="42"/>
  <c r="F125" i="42"/>
  <c r="F154" i="42"/>
  <c r="F193" i="42"/>
  <c r="F132" i="42"/>
  <c r="F186" i="42"/>
  <c r="F119" i="42"/>
  <c r="F87" i="42"/>
  <c r="F183" i="42"/>
  <c r="F148" i="42"/>
  <c r="F121" i="42"/>
  <c r="F96" i="42"/>
  <c r="F100" i="42"/>
  <c r="F79" i="42"/>
  <c r="F160" i="42"/>
  <c r="F191" i="42"/>
  <c r="F99" i="42"/>
  <c r="F168" i="42"/>
  <c r="F152" i="42"/>
  <c r="F190" i="42"/>
  <c r="F131" i="42"/>
  <c r="F137" i="42"/>
  <c r="F147" i="42"/>
  <c r="F102" i="42"/>
  <c r="F94" i="42"/>
  <c r="F98" i="42"/>
  <c r="F81" i="42"/>
  <c r="F130" i="42"/>
  <c r="F169" i="42"/>
  <c r="F182" i="42"/>
  <c r="F118" i="42"/>
  <c r="F163" i="42"/>
  <c r="F179" i="42"/>
  <c r="F167" i="42"/>
  <c r="F200" i="42"/>
  <c r="F114" i="42"/>
  <c r="F157" i="42"/>
  <c r="F80" i="42"/>
  <c r="F199" i="42"/>
  <c r="F89" i="42"/>
  <c r="F164" i="42"/>
  <c r="F146" i="42"/>
  <c r="F142" i="42"/>
  <c r="F196" i="42"/>
  <c r="F109" i="42"/>
  <c r="F110" i="42"/>
  <c r="F82" i="42"/>
  <c r="F113" i="42"/>
  <c r="F97" i="42"/>
  <c r="F95" i="42"/>
  <c r="E48" i="42"/>
  <c r="F48" i="42" s="1"/>
  <c r="E21" i="42"/>
  <c r="F21" i="42" s="1"/>
  <c r="E45" i="42"/>
  <c r="F45" i="42" s="1"/>
  <c r="E22" i="42"/>
  <c r="F22" i="42" s="1"/>
  <c r="E38" i="42"/>
  <c r="F38" i="42" s="1"/>
  <c r="E34" i="42"/>
  <c r="F34" i="42" s="1"/>
  <c r="I200" i="42"/>
  <c r="I184" i="42"/>
  <c r="I168" i="42"/>
  <c r="I152" i="42"/>
  <c r="I136" i="42"/>
  <c r="I120" i="42"/>
  <c r="I104" i="42"/>
  <c r="I88" i="42"/>
  <c r="I117" i="42"/>
  <c r="I158" i="42"/>
  <c r="I109" i="42"/>
  <c r="I188" i="42"/>
  <c r="I169" i="42"/>
  <c r="I199" i="42"/>
  <c r="I183" i="42"/>
  <c r="I167" i="42"/>
  <c r="I151" i="42"/>
  <c r="I135" i="42"/>
  <c r="I119" i="42"/>
  <c r="I103" i="42"/>
  <c r="I87" i="42"/>
  <c r="I133" i="42"/>
  <c r="I174" i="42"/>
  <c r="I93" i="42"/>
  <c r="I172" i="42"/>
  <c r="I76" i="42"/>
  <c r="I187" i="42"/>
  <c r="I186" i="42"/>
  <c r="I153" i="42"/>
  <c r="I198" i="42"/>
  <c r="I182" i="42"/>
  <c r="I166" i="42"/>
  <c r="I150" i="42"/>
  <c r="I134" i="42"/>
  <c r="I118" i="42"/>
  <c r="I102" i="42"/>
  <c r="I86" i="42"/>
  <c r="I181" i="42"/>
  <c r="I165" i="42"/>
  <c r="I101" i="42"/>
  <c r="I85" i="42"/>
  <c r="I92" i="42"/>
  <c r="I138" i="42"/>
  <c r="I185" i="42"/>
  <c r="I197" i="42"/>
  <c r="I149" i="42"/>
  <c r="I110" i="42"/>
  <c r="I189" i="42"/>
  <c r="I108" i="42"/>
  <c r="I107" i="42"/>
  <c r="I154" i="42"/>
  <c r="I196" i="42"/>
  <c r="I180" i="42"/>
  <c r="I164" i="42"/>
  <c r="I148" i="42"/>
  <c r="I132" i="42"/>
  <c r="I116" i="42"/>
  <c r="I100" i="42"/>
  <c r="I84" i="42"/>
  <c r="I126" i="42"/>
  <c r="I141" i="42"/>
  <c r="I171" i="42"/>
  <c r="I122" i="42"/>
  <c r="I195" i="42"/>
  <c r="I179" i="42"/>
  <c r="I163" i="42"/>
  <c r="I147" i="42"/>
  <c r="I131" i="42"/>
  <c r="I115" i="42"/>
  <c r="I99" i="42"/>
  <c r="I83" i="42"/>
  <c r="I190" i="42"/>
  <c r="I125" i="42"/>
  <c r="I156" i="42"/>
  <c r="I155" i="42"/>
  <c r="I106" i="42"/>
  <c r="I89" i="42"/>
  <c r="I194" i="42"/>
  <c r="I178" i="42"/>
  <c r="I162" i="42"/>
  <c r="I146" i="42"/>
  <c r="I130" i="42"/>
  <c r="I114" i="42"/>
  <c r="I98" i="42"/>
  <c r="I82" i="42"/>
  <c r="I142" i="42"/>
  <c r="I157" i="42"/>
  <c r="I124" i="42"/>
  <c r="I139" i="42"/>
  <c r="I121" i="42"/>
  <c r="I193" i="42"/>
  <c r="I177" i="42"/>
  <c r="I161" i="42"/>
  <c r="I145" i="42"/>
  <c r="I129" i="42"/>
  <c r="I113" i="42"/>
  <c r="I97" i="42"/>
  <c r="I81" i="42"/>
  <c r="I78" i="42"/>
  <c r="I91" i="42"/>
  <c r="I90" i="42"/>
  <c r="I137" i="42"/>
  <c r="I192" i="42"/>
  <c r="I176" i="42"/>
  <c r="I160" i="42"/>
  <c r="I144" i="42"/>
  <c r="I128" i="42"/>
  <c r="I112" i="42"/>
  <c r="I96" i="42"/>
  <c r="I80" i="42"/>
  <c r="I94" i="42"/>
  <c r="I173" i="42"/>
  <c r="I140" i="42"/>
  <c r="I123" i="42"/>
  <c r="I170" i="42"/>
  <c r="I105" i="42"/>
  <c r="I191" i="42"/>
  <c r="I175" i="42"/>
  <c r="I159" i="42"/>
  <c r="I143" i="42"/>
  <c r="I127" i="42"/>
  <c r="I111" i="42"/>
  <c r="I95" i="42"/>
  <c r="I79" i="42"/>
  <c r="I77" i="42"/>
  <c r="B68" i="42" s="1"/>
  <c r="E101" i="41"/>
  <c r="C104" i="41"/>
  <c r="G45" i="9" s="1"/>
  <c r="E104" i="41"/>
  <c r="G47" i="9" s="1"/>
  <c r="E22" i="26"/>
  <c r="D9" i="29"/>
  <c r="D21" i="29"/>
  <c r="E25" i="29"/>
  <c r="E21" i="29" s="1"/>
  <c r="D53" i="40"/>
  <c r="D52" i="40"/>
  <c r="D51" i="40"/>
  <c r="D50" i="40"/>
  <c r="D49" i="40"/>
  <c r="D48" i="40"/>
  <c r="D47" i="40"/>
  <c r="D46" i="40"/>
  <c r="D45" i="40"/>
  <c r="D12" i="40"/>
  <c r="D8" i="40" s="1"/>
  <c r="D39" i="26" s="1"/>
  <c r="D43" i="26" s="1"/>
  <c r="E55" i="29"/>
  <c r="E52" i="29"/>
  <c r="D50" i="29"/>
  <c r="N23" i="37"/>
  <c r="N22" i="31"/>
  <c r="E23" i="37"/>
  <c r="F23" i="37" s="1"/>
  <c r="E22" i="31"/>
  <c r="F22" i="31" s="1"/>
  <c r="C136" i="49" l="1"/>
  <c r="X123" i="49"/>
  <c r="S123" i="49"/>
  <c r="I123" i="49"/>
  <c r="I124" i="49" s="1"/>
  <c r="P123" i="49"/>
  <c r="P124" i="49" s="1"/>
  <c r="G123" i="49"/>
  <c r="G124" i="49" s="1"/>
  <c r="U123" i="49"/>
  <c r="U124" i="49" s="1"/>
  <c r="Q123" i="49"/>
  <c r="Q124" i="49" s="1"/>
  <c r="X72" i="49"/>
  <c r="L72" i="49"/>
  <c r="V72" i="49"/>
  <c r="J72" i="49"/>
  <c r="N72" i="49"/>
  <c r="E121" i="49"/>
  <c r="E123" i="49" s="1"/>
  <c r="E124" i="49" s="1"/>
  <c r="J123" i="49"/>
  <c r="J124" i="49" s="1"/>
  <c r="R72" i="49"/>
  <c r="S72" i="49"/>
  <c r="W72" i="49"/>
  <c r="G72" i="49"/>
  <c r="K121" i="49"/>
  <c r="K123" i="49" s="1"/>
  <c r="K124" i="49" s="1"/>
  <c r="F72" i="49"/>
  <c r="Q72" i="49"/>
  <c r="T72" i="49"/>
  <c r="I72" i="49"/>
  <c r="P72" i="49"/>
  <c r="E72" i="49"/>
  <c r="N121" i="49"/>
  <c r="N123" i="49" s="1"/>
  <c r="N124" i="49" s="1"/>
  <c r="U72" i="49"/>
  <c r="M72" i="49"/>
  <c r="O72" i="49"/>
  <c r="K72" i="49"/>
  <c r="K81" i="49"/>
  <c r="K83" i="49" s="1"/>
  <c r="E81" i="49"/>
  <c r="I81" i="49"/>
  <c r="I85" i="49" s="1"/>
  <c r="I87" i="49" s="1"/>
  <c r="H81" i="49"/>
  <c r="H83" i="49" s="1"/>
  <c r="M81" i="49"/>
  <c r="M85" i="49" s="1"/>
  <c r="M87" i="49" s="1"/>
  <c r="F81" i="49"/>
  <c r="F83" i="49" s="1"/>
  <c r="G81" i="49"/>
  <c r="G83" i="49" s="1"/>
  <c r="J81" i="49"/>
  <c r="J85" i="49" s="1"/>
  <c r="J87" i="49" s="1"/>
  <c r="B22" i="45"/>
  <c r="B24" i="45" s="1"/>
  <c r="C39" i="46" s="1"/>
  <c r="L83" i="49"/>
  <c r="L85" i="49"/>
  <c r="L87" i="49" s="1"/>
  <c r="E83" i="49"/>
  <c r="E85" i="49"/>
  <c r="E87" i="49" s="1"/>
  <c r="W83" i="49"/>
  <c r="W86" i="49"/>
  <c r="W87" i="49" s="1"/>
  <c r="U83" i="49"/>
  <c r="U86" i="49"/>
  <c r="U87" i="49" s="1"/>
  <c r="T83" i="49"/>
  <c r="T86" i="49"/>
  <c r="T87" i="49" s="1"/>
  <c r="S83" i="49"/>
  <c r="S86" i="49"/>
  <c r="S87" i="49" s="1"/>
  <c r="X83" i="49"/>
  <c r="X86" i="49"/>
  <c r="X87" i="49" s="1"/>
  <c r="Q83" i="49"/>
  <c r="Q86" i="49"/>
  <c r="Q87" i="49" s="1"/>
  <c r="R83" i="49"/>
  <c r="R86" i="49"/>
  <c r="R87" i="49" s="1"/>
  <c r="P83" i="49"/>
  <c r="P86" i="49"/>
  <c r="P87" i="49" s="1"/>
  <c r="O83" i="49"/>
  <c r="O86" i="49"/>
  <c r="O87" i="49" s="1"/>
  <c r="V83" i="49"/>
  <c r="V86" i="49"/>
  <c r="V87" i="49" s="1"/>
  <c r="B20" i="47"/>
  <c r="B21" i="47"/>
  <c r="L124" i="49"/>
  <c r="V124" i="49"/>
  <c r="X124" i="49"/>
  <c r="O124" i="49"/>
  <c r="M124" i="49"/>
  <c r="W124" i="49"/>
  <c r="S124" i="49"/>
  <c r="R124" i="49"/>
  <c r="F124" i="49"/>
  <c r="H124" i="49"/>
  <c r="T124" i="49"/>
  <c r="C98" i="49"/>
  <c r="C99" i="49"/>
  <c r="C100" i="49" s="1"/>
  <c r="C67" i="49"/>
  <c r="B17" i="47"/>
  <c r="B16" i="9"/>
  <c r="K18" i="44"/>
  <c r="D7" i="29"/>
  <c r="D41" i="40"/>
  <c r="D54" i="40"/>
  <c r="D28" i="40"/>
  <c r="E30" i="29"/>
  <c r="D11" i="40"/>
  <c r="D44" i="26"/>
  <c r="D65" i="28"/>
  <c r="C28" i="28"/>
  <c r="K3" i="27"/>
  <c r="D48" i="31"/>
  <c r="D59" i="31" s="1"/>
  <c r="D69" i="31" s="1"/>
  <c r="D79" i="31" s="1"/>
  <c r="E53" i="31"/>
  <c r="E64" i="31" s="1"/>
  <c r="E74" i="31" s="1"/>
  <c r="E50" i="31"/>
  <c r="F50" i="31" s="1"/>
  <c r="F61" i="31" s="1"/>
  <c r="F71" i="31" s="1"/>
  <c r="F81" i="31" s="1"/>
  <c r="E53" i="37"/>
  <c r="E64" i="37" s="1"/>
  <c r="E74" i="37" s="1"/>
  <c r="E50" i="37"/>
  <c r="E61" i="37" s="1"/>
  <c r="E71" i="37" s="1"/>
  <c r="E81" i="37" s="1"/>
  <c r="D29" i="38"/>
  <c r="E29" i="38" s="1"/>
  <c r="D28" i="38"/>
  <c r="E28" i="38" s="1"/>
  <c r="D27" i="38"/>
  <c r="E27" i="38" s="1"/>
  <c r="D26" i="38"/>
  <c r="E26" i="38" s="1"/>
  <c r="D25" i="38"/>
  <c r="E25" i="38" s="1"/>
  <c r="D24" i="38"/>
  <c r="E24" i="38" s="1"/>
  <c r="D23" i="38"/>
  <c r="E23" i="38" s="1"/>
  <c r="D22" i="38"/>
  <c r="E22" i="38" s="1"/>
  <c r="D21" i="38"/>
  <c r="E21" i="38" s="1"/>
  <c r="D20" i="38"/>
  <c r="E20" i="38" s="1"/>
  <c r="D19" i="38"/>
  <c r="E19" i="38" s="1"/>
  <c r="D18" i="38"/>
  <c r="E18" i="38" s="1"/>
  <c r="D17" i="38"/>
  <c r="E17" i="38" s="1"/>
  <c r="D16" i="38"/>
  <c r="E16" i="38" s="1"/>
  <c r="D15" i="38"/>
  <c r="E15" i="38" s="1"/>
  <c r="D14" i="38"/>
  <c r="E14" i="38" s="1"/>
  <c r="D13" i="38"/>
  <c r="E13" i="38" s="1"/>
  <c r="D12" i="38"/>
  <c r="E12" i="38" s="1"/>
  <c r="D11" i="38"/>
  <c r="E11" i="38" s="1"/>
  <c r="D10" i="38"/>
  <c r="E10" i="38" s="1"/>
  <c r="D9" i="38"/>
  <c r="E9" i="38" s="1"/>
  <c r="D8" i="38"/>
  <c r="E8" i="38" s="1"/>
  <c r="D7" i="38"/>
  <c r="E7" i="38" s="1"/>
  <c r="D6" i="38"/>
  <c r="E6" i="38" s="1"/>
  <c r="D5" i="38"/>
  <c r="E5" i="38" s="1"/>
  <c r="D4" i="38"/>
  <c r="E4" i="38" s="1"/>
  <c r="D3" i="38"/>
  <c r="E3" i="38" s="1"/>
  <c r="D2" i="38"/>
  <c r="E2" i="38" s="1"/>
  <c r="D18" i="37"/>
  <c r="E18" i="37"/>
  <c r="D16" i="37"/>
  <c r="D110" i="37"/>
  <c r="D113" i="37" s="1"/>
  <c r="D59" i="37"/>
  <c r="D69" i="37" s="1"/>
  <c r="D79" i="37" s="1"/>
  <c r="D9" i="37"/>
  <c r="E1" i="37"/>
  <c r="E2" i="39" s="1"/>
  <c r="D113" i="31"/>
  <c r="D116" i="31" s="1"/>
  <c r="D17" i="31"/>
  <c r="D15" i="31"/>
  <c r="D9" i="31"/>
  <c r="E1" i="31"/>
  <c r="O25" i="29"/>
  <c r="P25" i="29" s="1"/>
  <c r="Q25" i="29" s="1"/>
  <c r="R25" i="29" s="1"/>
  <c r="S25" i="29" s="1"/>
  <c r="T25" i="29" s="1"/>
  <c r="U25" i="29" s="1"/>
  <c r="V25" i="29" s="1"/>
  <c r="W25" i="29" s="1"/>
  <c r="X25" i="29" s="1"/>
  <c r="X21" i="29" s="1"/>
  <c r="X30" i="29" s="1"/>
  <c r="F25" i="29"/>
  <c r="F21" i="29" s="1"/>
  <c r="F30" i="29" s="1"/>
  <c r="E16" i="26"/>
  <c r="E18" i="26" s="1"/>
  <c r="D112" i="29"/>
  <c r="D115" i="29" s="1"/>
  <c r="E66" i="29"/>
  <c r="E76" i="29" s="1"/>
  <c r="E63" i="29"/>
  <c r="E73" i="29" s="1"/>
  <c r="E83" i="29" s="1"/>
  <c r="D61" i="29"/>
  <c r="D71" i="29" s="1"/>
  <c r="D81" i="29" s="1"/>
  <c r="F55" i="29"/>
  <c r="F52" i="29"/>
  <c r="F63" i="29" s="1"/>
  <c r="F73" i="29" s="1"/>
  <c r="F83" i="29" s="1"/>
  <c r="B38" i="29"/>
  <c r="E44" i="29" s="1"/>
  <c r="D15" i="29"/>
  <c r="E1" i="29"/>
  <c r="AD46" i="28"/>
  <c r="AC46" i="28"/>
  <c r="AB46" i="28"/>
  <c r="AA46" i="28"/>
  <c r="Z46" i="28"/>
  <c r="X40" i="28"/>
  <c r="W40" i="28"/>
  <c r="V40" i="28"/>
  <c r="U40" i="28"/>
  <c r="T40" i="28"/>
  <c r="S40" i="28"/>
  <c r="R40" i="28"/>
  <c r="Q40" i="28"/>
  <c r="P40" i="28"/>
  <c r="O40" i="28"/>
  <c r="N40" i="28"/>
  <c r="M40" i="28"/>
  <c r="L40" i="28"/>
  <c r="K40" i="28"/>
  <c r="J40" i="28"/>
  <c r="I40" i="28"/>
  <c r="H40" i="28"/>
  <c r="G40" i="28"/>
  <c r="F40" i="28"/>
  <c r="E40" i="28"/>
  <c r="Z39" i="28"/>
  <c r="E36" i="28"/>
  <c r="E37" i="28" s="1"/>
  <c r="C32" i="28"/>
  <c r="C29" i="28"/>
  <c r="D27" i="29" s="1"/>
  <c r="C15" i="28"/>
  <c r="F2" i="28"/>
  <c r="K24" i="27"/>
  <c r="AA16" i="27"/>
  <c r="V16" i="27"/>
  <c r="Q16" i="27"/>
  <c r="R16" i="27" s="1"/>
  <c r="S16" i="27" s="1"/>
  <c r="L16" i="27"/>
  <c r="M16" i="27" s="1"/>
  <c r="M2" i="27"/>
  <c r="N2" i="27" s="1"/>
  <c r="O2" i="27" s="1"/>
  <c r="P2" i="27" s="1"/>
  <c r="Q2" i="27" s="1"/>
  <c r="R2" i="27" s="1"/>
  <c r="S2" i="27" s="1"/>
  <c r="T2" i="27" s="1"/>
  <c r="U2" i="27" s="1"/>
  <c r="V2" i="27" s="1"/>
  <c r="W2" i="27" s="1"/>
  <c r="X2" i="27" s="1"/>
  <c r="Y2" i="27" s="1"/>
  <c r="Z2" i="27" s="1"/>
  <c r="AA2" i="27" s="1"/>
  <c r="AB2" i="27" s="1"/>
  <c r="AC2" i="27" s="1"/>
  <c r="AD2" i="27" s="1"/>
  <c r="AE2" i="27" s="1"/>
  <c r="E12" i="26"/>
  <c r="F10" i="26"/>
  <c r="G10" i="26" s="1"/>
  <c r="H10" i="26" s="1"/>
  <c r="I10" i="26" s="1"/>
  <c r="J10" i="26" s="1"/>
  <c r="K10" i="26" s="1"/>
  <c r="L10" i="26" s="1"/>
  <c r="M10" i="26" s="1"/>
  <c r="N10" i="26" s="1"/>
  <c r="O10" i="26" s="1"/>
  <c r="P10" i="26" s="1"/>
  <c r="Q10" i="26" s="1"/>
  <c r="R10" i="26" s="1"/>
  <c r="S10" i="26" s="1"/>
  <c r="T10" i="26" s="1"/>
  <c r="U10" i="26" s="1"/>
  <c r="V10" i="26" s="1"/>
  <c r="W10" i="26" s="1"/>
  <c r="X10" i="26" s="1"/>
  <c r="Y10" i="26" s="1"/>
  <c r="Z10" i="26" s="1"/>
  <c r="AA10" i="26" s="1"/>
  <c r="AB10" i="26" s="1"/>
  <c r="AC10" i="26" s="1"/>
  <c r="AD10" i="26" s="1"/>
  <c r="AE10" i="26" s="1"/>
  <c r="AF10" i="26" s="1"/>
  <c r="AG10" i="26" s="1"/>
  <c r="AH10" i="26" s="1"/>
  <c r="F2" i="26"/>
  <c r="F12" i="26" s="1"/>
  <c r="K85" i="49" l="1"/>
  <c r="K87" i="49" s="1"/>
  <c r="C72" i="49"/>
  <c r="G85" i="49"/>
  <c r="G87" i="49" s="1"/>
  <c r="H85" i="49"/>
  <c r="H87" i="49" s="1"/>
  <c r="C120" i="49"/>
  <c r="I83" i="49"/>
  <c r="F85" i="49"/>
  <c r="F87" i="49" s="1"/>
  <c r="C87" i="49" s="1"/>
  <c r="C103" i="49" s="1"/>
  <c r="C147" i="49" s="1"/>
  <c r="J83" i="49"/>
  <c r="M83" i="49"/>
  <c r="C124" i="49"/>
  <c r="C74" i="49"/>
  <c r="B15" i="47"/>
  <c r="B14" i="47"/>
  <c r="C31" i="49"/>
  <c r="C21" i="46"/>
  <c r="G50" i="9"/>
  <c r="D12" i="37"/>
  <c r="D61" i="28"/>
  <c r="D62" i="28" s="1"/>
  <c r="D59" i="28" s="1"/>
  <c r="D58" i="28" s="1"/>
  <c r="D70" i="40"/>
  <c r="F1" i="31"/>
  <c r="E11" i="39"/>
  <c r="D138" i="37"/>
  <c r="D136" i="31"/>
  <c r="D141" i="29"/>
  <c r="D12" i="31"/>
  <c r="D132" i="31" s="1"/>
  <c r="D12" i="29"/>
  <c r="D133" i="29"/>
  <c r="D135" i="29" s="1"/>
  <c r="D128" i="31"/>
  <c r="D130" i="37"/>
  <c r="D132" i="37" s="1"/>
  <c r="K4" i="27"/>
  <c r="D7" i="31"/>
  <c r="E7" i="31" s="1"/>
  <c r="F53" i="31"/>
  <c r="D7" i="37"/>
  <c r="E7" i="37" s="1"/>
  <c r="D134" i="37"/>
  <c r="E22" i="39"/>
  <c r="E123" i="29"/>
  <c r="E19" i="26"/>
  <c r="E8" i="26"/>
  <c r="E9" i="26" s="1"/>
  <c r="E11" i="26" s="1"/>
  <c r="E27" i="26"/>
  <c r="E31" i="26" s="1"/>
  <c r="AH27" i="26"/>
  <c r="Z27" i="26"/>
  <c r="Z31" i="26" s="1"/>
  <c r="R27" i="26"/>
  <c r="R31" i="26" s="1"/>
  <c r="J27" i="26"/>
  <c r="AG27" i="26"/>
  <c r="Y27" i="26"/>
  <c r="Q27" i="26"/>
  <c r="I27" i="26"/>
  <c r="AF27" i="26"/>
  <c r="AF31" i="26" s="1"/>
  <c r="X27" i="26"/>
  <c r="X31" i="26" s="1"/>
  <c r="P27" i="26"/>
  <c r="H27" i="26"/>
  <c r="W27" i="26"/>
  <c r="AE27" i="26"/>
  <c r="O27" i="26"/>
  <c r="G27" i="26"/>
  <c r="G31" i="26" s="1"/>
  <c r="AD27" i="26"/>
  <c r="AD31" i="26" s="1"/>
  <c r="V27" i="26"/>
  <c r="V31" i="26" s="1"/>
  <c r="N27" i="26"/>
  <c r="N31" i="26" s="1"/>
  <c r="F27" i="26"/>
  <c r="AC27" i="26"/>
  <c r="U27" i="26"/>
  <c r="M27" i="26"/>
  <c r="AB27" i="26"/>
  <c r="AB31" i="26" s="1"/>
  <c r="T27" i="26"/>
  <c r="T31" i="26" s="1"/>
  <c r="L27" i="26"/>
  <c r="AA27" i="26"/>
  <c r="S27" i="26"/>
  <c r="S31" i="26" s="1"/>
  <c r="K27" i="26"/>
  <c r="D126" i="37"/>
  <c r="D128" i="37" s="1"/>
  <c r="D124" i="31"/>
  <c r="F37" i="28"/>
  <c r="Z37" i="28" s="1"/>
  <c r="E39" i="28"/>
  <c r="Z40" i="28" s="1"/>
  <c r="F16" i="26"/>
  <c r="D24" i="31"/>
  <c r="D130" i="31"/>
  <c r="D25" i="37"/>
  <c r="G25" i="29"/>
  <c r="O21" i="29"/>
  <c r="O30" i="29" s="1"/>
  <c r="P21" i="29"/>
  <c r="P30" i="29" s="1"/>
  <c r="U21" i="29"/>
  <c r="U30" i="29" s="1"/>
  <c r="R21" i="29"/>
  <c r="R30" i="29" s="1"/>
  <c r="S21" i="29"/>
  <c r="S30" i="29" s="1"/>
  <c r="W21" i="29"/>
  <c r="W30" i="29" s="1"/>
  <c r="V21" i="29"/>
  <c r="V30" i="29" s="1"/>
  <c r="T21" i="29"/>
  <c r="T30" i="29" s="1"/>
  <c r="Q21" i="29"/>
  <c r="Q30" i="29" s="1"/>
  <c r="B36" i="37"/>
  <c r="D37" i="37" s="1"/>
  <c r="F53" i="37"/>
  <c r="F64" i="37" s="1"/>
  <c r="F74" i="37" s="1"/>
  <c r="F84" i="37" s="1"/>
  <c r="F50" i="37"/>
  <c r="F61" i="37" s="1"/>
  <c r="F71" i="37" s="1"/>
  <c r="F81" i="37" s="1"/>
  <c r="B36" i="31"/>
  <c r="F42" i="31" s="1"/>
  <c r="E61" i="31"/>
  <c r="E71" i="31" s="1"/>
  <c r="E81" i="31" s="1"/>
  <c r="E84" i="37"/>
  <c r="G23" i="37"/>
  <c r="H23" i="37" s="1"/>
  <c r="I23" i="37" s="1"/>
  <c r="J23" i="37" s="1"/>
  <c r="K23" i="37" s="1"/>
  <c r="L23" i="37" s="1"/>
  <c r="M23" i="37" s="1"/>
  <c r="F1" i="37"/>
  <c r="F2" i="39" s="1"/>
  <c r="G50" i="31"/>
  <c r="G61" i="31" s="1"/>
  <c r="G71" i="31" s="1"/>
  <c r="G81" i="31" s="1"/>
  <c r="E84" i="31"/>
  <c r="G53" i="31"/>
  <c r="F64" i="31"/>
  <c r="F74" i="31" s="1"/>
  <c r="F41" i="29"/>
  <c r="D39" i="29"/>
  <c r="E7" i="29"/>
  <c r="F22" i="26"/>
  <c r="F24" i="26" s="1"/>
  <c r="G2" i="26"/>
  <c r="N16" i="27"/>
  <c r="F36" i="28"/>
  <c r="G36" i="28" s="1"/>
  <c r="H36" i="28" s="1"/>
  <c r="I36" i="28" s="1"/>
  <c r="J36" i="28" s="1"/>
  <c r="K36" i="28" s="1"/>
  <c r="L36" i="28" s="1"/>
  <c r="M36" i="28" s="1"/>
  <c r="N36" i="28" s="1"/>
  <c r="O36" i="28" s="1"/>
  <c r="P36" i="28" s="1"/>
  <c r="Q36" i="28" s="1"/>
  <c r="R36" i="28" s="1"/>
  <c r="S36" i="28" s="1"/>
  <c r="T36" i="28" s="1"/>
  <c r="U36" i="28" s="1"/>
  <c r="V36" i="28" s="1"/>
  <c r="W36" i="28" s="1"/>
  <c r="X36" i="28" s="1"/>
  <c r="G2" i="28"/>
  <c r="W16" i="27"/>
  <c r="AB16" i="27"/>
  <c r="F1" i="29"/>
  <c r="F22" i="39" s="1"/>
  <c r="T16" i="27"/>
  <c r="E86" i="29"/>
  <c r="G52" i="29"/>
  <c r="F66" i="29"/>
  <c r="F76" i="29" s="1"/>
  <c r="G55" i="29"/>
  <c r="F44" i="29"/>
  <c r="E41" i="29"/>
  <c r="C83" i="49" l="1"/>
  <c r="C102" i="49" s="1"/>
  <c r="C75" i="49"/>
  <c r="R126" i="49"/>
  <c r="R128" i="49" s="1"/>
  <c r="Q126" i="49"/>
  <c r="Q128" i="49" s="1"/>
  <c r="J126" i="49"/>
  <c r="J128" i="49" s="1"/>
  <c r="X126" i="49"/>
  <c r="X128" i="49" s="1"/>
  <c r="P126" i="49"/>
  <c r="P128" i="49" s="1"/>
  <c r="V126" i="49"/>
  <c r="V128" i="49" s="1"/>
  <c r="H126" i="49"/>
  <c r="H128" i="49" s="1"/>
  <c r="L126" i="49"/>
  <c r="L128" i="49" s="1"/>
  <c r="E126" i="49"/>
  <c r="N126" i="49"/>
  <c r="N128" i="49" s="1"/>
  <c r="U126" i="49"/>
  <c r="U128" i="49" s="1"/>
  <c r="T126" i="49"/>
  <c r="T128" i="49" s="1"/>
  <c r="K126" i="49"/>
  <c r="K128" i="49" s="1"/>
  <c r="I126" i="49"/>
  <c r="I128" i="49" s="1"/>
  <c r="S126" i="49"/>
  <c r="S128" i="49" s="1"/>
  <c r="G126" i="49"/>
  <c r="G128" i="49" s="1"/>
  <c r="F126" i="49"/>
  <c r="F128" i="49" s="1"/>
  <c r="O126" i="49"/>
  <c r="O128" i="49" s="1"/>
  <c r="M126" i="49"/>
  <c r="M128" i="49" s="1"/>
  <c r="W126" i="49"/>
  <c r="W128" i="49" s="1"/>
  <c r="B26" i="47"/>
  <c r="C34" i="46"/>
  <c r="C35" i="46" s="1"/>
  <c r="U48" i="28"/>
  <c r="U52" i="28" s="1"/>
  <c r="E47" i="28"/>
  <c r="D138" i="31"/>
  <c r="D129" i="29"/>
  <c r="E28" i="37"/>
  <c r="E42" i="31"/>
  <c r="F39" i="31"/>
  <c r="D37" i="31"/>
  <c r="E39" i="31"/>
  <c r="G1" i="31"/>
  <c r="F11" i="39"/>
  <c r="D137" i="29"/>
  <c r="D139" i="29" s="1"/>
  <c r="D19" i="29"/>
  <c r="D51" i="28"/>
  <c r="D53" i="28" s="1"/>
  <c r="G48" i="28"/>
  <c r="G52" i="28" s="1"/>
  <c r="H48" i="28"/>
  <c r="H52" i="28" s="1"/>
  <c r="L48" i="28"/>
  <c r="L52" i="28" s="1"/>
  <c r="F48" i="28"/>
  <c r="F52" i="28" s="1"/>
  <c r="V48" i="28"/>
  <c r="V52" i="28" s="1"/>
  <c r="S48" i="28"/>
  <c r="S52" i="28" s="1"/>
  <c r="O48" i="28"/>
  <c r="O52" i="28" s="1"/>
  <c r="J48" i="28"/>
  <c r="J52" i="28" s="1"/>
  <c r="G47" i="28"/>
  <c r="N48" i="28"/>
  <c r="N52" i="28" s="1"/>
  <c r="F47" i="28"/>
  <c r="X48" i="28"/>
  <c r="X52" i="28" s="1"/>
  <c r="K48" i="28"/>
  <c r="K52" i="28" s="1"/>
  <c r="E66" i="28"/>
  <c r="T48" i="28"/>
  <c r="T52" i="28" s="1"/>
  <c r="W48" i="28"/>
  <c r="W52" i="28" s="1"/>
  <c r="E48" i="28"/>
  <c r="E52" i="28" s="1"/>
  <c r="Q48" i="28"/>
  <c r="Q52" i="28" s="1"/>
  <c r="P48" i="28"/>
  <c r="P52" i="28" s="1"/>
  <c r="M48" i="28"/>
  <c r="M52" i="28" s="1"/>
  <c r="R48" i="28"/>
  <c r="R52" i="28" s="1"/>
  <c r="I48" i="28"/>
  <c r="I52" i="28" s="1"/>
  <c r="D126" i="31"/>
  <c r="D122" i="31"/>
  <c r="D134" i="31"/>
  <c r="D140" i="31"/>
  <c r="E90" i="37"/>
  <c r="F90" i="37" s="1"/>
  <c r="G90" i="37" s="1"/>
  <c r="H90" i="37" s="1"/>
  <c r="I90" i="37" s="1"/>
  <c r="J90" i="37" s="1"/>
  <c r="K90" i="37" s="1"/>
  <c r="L90" i="37" s="1"/>
  <c r="M90" i="37" s="1"/>
  <c r="N90" i="37" s="1"/>
  <c r="E88" i="37"/>
  <c r="F88" i="37" s="1"/>
  <c r="G88" i="37" s="1"/>
  <c r="H88" i="37" s="1"/>
  <c r="I88" i="37" s="1"/>
  <c r="J88" i="37" s="1"/>
  <c r="K88" i="37" s="1"/>
  <c r="L88" i="37" s="1"/>
  <c r="M88" i="37" s="1"/>
  <c r="N88" i="37" s="1"/>
  <c r="Y31" i="26"/>
  <c r="O31" i="26"/>
  <c r="U31" i="26"/>
  <c r="W31" i="26"/>
  <c r="J31" i="26"/>
  <c r="M31" i="26"/>
  <c r="K31" i="26"/>
  <c r="AC31" i="26"/>
  <c r="Q31" i="26"/>
  <c r="AE31" i="26"/>
  <c r="AG31" i="26"/>
  <c r="AA31" i="26"/>
  <c r="H31" i="26"/>
  <c r="P31" i="26"/>
  <c r="L31" i="26"/>
  <c r="F31" i="26"/>
  <c r="AH31" i="26"/>
  <c r="I31" i="26"/>
  <c r="E38" i="28"/>
  <c r="E42" i="28" s="1"/>
  <c r="L12" i="27"/>
  <c r="G16" i="26"/>
  <c r="F18" i="26"/>
  <c r="D136" i="37"/>
  <c r="D140" i="37"/>
  <c r="D118" i="37" s="1"/>
  <c r="G53" i="37"/>
  <c r="G42" i="37" s="1"/>
  <c r="H25" i="29"/>
  <c r="G21" i="29"/>
  <c r="G30" i="29" s="1"/>
  <c r="F42" i="37"/>
  <c r="E39" i="37"/>
  <c r="E42" i="37"/>
  <c r="F39" i="37"/>
  <c r="G50" i="37"/>
  <c r="H50" i="37" s="1"/>
  <c r="H39" i="37" s="1"/>
  <c r="E62" i="37"/>
  <c r="E62" i="31"/>
  <c r="E51" i="37"/>
  <c r="E72" i="37"/>
  <c r="E72" i="31"/>
  <c r="E82" i="37"/>
  <c r="E80" i="37" s="1"/>
  <c r="F18" i="37"/>
  <c r="F28" i="37" s="1"/>
  <c r="F33" i="37" s="1"/>
  <c r="G1" i="37"/>
  <c r="G2" i="39" s="1"/>
  <c r="E121" i="37"/>
  <c r="E33" i="37"/>
  <c r="D29" i="37"/>
  <c r="F7" i="37"/>
  <c r="H50" i="31"/>
  <c r="H39" i="31" s="1"/>
  <c r="G39" i="31"/>
  <c r="H53" i="31"/>
  <c r="G64" i="31"/>
  <c r="G74" i="31" s="1"/>
  <c r="G42" i="31"/>
  <c r="F7" i="31"/>
  <c r="F84" i="31"/>
  <c r="V123" i="29"/>
  <c r="P123" i="29"/>
  <c r="F7" i="29"/>
  <c r="X123" i="29"/>
  <c r="E74" i="29"/>
  <c r="E84" i="29"/>
  <c r="E82" i="29" s="1"/>
  <c r="E53" i="29"/>
  <c r="E64" i="29"/>
  <c r="E43" i="28"/>
  <c r="L7" i="27" s="1"/>
  <c r="L8" i="27" s="1"/>
  <c r="L21" i="27"/>
  <c r="L20" i="27" s="1"/>
  <c r="L26" i="27" s="1"/>
  <c r="G37" i="28"/>
  <c r="AA37" i="28" s="1"/>
  <c r="F39" i="28"/>
  <c r="Q123" i="29"/>
  <c r="F123" i="29"/>
  <c r="F124" i="29" s="1"/>
  <c r="F35" i="29"/>
  <c r="R123" i="29"/>
  <c r="H2" i="26"/>
  <c r="G22" i="26"/>
  <c r="G24" i="26" s="1"/>
  <c r="G12" i="26"/>
  <c r="O16" i="27"/>
  <c r="U123" i="29"/>
  <c r="S123" i="29"/>
  <c r="O123" i="29"/>
  <c r="U16" i="27"/>
  <c r="G1" i="29"/>
  <c r="G22" i="39" s="1"/>
  <c r="X16" i="27"/>
  <c r="W123" i="29"/>
  <c r="G63" i="29"/>
  <c r="G73" i="29" s="1"/>
  <c r="G83" i="29" s="1"/>
  <c r="H52" i="29"/>
  <c r="G66" i="29"/>
  <c r="G76" i="29" s="1"/>
  <c r="H55" i="29"/>
  <c r="G44" i="29"/>
  <c r="E35" i="29"/>
  <c r="D31" i="29"/>
  <c r="F86" i="29"/>
  <c r="H2" i="28"/>
  <c r="H47" i="28" s="1"/>
  <c r="G41" i="29"/>
  <c r="AC16" i="27"/>
  <c r="T123" i="29"/>
  <c r="C126" i="49" l="1"/>
  <c r="C128" i="49" s="1"/>
  <c r="C143" i="49" s="1"/>
  <c r="C148" i="49" s="1"/>
  <c r="E128" i="49"/>
  <c r="J26" i="44"/>
  <c r="J34" i="44" s="1"/>
  <c r="J92" i="29"/>
  <c r="I90" i="29"/>
  <c r="G92" i="29"/>
  <c r="O92" i="29"/>
  <c r="E51" i="31"/>
  <c r="D131" i="29"/>
  <c r="D143" i="29"/>
  <c r="E41" i="28"/>
  <c r="E82" i="31"/>
  <c r="E80" i="31" s="1"/>
  <c r="H53" i="37"/>
  <c r="H64" i="37" s="1"/>
  <c r="H74" i="37" s="1"/>
  <c r="G11" i="39"/>
  <c r="H1" i="31"/>
  <c r="D121" i="31"/>
  <c r="D15" i="39" s="1"/>
  <c r="D119" i="29"/>
  <c r="D25" i="39" s="1"/>
  <c r="G64" i="37"/>
  <c r="G74" i="37" s="1"/>
  <c r="G84" i="37" s="1"/>
  <c r="K90" i="29"/>
  <c r="Q92" i="29"/>
  <c r="R92" i="29"/>
  <c r="E90" i="29"/>
  <c r="M92" i="29"/>
  <c r="I92" i="29"/>
  <c r="G90" i="29"/>
  <c r="V90" i="29"/>
  <c r="X90" i="29"/>
  <c r="L92" i="29"/>
  <c r="E92" i="29"/>
  <c r="H90" i="29"/>
  <c r="R90" i="29"/>
  <c r="F90" i="29"/>
  <c r="T90" i="29"/>
  <c r="U90" i="29"/>
  <c r="W92" i="29"/>
  <c r="S90" i="29"/>
  <c r="P90" i="29"/>
  <c r="N90" i="29"/>
  <c r="K92" i="29"/>
  <c r="N92" i="29"/>
  <c r="H92" i="29"/>
  <c r="U92" i="29"/>
  <c r="S92" i="29"/>
  <c r="Q90" i="29"/>
  <c r="O90" i="29"/>
  <c r="V92" i="29"/>
  <c r="P92" i="29"/>
  <c r="F92" i="29"/>
  <c r="W90" i="29"/>
  <c r="T92" i="29"/>
  <c r="J90" i="29"/>
  <c r="X92" i="29"/>
  <c r="L90" i="29"/>
  <c r="M90" i="29"/>
  <c r="D142" i="37"/>
  <c r="J90" i="31"/>
  <c r="K88" i="31"/>
  <c r="I90" i="31"/>
  <c r="I88" i="31"/>
  <c r="G88" i="31"/>
  <c r="F88" i="31"/>
  <c r="M88" i="31"/>
  <c r="K90" i="31"/>
  <c r="E88" i="31"/>
  <c r="J88" i="31"/>
  <c r="H90" i="31"/>
  <c r="G90" i="31"/>
  <c r="H88" i="31"/>
  <c r="N90" i="31"/>
  <c r="F90" i="31"/>
  <c r="M90" i="31"/>
  <c r="N88" i="31"/>
  <c r="L90" i="31"/>
  <c r="E90" i="31"/>
  <c r="L88" i="31"/>
  <c r="G123" i="29"/>
  <c r="G124" i="29" s="1"/>
  <c r="M12" i="27"/>
  <c r="L17" i="27"/>
  <c r="L18" i="27" s="1"/>
  <c r="L19" i="27" s="1"/>
  <c r="G35" i="29"/>
  <c r="G18" i="26"/>
  <c r="H16" i="26"/>
  <c r="I25" i="29"/>
  <c r="H21" i="29"/>
  <c r="H30" i="29" s="1"/>
  <c r="G39" i="37"/>
  <c r="H61" i="37"/>
  <c r="H71" i="37" s="1"/>
  <c r="H81" i="37" s="1"/>
  <c r="I50" i="37"/>
  <c r="J50" i="37" s="1"/>
  <c r="G61" i="37"/>
  <c r="G71" i="37" s="1"/>
  <c r="G81" i="37" s="1"/>
  <c r="F121" i="37"/>
  <c r="F122" i="37" s="1"/>
  <c r="E49" i="37"/>
  <c r="E40" i="37"/>
  <c r="E49" i="31"/>
  <c r="E40" i="31"/>
  <c r="G18" i="37"/>
  <c r="G28" i="37" s="1"/>
  <c r="E122" i="37"/>
  <c r="H1" i="37"/>
  <c r="H2" i="39" s="1"/>
  <c r="G7" i="37"/>
  <c r="I50" i="31"/>
  <c r="J50" i="31" s="1"/>
  <c r="H61" i="31"/>
  <c r="H71" i="31" s="1"/>
  <c r="H81" i="31" s="1"/>
  <c r="I61" i="31"/>
  <c r="I71" i="31" s="1"/>
  <c r="I81" i="31" s="1"/>
  <c r="I39" i="31"/>
  <c r="G7" i="31"/>
  <c r="H64" i="31"/>
  <c r="H74" i="31" s="1"/>
  <c r="H42" i="31"/>
  <c r="I53" i="31"/>
  <c r="G84" i="31"/>
  <c r="I55" i="29"/>
  <c r="H66" i="29"/>
  <c r="H76" i="29" s="1"/>
  <c r="H44" i="29"/>
  <c r="E44" i="28"/>
  <c r="E45" i="28" s="1"/>
  <c r="E50" i="28" s="1"/>
  <c r="L9" i="27"/>
  <c r="L10" i="27" s="1"/>
  <c r="I2" i="28"/>
  <c r="I47" i="28" s="1"/>
  <c r="G86" i="29"/>
  <c r="Y16" i="27"/>
  <c r="I2" i="26"/>
  <c r="H22" i="26"/>
  <c r="H24" i="26" s="1"/>
  <c r="H12" i="26"/>
  <c r="AD16" i="27"/>
  <c r="E124" i="29"/>
  <c r="E51" i="29"/>
  <c r="E42" i="29"/>
  <c r="G39" i="28"/>
  <c r="H37" i="28"/>
  <c r="AB37" i="28" s="1"/>
  <c r="P16" i="27"/>
  <c r="H1" i="29"/>
  <c r="H22" i="39" s="1"/>
  <c r="AA40" i="28"/>
  <c r="F38" i="28"/>
  <c r="G7" i="29"/>
  <c r="H63" i="29"/>
  <c r="H73" i="29" s="1"/>
  <c r="H83" i="29" s="1"/>
  <c r="I52" i="29"/>
  <c r="H41" i="29"/>
  <c r="C150" i="49" l="1"/>
  <c r="K33" i="44"/>
  <c r="D120" i="29"/>
  <c r="D145" i="29"/>
  <c r="I53" i="37"/>
  <c r="J53" i="37" s="1"/>
  <c r="H42" i="37"/>
  <c r="H11" i="39"/>
  <c r="I1" i="31"/>
  <c r="E98" i="29"/>
  <c r="D117" i="37"/>
  <c r="D6" i="39" s="1"/>
  <c r="E4" i="39" s="1"/>
  <c r="L5" i="39" s="1"/>
  <c r="E13" i="39"/>
  <c r="H14" i="39"/>
  <c r="G14" i="39"/>
  <c r="F14" i="39"/>
  <c r="E14" i="39"/>
  <c r="L14" i="39"/>
  <c r="K14" i="39"/>
  <c r="J14" i="39"/>
  <c r="I14" i="39"/>
  <c r="N14" i="39"/>
  <c r="M14" i="39"/>
  <c r="E99" i="31"/>
  <c r="F99" i="31"/>
  <c r="H123" i="29"/>
  <c r="N12" i="27"/>
  <c r="M17" i="27"/>
  <c r="M18" i="27" s="1"/>
  <c r="M19" i="27" s="1"/>
  <c r="I16" i="26"/>
  <c r="H18" i="26"/>
  <c r="I39" i="37"/>
  <c r="J25" i="29"/>
  <c r="I21" i="29"/>
  <c r="I30" i="29" s="1"/>
  <c r="I61" i="37"/>
  <c r="I71" i="37" s="1"/>
  <c r="I81" i="37" s="1"/>
  <c r="F82" i="31"/>
  <c r="F80" i="31" s="1"/>
  <c r="F51" i="31"/>
  <c r="F72" i="37"/>
  <c r="F82" i="37"/>
  <c r="F80" i="37" s="1"/>
  <c r="F62" i="31"/>
  <c r="F51" i="37"/>
  <c r="F72" i="31"/>
  <c r="F62" i="37"/>
  <c r="E38" i="31"/>
  <c r="E38" i="37"/>
  <c r="H18" i="37"/>
  <c r="H28" i="37" s="1"/>
  <c r="H121" i="37" s="1"/>
  <c r="H122" i="37" s="1"/>
  <c r="G121" i="37"/>
  <c r="G122" i="37" s="1"/>
  <c r="G33" i="37"/>
  <c r="I1" i="37"/>
  <c r="H7" i="37"/>
  <c r="H84" i="37"/>
  <c r="I64" i="37"/>
  <c r="I74" i="37" s="1"/>
  <c r="J61" i="37"/>
  <c r="J71" i="37" s="1"/>
  <c r="J81" i="37" s="1"/>
  <c r="K50" i="37"/>
  <c r="J39" i="37"/>
  <c r="J61" i="31"/>
  <c r="J71" i="31" s="1"/>
  <c r="J81" i="31" s="1"/>
  <c r="J39" i="31"/>
  <c r="K50" i="31"/>
  <c r="H7" i="31"/>
  <c r="H84" i="31"/>
  <c r="I64" i="31"/>
  <c r="I74" i="31" s="1"/>
  <c r="J53" i="31"/>
  <c r="I42" i="31"/>
  <c r="E46" i="28"/>
  <c r="E51" i="28"/>
  <c r="I1" i="29"/>
  <c r="I22" i="39" s="1"/>
  <c r="H35" i="29"/>
  <c r="E40" i="29"/>
  <c r="H7" i="29"/>
  <c r="I22" i="26"/>
  <c r="I24" i="26" s="1"/>
  <c r="I12" i="26"/>
  <c r="J2" i="26"/>
  <c r="I63" i="29"/>
  <c r="I73" i="29" s="1"/>
  <c r="I83" i="29" s="1"/>
  <c r="J52" i="29"/>
  <c r="I41" i="29"/>
  <c r="H86" i="29"/>
  <c r="F84" i="29"/>
  <c r="F82" i="29" s="1"/>
  <c r="F64" i="29"/>
  <c r="F53" i="29"/>
  <c r="F74" i="29"/>
  <c r="F42" i="28"/>
  <c r="F43" i="28"/>
  <c r="M7" i="27" s="1"/>
  <c r="M8" i="27" s="1"/>
  <c r="M21" i="27"/>
  <c r="M20" i="27" s="1"/>
  <c r="M26" i="27" s="1"/>
  <c r="F41" i="28"/>
  <c r="AE16" i="27"/>
  <c r="Z16" i="27"/>
  <c r="J55" i="29"/>
  <c r="I66" i="29"/>
  <c r="I76" i="29" s="1"/>
  <c r="I44" i="29"/>
  <c r="H124" i="29"/>
  <c r="H39" i="28"/>
  <c r="I37" i="28"/>
  <c r="AC37" i="28" s="1"/>
  <c r="J2" i="28"/>
  <c r="J47" i="28" s="1"/>
  <c r="AB40" i="28"/>
  <c r="G38" i="28"/>
  <c r="C30" i="46" l="1"/>
  <c r="I42" i="37"/>
  <c r="I11" i="39"/>
  <c r="J1" i="31"/>
  <c r="H5" i="39"/>
  <c r="H100" i="37" s="1"/>
  <c r="F5" i="39"/>
  <c r="F103" i="31" s="1"/>
  <c r="E96" i="37"/>
  <c r="E101" i="37" s="1"/>
  <c r="E5" i="39"/>
  <c r="E100" i="37" s="1"/>
  <c r="E15" i="39"/>
  <c r="N5" i="39"/>
  <c r="N100" i="37" s="1"/>
  <c r="M5" i="39"/>
  <c r="M100" i="37" s="1"/>
  <c r="K5" i="39"/>
  <c r="K100" i="37" s="1"/>
  <c r="J5" i="39"/>
  <c r="J100" i="37" s="1"/>
  <c r="I5" i="39"/>
  <c r="I100" i="37" s="1"/>
  <c r="G5" i="39"/>
  <c r="G103" i="31" s="1"/>
  <c r="F100" i="37"/>
  <c r="L100" i="37"/>
  <c r="L103" i="31"/>
  <c r="I123" i="29"/>
  <c r="O12" i="27"/>
  <c r="N17" i="27"/>
  <c r="N18" i="27" s="1"/>
  <c r="N19" i="27" s="1"/>
  <c r="J16" i="26"/>
  <c r="I18" i="26"/>
  <c r="I2" i="39"/>
  <c r="K25" i="29"/>
  <c r="J21" i="29"/>
  <c r="J30" i="29" s="1"/>
  <c r="H33" i="37"/>
  <c r="G82" i="37"/>
  <c r="G80" i="37" s="1"/>
  <c r="G62" i="31"/>
  <c r="G51" i="37"/>
  <c r="G72" i="31"/>
  <c r="G72" i="37"/>
  <c r="G82" i="31"/>
  <c r="G80" i="31" s="1"/>
  <c r="G51" i="31"/>
  <c r="G62" i="37"/>
  <c r="F49" i="37"/>
  <c r="F40" i="37"/>
  <c r="F40" i="31"/>
  <c r="F49" i="31"/>
  <c r="I18" i="37"/>
  <c r="I28" i="37" s="1"/>
  <c r="I121" i="37" s="1"/>
  <c r="I122" i="37" s="1"/>
  <c r="L50" i="37"/>
  <c r="K61" i="37"/>
  <c r="K71" i="37" s="1"/>
  <c r="K81" i="37" s="1"/>
  <c r="K39" i="37"/>
  <c r="J1" i="37"/>
  <c r="K53" i="37"/>
  <c r="J64" i="37"/>
  <c r="J74" i="37" s="1"/>
  <c r="J42" i="37"/>
  <c r="I7" i="37"/>
  <c r="I84" i="37"/>
  <c r="L50" i="31"/>
  <c r="K61" i="31"/>
  <c r="K71" i="31" s="1"/>
  <c r="K81" i="31" s="1"/>
  <c r="K39" i="31"/>
  <c r="I7" i="31"/>
  <c r="I84" i="31"/>
  <c r="N17" i="31"/>
  <c r="N27" i="31" s="1"/>
  <c r="N30" i="31" s="1"/>
  <c r="J64" i="31"/>
  <c r="J74" i="31" s="1"/>
  <c r="K53" i="31"/>
  <c r="J42" i="31"/>
  <c r="E53" i="28"/>
  <c r="E55" i="28"/>
  <c r="I86" i="29"/>
  <c r="J22" i="26"/>
  <c r="J24" i="26" s="1"/>
  <c r="J12" i="26"/>
  <c r="K2" i="26"/>
  <c r="AC40" i="28"/>
  <c r="H38" i="28"/>
  <c r="J1" i="29"/>
  <c r="J22" i="39" s="1"/>
  <c r="I35" i="29"/>
  <c r="I124" i="29"/>
  <c r="J66" i="29"/>
  <c r="J76" i="29" s="1"/>
  <c r="K55" i="29"/>
  <c r="J44" i="29"/>
  <c r="G84" i="29"/>
  <c r="G82" i="29" s="1"/>
  <c r="G53" i="29"/>
  <c r="G74" i="29"/>
  <c r="G64" i="29"/>
  <c r="G42" i="28"/>
  <c r="G43" i="28"/>
  <c r="N7" i="27" s="1"/>
  <c r="N8" i="27" s="1"/>
  <c r="N21" i="27"/>
  <c r="N20" i="27" s="1"/>
  <c r="N26" i="27" s="1"/>
  <c r="G41" i="28"/>
  <c r="K2" i="28"/>
  <c r="K47" i="28" s="1"/>
  <c r="F44" i="28"/>
  <c r="F45" i="28" s="1"/>
  <c r="M9" i="27"/>
  <c r="M10" i="27" s="1"/>
  <c r="K52" i="29"/>
  <c r="J63" i="29"/>
  <c r="J73" i="29" s="1"/>
  <c r="J83" i="29" s="1"/>
  <c r="J41" i="29"/>
  <c r="I7" i="29"/>
  <c r="I39" i="28"/>
  <c r="J37" i="28"/>
  <c r="F42" i="29"/>
  <c r="F51" i="29"/>
  <c r="C31" i="46" l="1"/>
  <c r="C43" i="46"/>
  <c r="C49" i="46" s="1"/>
  <c r="C52" i="46" s="1"/>
  <c r="H103" i="31"/>
  <c r="J11" i="39"/>
  <c r="K1" i="31"/>
  <c r="E103" i="31"/>
  <c r="I103" i="31"/>
  <c r="K103" i="31"/>
  <c r="N103" i="31"/>
  <c r="J103" i="31"/>
  <c r="F13" i="39"/>
  <c r="E17" i="39"/>
  <c r="M103" i="31"/>
  <c r="G100" i="37"/>
  <c r="J123" i="29"/>
  <c r="J124" i="29" s="1"/>
  <c r="O17" i="27"/>
  <c r="O18" i="27" s="1"/>
  <c r="O19" i="27" s="1"/>
  <c r="P12" i="27"/>
  <c r="K16" i="26"/>
  <c r="J18" i="26"/>
  <c r="J2" i="39"/>
  <c r="L25" i="29"/>
  <c r="K21" i="29"/>
  <c r="K30" i="29" s="1"/>
  <c r="F38" i="31"/>
  <c r="H51" i="37"/>
  <c r="H72" i="37"/>
  <c r="H72" i="31"/>
  <c r="H62" i="37"/>
  <c r="H82" i="31"/>
  <c r="H80" i="31" s="1"/>
  <c r="H51" i="31"/>
  <c r="H82" i="37"/>
  <c r="H80" i="37" s="1"/>
  <c r="H62" i="31"/>
  <c r="G40" i="31"/>
  <c r="G49" i="31"/>
  <c r="G40" i="37"/>
  <c r="G49" i="37"/>
  <c r="F38" i="37"/>
  <c r="I33" i="37"/>
  <c r="J18" i="37"/>
  <c r="J28" i="37" s="1"/>
  <c r="J121" i="37" s="1"/>
  <c r="J122" i="37" s="1"/>
  <c r="J84" i="37"/>
  <c r="L53" i="37"/>
  <c r="K64" i="37"/>
  <c r="K74" i="37" s="1"/>
  <c r="K42" i="37"/>
  <c r="K1" i="37"/>
  <c r="J7" i="37"/>
  <c r="L61" i="37"/>
  <c r="L71" i="37" s="1"/>
  <c r="L81" i="37" s="1"/>
  <c r="M50" i="37"/>
  <c r="L39" i="37"/>
  <c r="L61" i="31"/>
  <c r="L71" i="31" s="1"/>
  <c r="L81" i="31" s="1"/>
  <c r="M50" i="31"/>
  <c r="L39" i="31"/>
  <c r="J7" i="31"/>
  <c r="L53" i="31"/>
  <c r="K64" i="31"/>
  <c r="K74" i="31" s="1"/>
  <c r="K42" i="31"/>
  <c r="J84" i="31"/>
  <c r="G42" i="29"/>
  <c r="G51" i="29"/>
  <c r="L2" i="28"/>
  <c r="L47" i="28" s="1"/>
  <c r="F50" i="28"/>
  <c r="F51" i="28" s="1"/>
  <c r="F46" i="28"/>
  <c r="J39" i="28"/>
  <c r="J38" i="28" s="1"/>
  <c r="K37" i="28"/>
  <c r="H64" i="29"/>
  <c r="H74" i="29"/>
  <c r="H53" i="29"/>
  <c r="H84" i="29"/>
  <c r="H82" i="29" s="1"/>
  <c r="H43" i="28"/>
  <c r="O7" i="27" s="1"/>
  <c r="O8" i="27" s="1"/>
  <c r="H42" i="28"/>
  <c r="O21" i="27"/>
  <c r="O20" i="27" s="1"/>
  <c r="O26" i="27" s="1"/>
  <c r="H41" i="28"/>
  <c r="AD40" i="28"/>
  <c r="I38" i="28"/>
  <c r="L2" i="26"/>
  <c r="K12" i="26"/>
  <c r="K22" i="26"/>
  <c r="K24" i="26" s="1"/>
  <c r="L55" i="29"/>
  <c r="K66" i="29"/>
  <c r="K76" i="29" s="1"/>
  <c r="K44" i="29"/>
  <c r="K63" i="29"/>
  <c r="K73" i="29" s="1"/>
  <c r="K83" i="29" s="1"/>
  <c r="L52" i="29"/>
  <c r="K41" i="29"/>
  <c r="K1" i="29"/>
  <c r="K22" i="39" s="1"/>
  <c r="J35" i="29"/>
  <c r="N9" i="27"/>
  <c r="N10" i="27" s="1"/>
  <c r="G44" i="28"/>
  <c r="G45" i="28" s="1"/>
  <c r="J86" i="29"/>
  <c r="F40" i="29"/>
  <c r="J7" i="29"/>
  <c r="F66" i="28"/>
  <c r="E56" i="28"/>
  <c r="K11" i="39" l="1"/>
  <c r="K96" i="31"/>
  <c r="K104" i="31" s="1"/>
  <c r="L1" i="31"/>
  <c r="F15" i="39"/>
  <c r="G13" i="39" s="1"/>
  <c r="K123" i="29"/>
  <c r="K124" i="29" s="1"/>
  <c r="P17" i="27"/>
  <c r="P18" i="27" s="1"/>
  <c r="P19" i="27" s="1"/>
  <c r="Q12" i="27"/>
  <c r="L16" i="26"/>
  <c r="K18" i="26"/>
  <c r="K2" i="39"/>
  <c r="M25" i="29"/>
  <c r="L21" i="29"/>
  <c r="L30" i="29" s="1"/>
  <c r="I72" i="37"/>
  <c r="I72" i="31"/>
  <c r="I62" i="37"/>
  <c r="I51" i="31"/>
  <c r="I82" i="31"/>
  <c r="I80" i="31" s="1"/>
  <c r="I82" i="37"/>
  <c r="I80" i="37" s="1"/>
  <c r="I62" i="31"/>
  <c r="I51" i="37"/>
  <c r="H40" i="31"/>
  <c r="H49" i="31"/>
  <c r="G38" i="37"/>
  <c r="G38" i="31"/>
  <c r="H40" i="37"/>
  <c r="H49" i="37"/>
  <c r="J72" i="31"/>
  <c r="J62" i="37"/>
  <c r="J82" i="31"/>
  <c r="J80" i="31" s="1"/>
  <c r="J82" i="37"/>
  <c r="J80" i="37" s="1"/>
  <c r="J51" i="37"/>
  <c r="J72" i="37"/>
  <c r="J51" i="31"/>
  <c r="J62" i="31"/>
  <c r="J33" i="37"/>
  <c r="K18" i="37"/>
  <c r="K28" i="37" s="1"/>
  <c r="K121" i="37" s="1"/>
  <c r="K122" i="37" s="1"/>
  <c r="K7" i="37"/>
  <c r="K84" i="37"/>
  <c r="M61" i="37"/>
  <c r="M71" i="37" s="1"/>
  <c r="M81" i="37" s="1"/>
  <c r="N50" i="37"/>
  <c r="M39" i="37"/>
  <c r="L1" i="37"/>
  <c r="K96" i="37"/>
  <c r="K101" i="37" s="1"/>
  <c r="L64" i="37"/>
  <c r="L74" i="37" s="1"/>
  <c r="M53" i="37"/>
  <c r="L42" i="37"/>
  <c r="M39" i="31"/>
  <c r="M61" i="31"/>
  <c r="M71" i="31" s="1"/>
  <c r="M81" i="31" s="1"/>
  <c r="N50" i="31"/>
  <c r="K7" i="31"/>
  <c r="K84" i="31"/>
  <c r="L64" i="31"/>
  <c r="L74" i="31" s="1"/>
  <c r="M53" i="31"/>
  <c r="L42" i="31"/>
  <c r="F53" i="28"/>
  <c r="F55" i="28"/>
  <c r="G50" i="28"/>
  <c r="G51" i="28" s="1"/>
  <c r="G46" i="28"/>
  <c r="M52" i="29"/>
  <c r="L63" i="29"/>
  <c r="L73" i="29" s="1"/>
  <c r="L83" i="29" s="1"/>
  <c r="L41" i="29"/>
  <c r="K98" i="29"/>
  <c r="K103" i="29" s="1"/>
  <c r="L1" i="29"/>
  <c r="L22" i="39" s="1"/>
  <c r="K35" i="29"/>
  <c r="L12" i="26"/>
  <c r="L22" i="26"/>
  <c r="L24" i="26" s="1"/>
  <c r="M2" i="26"/>
  <c r="L37" i="28"/>
  <c r="K39" i="28"/>
  <c r="K38" i="28" s="1"/>
  <c r="M2" i="28"/>
  <c r="M47" i="28" s="1"/>
  <c r="H42" i="29"/>
  <c r="H51" i="29"/>
  <c r="J84" i="29"/>
  <c r="J82" i="29" s="1"/>
  <c r="J74" i="29"/>
  <c r="J64" i="29"/>
  <c r="J53" i="29"/>
  <c r="J41" i="28"/>
  <c r="J42" i="28"/>
  <c r="Q21" i="27"/>
  <c r="Q20" i="27" s="1"/>
  <c r="Q26" i="27" s="1"/>
  <c r="J43" i="28"/>
  <c r="Q7" i="27" s="1"/>
  <c r="Q8" i="27" s="1"/>
  <c r="K86" i="29"/>
  <c r="I84" i="29"/>
  <c r="I82" i="29" s="1"/>
  <c r="I64" i="29"/>
  <c r="I53" i="29"/>
  <c r="I74" i="29"/>
  <c r="I41" i="28"/>
  <c r="I42" i="28"/>
  <c r="I43" i="28"/>
  <c r="P7" i="27" s="1"/>
  <c r="P8" i="27" s="1"/>
  <c r="P21" i="27"/>
  <c r="P20" i="27" s="1"/>
  <c r="P26" i="27" s="1"/>
  <c r="M55" i="29"/>
  <c r="L44" i="29"/>
  <c r="L66" i="29"/>
  <c r="L76" i="29" s="1"/>
  <c r="K7" i="29"/>
  <c r="O9" i="27"/>
  <c r="O10" i="27" s="1"/>
  <c r="H44" i="28"/>
  <c r="H45" i="28" s="1"/>
  <c r="G40" i="29"/>
  <c r="L11" i="39" l="1"/>
  <c r="M1" i="31"/>
  <c r="L96" i="31"/>
  <c r="L104" i="31" s="1"/>
  <c r="F17" i="39"/>
  <c r="G15" i="39"/>
  <c r="H13" i="39" s="1"/>
  <c r="L123" i="29"/>
  <c r="L124" i="29" s="1"/>
  <c r="Q17" i="27"/>
  <c r="Q18" i="27" s="1"/>
  <c r="Q19" i="27" s="1"/>
  <c r="R12" i="27"/>
  <c r="M16" i="26"/>
  <c r="L18" i="26"/>
  <c r="K33" i="37"/>
  <c r="L2" i="39"/>
  <c r="N25" i="29"/>
  <c r="N21" i="29" s="1"/>
  <c r="N30" i="29" s="1"/>
  <c r="M21" i="29"/>
  <c r="M30" i="29" s="1"/>
  <c r="J40" i="31"/>
  <c r="J49" i="31"/>
  <c r="I40" i="37"/>
  <c r="I49" i="37"/>
  <c r="J40" i="37"/>
  <c r="J49" i="37"/>
  <c r="I40" i="31"/>
  <c r="I49" i="31"/>
  <c r="H38" i="31"/>
  <c r="K62" i="37"/>
  <c r="K62" i="31"/>
  <c r="K51" i="31"/>
  <c r="K82" i="37"/>
  <c r="K80" i="37" s="1"/>
  <c r="K51" i="37"/>
  <c r="K72" i="37"/>
  <c r="K72" i="31"/>
  <c r="K82" i="31"/>
  <c r="K80" i="31" s="1"/>
  <c r="H38" i="37"/>
  <c r="L18" i="37"/>
  <c r="L28" i="37" s="1"/>
  <c r="L121" i="37" s="1"/>
  <c r="L122" i="37" s="1"/>
  <c r="N61" i="37"/>
  <c r="N71" i="37" s="1"/>
  <c r="N81" i="37" s="1"/>
  <c r="N39" i="37"/>
  <c r="L7" i="37"/>
  <c r="L84" i="37"/>
  <c r="M64" i="37"/>
  <c r="M74" i="37" s="1"/>
  <c r="N53" i="37"/>
  <c r="M42" i="37"/>
  <c r="L96" i="37"/>
  <c r="L101" i="37" s="1"/>
  <c r="M1" i="37"/>
  <c r="N39" i="31"/>
  <c r="N61" i="31"/>
  <c r="N71" i="31" s="1"/>
  <c r="N81" i="31" s="1"/>
  <c r="L7" i="31"/>
  <c r="M64" i="31"/>
  <c r="M74" i="31" s="1"/>
  <c r="N53" i="31"/>
  <c r="M42" i="31"/>
  <c r="L84" i="31"/>
  <c r="G53" i="28"/>
  <c r="G55" i="28"/>
  <c r="H50" i="28"/>
  <c r="H51" i="28" s="1"/>
  <c r="H46" i="28"/>
  <c r="M22" i="26"/>
  <c r="M24" i="26" s="1"/>
  <c r="M12" i="26"/>
  <c r="N2" i="26"/>
  <c r="J42" i="29"/>
  <c r="J51" i="29"/>
  <c r="N2" i="28"/>
  <c r="N47" i="28" s="1"/>
  <c r="I42" i="29"/>
  <c r="I51" i="29"/>
  <c r="K74" i="29"/>
  <c r="K64" i="29"/>
  <c r="K53" i="29"/>
  <c r="K84" i="29"/>
  <c r="K82" i="29" s="1"/>
  <c r="K41" i="28"/>
  <c r="R21" i="27"/>
  <c r="R20" i="27" s="1"/>
  <c r="R26" i="27" s="1"/>
  <c r="K42" i="28"/>
  <c r="K43" i="28"/>
  <c r="R7" i="27" s="1"/>
  <c r="R8" i="27" s="1"/>
  <c r="Q9" i="27"/>
  <c r="Q10" i="27" s="1"/>
  <c r="J44" i="28"/>
  <c r="J45" i="28" s="1"/>
  <c r="M66" i="29"/>
  <c r="M76" i="29" s="1"/>
  <c r="N55" i="29"/>
  <c r="M44" i="29"/>
  <c r="M37" i="28"/>
  <c r="L39" i="28"/>
  <c r="L38" i="28" s="1"/>
  <c r="G66" i="28"/>
  <c r="F56" i="28"/>
  <c r="L7" i="29"/>
  <c r="L98" i="29"/>
  <c r="L103" i="29" s="1"/>
  <c r="M1" i="29"/>
  <c r="M22" i="39" s="1"/>
  <c r="L35" i="29"/>
  <c r="L86" i="29"/>
  <c r="I44" i="28"/>
  <c r="I45" i="28" s="1"/>
  <c r="P9" i="27"/>
  <c r="P10" i="27" s="1"/>
  <c r="H40" i="29"/>
  <c r="M63" i="29"/>
  <c r="M73" i="29" s="1"/>
  <c r="M83" i="29" s="1"/>
  <c r="N52" i="29"/>
  <c r="M41" i="29"/>
  <c r="M11" i="39" l="1"/>
  <c r="M96" i="31"/>
  <c r="M104" i="31" s="1"/>
  <c r="N1" i="31"/>
  <c r="G17" i="39"/>
  <c r="H15" i="39"/>
  <c r="I13" i="39" s="1"/>
  <c r="M123" i="29"/>
  <c r="N123" i="29"/>
  <c r="D123" i="29" s="1"/>
  <c r="S12" i="27"/>
  <c r="R17" i="27"/>
  <c r="R18" i="27" s="1"/>
  <c r="R19" i="27" s="1"/>
  <c r="N16" i="26"/>
  <c r="M18" i="26"/>
  <c r="M2" i="39"/>
  <c r="J38" i="37"/>
  <c r="I38" i="37"/>
  <c r="J38" i="31"/>
  <c r="K40" i="31"/>
  <c r="K49" i="31"/>
  <c r="L62" i="31"/>
  <c r="L82" i="31"/>
  <c r="L80" i="31" s="1"/>
  <c r="L51" i="31"/>
  <c r="L82" i="37"/>
  <c r="L80" i="37" s="1"/>
  <c r="L51" i="37"/>
  <c r="L72" i="37"/>
  <c r="L72" i="31"/>
  <c r="L62" i="37"/>
  <c r="K40" i="37"/>
  <c r="K49" i="37"/>
  <c r="I38" i="31"/>
  <c r="L33" i="37"/>
  <c r="N18" i="37"/>
  <c r="N28" i="37" s="1"/>
  <c r="N121" i="37" s="1"/>
  <c r="M18" i="37"/>
  <c r="M28" i="37" s="1"/>
  <c r="M121" i="37" s="1"/>
  <c r="M122" i="37" s="1"/>
  <c r="N64" i="37"/>
  <c r="N74" i="37" s="1"/>
  <c r="N42" i="37"/>
  <c r="M7" i="37"/>
  <c r="M84" i="37"/>
  <c r="N1" i="37"/>
  <c r="M96" i="37"/>
  <c r="M101" i="37" s="1"/>
  <c r="N64" i="31"/>
  <c r="N74" i="31" s="1"/>
  <c r="N42" i="31"/>
  <c r="M84" i="31"/>
  <c r="M7" i="31"/>
  <c r="I50" i="28"/>
  <c r="I51" i="28" s="1"/>
  <c r="I46" i="28"/>
  <c r="M98" i="29"/>
  <c r="M103" i="29" s="1"/>
  <c r="N1" i="29"/>
  <c r="N22" i="39" s="1"/>
  <c r="M35" i="29"/>
  <c r="M124" i="29"/>
  <c r="N37" i="28"/>
  <c r="M39" i="28"/>
  <c r="M38" i="28" s="1"/>
  <c r="G56" i="28"/>
  <c r="H66" i="28"/>
  <c r="O2" i="28"/>
  <c r="O47" i="28" s="1"/>
  <c r="R9" i="27"/>
  <c r="R10" i="27" s="1"/>
  <c r="K44" i="28"/>
  <c r="K45" i="28" s="1"/>
  <c r="N66" i="29"/>
  <c r="N76" i="29" s="1"/>
  <c r="O55" i="29"/>
  <c r="N44" i="29"/>
  <c r="N22" i="26"/>
  <c r="N24" i="26" s="1"/>
  <c r="O2" i="26"/>
  <c r="N12" i="26"/>
  <c r="M7" i="29"/>
  <c r="J40" i="29"/>
  <c r="I40" i="29"/>
  <c r="L74" i="29"/>
  <c r="L64" i="29"/>
  <c r="L84" i="29"/>
  <c r="L82" i="29" s="1"/>
  <c r="L53" i="29"/>
  <c r="L42" i="28"/>
  <c r="S21" i="27"/>
  <c r="S20" i="27" s="1"/>
  <c r="S26" i="27" s="1"/>
  <c r="L43" i="28"/>
  <c r="S7" i="27" s="1"/>
  <c r="S8" i="27" s="1"/>
  <c r="L41" i="28"/>
  <c r="H53" i="28"/>
  <c r="H55" i="28"/>
  <c r="O52" i="29"/>
  <c r="N63" i="29"/>
  <c r="N73" i="29" s="1"/>
  <c r="N83" i="29" s="1"/>
  <c r="N41" i="29"/>
  <c r="M86" i="29"/>
  <c r="J50" i="28"/>
  <c r="J51" i="28" s="1"/>
  <c r="J46" i="28"/>
  <c r="K42" i="29"/>
  <c r="K51" i="29"/>
  <c r="P29" i="31" l="1"/>
  <c r="N11" i="39"/>
  <c r="N96" i="31"/>
  <c r="N104" i="31" s="1"/>
  <c r="N33" i="31"/>
  <c r="H17" i="39"/>
  <c r="I15" i="39"/>
  <c r="J13" i="39" s="1"/>
  <c r="T12" i="27"/>
  <c r="S17" i="27"/>
  <c r="S18" i="27" s="1"/>
  <c r="S19" i="27" s="1"/>
  <c r="O16" i="26"/>
  <c r="N18" i="26"/>
  <c r="N2" i="39"/>
  <c r="M33" i="37"/>
  <c r="L40" i="37"/>
  <c r="L49" i="37"/>
  <c r="K38" i="37"/>
  <c r="L40" i="31"/>
  <c r="L49" i="31"/>
  <c r="M82" i="31"/>
  <c r="M80" i="31" s="1"/>
  <c r="M51" i="31"/>
  <c r="M72" i="37"/>
  <c r="M82" i="37"/>
  <c r="M80" i="37" s="1"/>
  <c r="M62" i="31"/>
  <c r="M51" i="37"/>
  <c r="M72" i="31"/>
  <c r="M62" i="37"/>
  <c r="K38" i="31"/>
  <c r="N84" i="37"/>
  <c r="N96" i="37"/>
  <c r="N101" i="37" s="1"/>
  <c r="N33" i="37"/>
  <c r="N122" i="37"/>
  <c r="N7" i="37"/>
  <c r="D121" i="37"/>
  <c r="N84" i="31"/>
  <c r="K100" i="31"/>
  <c r="G99" i="31"/>
  <c r="J100" i="31"/>
  <c r="N99" i="31"/>
  <c r="H100" i="31"/>
  <c r="L99" i="31"/>
  <c r="M100" i="31"/>
  <c r="H99" i="31"/>
  <c r="L100" i="31"/>
  <c r="I100" i="31"/>
  <c r="N100" i="31"/>
  <c r="I99" i="31"/>
  <c r="G100" i="31"/>
  <c r="F100" i="31"/>
  <c r="E100" i="31"/>
  <c r="J99" i="31"/>
  <c r="M99" i="31"/>
  <c r="K99" i="31"/>
  <c r="E96" i="31"/>
  <c r="E104" i="31" s="1"/>
  <c r="F96" i="31"/>
  <c r="F104" i="31" s="1"/>
  <c r="G96" i="31"/>
  <c r="G104" i="31" s="1"/>
  <c r="H96" i="31"/>
  <c r="H104" i="31" s="1"/>
  <c r="I96" i="31"/>
  <c r="I104" i="31" s="1"/>
  <c r="J96" i="31"/>
  <c r="J104" i="31" s="1"/>
  <c r="N7" i="31"/>
  <c r="N7" i="29"/>
  <c r="M74" i="29"/>
  <c r="M53" i="29"/>
  <c r="M43" i="28"/>
  <c r="T7" i="27" s="1"/>
  <c r="T8" i="27" s="1"/>
  <c r="M64" i="29"/>
  <c r="M84" i="29"/>
  <c r="M82" i="29" s="1"/>
  <c r="T21" i="27"/>
  <c r="T20" i="27" s="1"/>
  <c r="T26" i="27" s="1"/>
  <c r="M41" i="28"/>
  <c r="M42" i="28"/>
  <c r="O63" i="29"/>
  <c r="O73" i="29" s="1"/>
  <c r="O83" i="29" s="1"/>
  <c r="P52" i="29"/>
  <c r="O41" i="29"/>
  <c r="O37" i="28"/>
  <c r="N39" i="28"/>
  <c r="N38" i="28" s="1"/>
  <c r="N86" i="29"/>
  <c r="N98" i="29"/>
  <c r="N103" i="29" s="1"/>
  <c r="O1" i="29"/>
  <c r="O22" i="39" s="1"/>
  <c r="N35" i="29"/>
  <c r="N124" i="29"/>
  <c r="I66" i="28"/>
  <c r="H56" i="28"/>
  <c r="S9" i="27"/>
  <c r="S10" i="27" s="1"/>
  <c r="L44" i="28"/>
  <c r="L45" i="28" s="1"/>
  <c r="K46" i="28"/>
  <c r="K50" i="28"/>
  <c r="K51" i="28" s="1"/>
  <c r="J53" i="28"/>
  <c r="J55" i="28"/>
  <c r="L42" i="29"/>
  <c r="L51" i="29"/>
  <c r="P2" i="26"/>
  <c r="O22" i="26"/>
  <c r="O24" i="26" s="1"/>
  <c r="O12" i="26"/>
  <c r="I53" i="28"/>
  <c r="I55" i="28"/>
  <c r="K40" i="29"/>
  <c r="O66" i="29"/>
  <c r="O76" i="29" s="1"/>
  <c r="P55" i="29"/>
  <c r="O44" i="29"/>
  <c r="P2" i="28"/>
  <c r="P47" i="28" s="1"/>
  <c r="E17" i="5"/>
  <c r="I17" i="39" l="1"/>
  <c r="J15" i="39"/>
  <c r="K13" i="39" s="1"/>
  <c r="J17" i="39"/>
  <c r="U12" i="27"/>
  <c r="T17" i="27"/>
  <c r="T18" i="27" s="1"/>
  <c r="T19" i="27" s="1"/>
  <c r="P16" i="26"/>
  <c r="O18" i="26"/>
  <c r="M40" i="31"/>
  <c r="M49" i="31"/>
  <c r="N82" i="31"/>
  <c r="N80" i="31" s="1"/>
  <c r="N51" i="31"/>
  <c r="N82" i="37"/>
  <c r="N80" i="37" s="1"/>
  <c r="N62" i="31"/>
  <c r="N51" i="37"/>
  <c r="N72" i="31"/>
  <c r="N62" i="37"/>
  <c r="N72" i="37"/>
  <c r="L38" i="37"/>
  <c r="L38" i="31"/>
  <c r="M40" i="37"/>
  <c r="M49" i="37"/>
  <c r="O39" i="28"/>
  <c r="O38" i="28" s="1"/>
  <c r="P37" i="28"/>
  <c r="O7" i="29"/>
  <c r="L40" i="29"/>
  <c r="J66" i="28"/>
  <c r="I56" i="28"/>
  <c r="P63" i="29"/>
  <c r="P73" i="29" s="1"/>
  <c r="P83" i="29" s="1"/>
  <c r="Q52" i="29"/>
  <c r="P41" i="29"/>
  <c r="Q2" i="28"/>
  <c r="Q47" i="28" s="1"/>
  <c r="Q2" i="26"/>
  <c r="P12" i="26"/>
  <c r="P22" i="26"/>
  <c r="P24" i="26" s="1"/>
  <c r="N84" i="29"/>
  <c r="N82" i="29" s="1"/>
  <c r="N74" i="29"/>
  <c r="N64" i="29"/>
  <c r="N53" i="29"/>
  <c r="N43" i="28"/>
  <c r="U7" i="27" s="1"/>
  <c r="U8" i="27" s="1"/>
  <c r="N42" i="28"/>
  <c r="U21" i="27"/>
  <c r="U20" i="27" s="1"/>
  <c r="U26" i="27" s="1"/>
  <c r="N41" i="28"/>
  <c r="M44" i="28"/>
  <c r="M45" i="28" s="1"/>
  <c r="T9" i="27"/>
  <c r="T10" i="27" s="1"/>
  <c r="K53" i="28"/>
  <c r="K55" i="28"/>
  <c r="P1" i="29"/>
  <c r="P22" i="39" s="1"/>
  <c r="O98" i="29"/>
  <c r="O103" i="29" s="1"/>
  <c r="O35" i="29"/>
  <c r="O124" i="29"/>
  <c r="P44" i="29"/>
  <c r="P66" i="29"/>
  <c r="P76" i="29" s="1"/>
  <c r="Q55" i="29"/>
  <c r="O86" i="29"/>
  <c r="L46" i="28"/>
  <c r="L50" i="28"/>
  <c r="L51" i="28" s="1"/>
  <c r="M42" i="29"/>
  <c r="M51" i="29"/>
  <c r="K66" i="28"/>
  <c r="J56" i="28"/>
  <c r="K15" i="39" l="1"/>
  <c r="L13" i="39" s="1"/>
  <c r="V12" i="27"/>
  <c r="U17" i="27"/>
  <c r="U18" i="27" s="1"/>
  <c r="U19" i="27" s="1"/>
  <c r="Q16" i="26"/>
  <c r="P18" i="26"/>
  <c r="N40" i="37"/>
  <c r="N49" i="37"/>
  <c r="M38" i="37"/>
  <c r="M38" i="31"/>
  <c r="N40" i="31"/>
  <c r="N49" i="31"/>
  <c r="F96" i="37"/>
  <c r="F101" i="37" s="1"/>
  <c r="G96" i="37"/>
  <c r="G101" i="37" s="1"/>
  <c r="H96" i="37"/>
  <c r="H101" i="37" s="1"/>
  <c r="I96" i="37"/>
  <c r="I101" i="37" s="1"/>
  <c r="J96" i="37"/>
  <c r="J101" i="37" s="1"/>
  <c r="L53" i="28"/>
  <c r="L55" i="28"/>
  <c r="M46" i="28"/>
  <c r="M50" i="28"/>
  <c r="M51" i="28" s="1"/>
  <c r="N42" i="29"/>
  <c r="N51" i="29"/>
  <c r="R2" i="28"/>
  <c r="R47" i="28" s="1"/>
  <c r="P98" i="29"/>
  <c r="P103" i="29" s="1"/>
  <c r="Q1" i="29"/>
  <c r="Q22" i="39" s="1"/>
  <c r="P35" i="29"/>
  <c r="P124" i="29"/>
  <c r="P39" i="28"/>
  <c r="P38" i="28" s="1"/>
  <c r="Q37" i="28"/>
  <c r="R55" i="29"/>
  <c r="Q66" i="29"/>
  <c r="Q76" i="29" s="1"/>
  <c r="Q44" i="29"/>
  <c r="L66" i="28"/>
  <c r="K56" i="28"/>
  <c r="N44" i="28"/>
  <c r="N45" i="28" s="1"/>
  <c r="U9" i="27"/>
  <c r="U10" i="27" s="1"/>
  <c r="Q63" i="29"/>
  <c r="Q73" i="29" s="1"/>
  <c r="Q83" i="29" s="1"/>
  <c r="R52" i="29"/>
  <c r="Q41" i="29"/>
  <c r="P7" i="29"/>
  <c r="M40" i="29"/>
  <c r="O74" i="29"/>
  <c r="O84" i="29"/>
  <c r="O82" i="29" s="1"/>
  <c r="O53" i="29"/>
  <c r="O64" i="29"/>
  <c r="O43" i="28"/>
  <c r="V7" i="27" s="1"/>
  <c r="V8" i="27" s="1"/>
  <c r="O42" i="28"/>
  <c r="V21" i="27"/>
  <c r="V20" i="27" s="1"/>
  <c r="V26" i="27" s="1"/>
  <c r="O41" i="28"/>
  <c r="P86" i="29"/>
  <c r="R2" i="26"/>
  <c r="Q22" i="26"/>
  <c r="Q24" i="26" s="1"/>
  <c r="Q12" i="26"/>
  <c r="K17" i="39" l="1"/>
  <c r="L15" i="39"/>
  <c r="M13" i="39" s="1"/>
  <c r="W12" i="27"/>
  <c r="V17" i="27"/>
  <c r="V18" i="27" s="1"/>
  <c r="V19" i="27" s="1"/>
  <c r="R16" i="26"/>
  <c r="Q18" i="26"/>
  <c r="N38" i="31"/>
  <c r="N38" i="37"/>
  <c r="M53" i="28"/>
  <c r="M55" i="28"/>
  <c r="N40" i="29"/>
  <c r="S2" i="28"/>
  <c r="S47" i="28" s="1"/>
  <c r="O44" i="28"/>
  <c r="O45" i="28" s="1"/>
  <c r="V9" i="27"/>
  <c r="V10" i="27" s="1"/>
  <c r="S55" i="29"/>
  <c r="R66" i="29"/>
  <c r="R76" i="29" s="1"/>
  <c r="R44" i="29"/>
  <c r="N46" i="28"/>
  <c r="N50" i="28"/>
  <c r="N51" i="28" s="1"/>
  <c r="R63" i="29"/>
  <c r="R73" i="29" s="1"/>
  <c r="R83" i="29" s="1"/>
  <c r="S52" i="29"/>
  <c r="R41" i="29"/>
  <c r="Q98" i="29"/>
  <c r="Q103" i="29" s="1"/>
  <c r="R1" i="29"/>
  <c r="R22" i="39" s="1"/>
  <c r="Q35" i="29"/>
  <c r="Q124" i="29"/>
  <c r="Q86" i="29"/>
  <c r="O42" i="29"/>
  <c r="O51" i="29"/>
  <c r="Q7" i="29"/>
  <c r="Q39" i="28"/>
  <c r="Q38" i="28" s="1"/>
  <c r="R37" i="28"/>
  <c r="M66" i="28"/>
  <c r="L56" i="28"/>
  <c r="R22" i="26"/>
  <c r="R24" i="26" s="1"/>
  <c r="R12" i="26"/>
  <c r="S2" i="26"/>
  <c r="P64" i="29"/>
  <c r="P74" i="29"/>
  <c r="P53" i="29"/>
  <c r="P84" i="29"/>
  <c r="P82" i="29" s="1"/>
  <c r="P42" i="28"/>
  <c r="P43" i="28"/>
  <c r="W7" i="27" s="1"/>
  <c r="W8" i="27" s="1"/>
  <c r="W21" i="27"/>
  <c r="W20" i="27" s="1"/>
  <c r="W26" i="27" s="1"/>
  <c r="P41" i="28"/>
  <c r="L17" i="39" l="1"/>
  <c r="M15" i="39"/>
  <c r="N13" i="39" s="1"/>
  <c r="N15" i="39" s="1"/>
  <c r="N17" i="39" s="1"/>
  <c r="W17" i="27"/>
  <c r="W18" i="27" s="1"/>
  <c r="W19" i="27" s="1"/>
  <c r="X12" i="27"/>
  <c r="S16" i="26"/>
  <c r="R18" i="26"/>
  <c r="N53" i="28"/>
  <c r="N55" i="28"/>
  <c r="O50" i="28"/>
  <c r="O51" i="28" s="1"/>
  <c r="O46" i="28"/>
  <c r="R98" i="29"/>
  <c r="R103" i="29" s="1"/>
  <c r="S1" i="29"/>
  <c r="S22" i="39" s="1"/>
  <c r="R35" i="29"/>
  <c r="R124" i="29"/>
  <c r="T2" i="26"/>
  <c r="S22" i="26"/>
  <c r="S24" i="26" s="1"/>
  <c r="S12" i="26"/>
  <c r="O40" i="29"/>
  <c r="R39" i="28"/>
  <c r="R38" i="28" s="1"/>
  <c r="S37" i="28"/>
  <c r="Q84" i="29"/>
  <c r="Q82" i="29" s="1"/>
  <c r="Q74" i="29"/>
  <c r="Q64" i="29"/>
  <c r="Q53" i="29"/>
  <c r="Q43" i="28"/>
  <c r="X7" i="27" s="1"/>
  <c r="X8" i="27" s="1"/>
  <c r="Q41" i="28"/>
  <c r="Q42" i="28"/>
  <c r="X21" i="27"/>
  <c r="X20" i="27" s="1"/>
  <c r="X26" i="27" s="1"/>
  <c r="P42" i="29"/>
  <c r="P51" i="29"/>
  <c r="R7" i="29"/>
  <c r="S63" i="29"/>
  <c r="S73" i="29" s="1"/>
  <c r="S83" i="29" s="1"/>
  <c r="T52" i="29"/>
  <c r="S41" i="29"/>
  <c r="R86" i="29"/>
  <c r="N66" i="28"/>
  <c r="M56" i="28"/>
  <c r="S66" i="29"/>
  <c r="S76" i="29" s="1"/>
  <c r="T55" i="29"/>
  <c r="S44" i="29"/>
  <c r="P44" i="28"/>
  <c r="P45" i="28" s="1"/>
  <c r="W9" i="27"/>
  <c r="W10" i="27" s="1"/>
  <c r="T2" i="28"/>
  <c r="T47" i="28" s="1"/>
  <c r="M17" i="39" l="1"/>
  <c r="X17" i="27"/>
  <c r="X18" i="27" s="1"/>
  <c r="X19" i="27" s="1"/>
  <c r="Y12" i="27"/>
  <c r="T16" i="26"/>
  <c r="S18" i="26"/>
  <c r="P50" i="28"/>
  <c r="P51" i="28" s="1"/>
  <c r="P46" i="28"/>
  <c r="O53" i="28"/>
  <c r="O55" i="28"/>
  <c r="S86" i="29"/>
  <c r="Q42" i="29"/>
  <c r="Q51" i="29"/>
  <c r="S7" i="29"/>
  <c r="R84" i="29"/>
  <c r="R82" i="29" s="1"/>
  <c r="R64" i="29"/>
  <c r="R53" i="29"/>
  <c r="R74" i="29"/>
  <c r="R41" i="28"/>
  <c r="Y21" i="27"/>
  <c r="Y20" i="27" s="1"/>
  <c r="Y26" i="27" s="1"/>
  <c r="R42" i="28"/>
  <c r="R43" i="28"/>
  <c r="Y7" i="27" s="1"/>
  <c r="Y8" i="27" s="1"/>
  <c r="S98" i="29"/>
  <c r="S103" i="29" s="1"/>
  <c r="T1" i="29"/>
  <c r="T22" i="39" s="1"/>
  <c r="S35" i="29"/>
  <c r="S124" i="29"/>
  <c r="U2" i="28"/>
  <c r="U47" i="28" s="1"/>
  <c r="T63" i="29"/>
  <c r="T73" i="29" s="1"/>
  <c r="T83" i="29" s="1"/>
  <c r="U52" i="29"/>
  <c r="T41" i="29"/>
  <c r="T12" i="26"/>
  <c r="U2" i="26"/>
  <c r="T22" i="26"/>
  <c r="T24" i="26" s="1"/>
  <c r="T37" i="28"/>
  <c r="S39" i="28"/>
  <c r="S38" i="28" s="1"/>
  <c r="Q44" i="28"/>
  <c r="Q45" i="28" s="1"/>
  <c r="X9" i="27"/>
  <c r="X10" i="27" s="1"/>
  <c r="O66" i="28"/>
  <c r="N56" i="28"/>
  <c r="P40" i="29"/>
  <c r="T66" i="29"/>
  <c r="T76" i="29" s="1"/>
  <c r="U55" i="29"/>
  <c r="T44" i="29"/>
  <c r="Y17" i="27" l="1"/>
  <c r="Y18" i="27" s="1"/>
  <c r="Y19" i="27" s="1"/>
  <c r="Z12" i="27"/>
  <c r="U16" i="26"/>
  <c r="T18" i="26"/>
  <c r="Q46" i="28"/>
  <c r="Q50" i="28"/>
  <c r="Q51" i="28" s="1"/>
  <c r="T86" i="29"/>
  <c r="T98" i="29"/>
  <c r="T103" i="29" s="1"/>
  <c r="U1" i="29"/>
  <c r="U22" i="39" s="1"/>
  <c r="T35" i="29"/>
  <c r="T124" i="29"/>
  <c r="Q40" i="29"/>
  <c r="U22" i="26"/>
  <c r="U24" i="26" s="1"/>
  <c r="U12" i="26"/>
  <c r="V2" i="26"/>
  <c r="R44" i="28"/>
  <c r="R45" i="28" s="1"/>
  <c r="Y9" i="27"/>
  <c r="Y10" i="27" s="1"/>
  <c r="P53" i="28"/>
  <c r="P55" i="28"/>
  <c r="V2" i="28"/>
  <c r="V47" i="28" s="1"/>
  <c r="U66" i="29"/>
  <c r="U76" i="29" s="1"/>
  <c r="V55" i="29"/>
  <c r="U44" i="29"/>
  <c r="S74" i="29"/>
  <c r="S84" i="29"/>
  <c r="S82" i="29" s="1"/>
  <c r="S64" i="29"/>
  <c r="S53" i="29"/>
  <c r="S41" i="28"/>
  <c r="Z21" i="27"/>
  <c r="Z20" i="27" s="1"/>
  <c r="Z26" i="27" s="1"/>
  <c r="S43" i="28"/>
  <c r="Z7" i="27" s="1"/>
  <c r="Z8" i="27" s="1"/>
  <c r="S42" i="28"/>
  <c r="V52" i="29"/>
  <c r="U63" i="29"/>
  <c r="U73" i="29" s="1"/>
  <c r="U83" i="29" s="1"/>
  <c r="U41" i="29"/>
  <c r="T7" i="29"/>
  <c r="P66" i="28"/>
  <c r="O56" i="28"/>
  <c r="U37" i="28"/>
  <c r="T39" i="28"/>
  <c r="T38" i="28" s="1"/>
  <c r="R42" i="29"/>
  <c r="R51" i="29"/>
  <c r="AA12" i="27" l="1"/>
  <c r="Z17" i="27"/>
  <c r="Z18" i="27" s="1"/>
  <c r="Z19" i="27" s="1"/>
  <c r="V16" i="26"/>
  <c r="U18" i="26"/>
  <c r="R50" i="28"/>
  <c r="R51" i="28" s="1"/>
  <c r="R46" i="28"/>
  <c r="Q53" i="28"/>
  <c r="Q55" i="28"/>
  <c r="V37" i="28"/>
  <c r="U39" i="28"/>
  <c r="U38" i="28" s="1"/>
  <c r="S42" i="29"/>
  <c r="S51" i="29"/>
  <c r="Q66" i="28"/>
  <c r="P56" i="28"/>
  <c r="W2" i="28"/>
  <c r="W47" i="28" s="1"/>
  <c r="U7" i="29"/>
  <c r="V63" i="29"/>
  <c r="V73" i="29" s="1"/>
  <c r="V83" i="29" s="1"/>
  <c r="W52" i="29"/>
  <c r="V41" i="29"/>
  <c r="V12" i="26"/>
  <c r="V22" i="26"/>
  <c r="V24" i="26" s="1"/>
  <c r="W2" i="26"/>
  <c r="V66" i="29"/>
  <c r="V76" i="29" s="1"/>
  <c r="W55" i="29"/>
  <c r="V44" i="29"/>
  <c r="T64" i="29"/>
  <c r="T53" i="29"/>
  <c r="T84" i="29"/>
  <c r="T82" i="29" s="1"/>
  <c r="T74" i="29"/>
  <c r="T42" i="28"/>
  <c r="AA21" i="27"/>
  <c r="AA20" i="27" s="1"/>
  <c r="AA26" i="27" s="1"/>
  <c r="T41" i="28"/>
  <c r="T43" i="28"/>
  <c r="AA7" i="27" s="1"/>
  <c r="AA8" i="27" s="1"/>
  <c r="U86" i="29"/>
  <c r="R40" i="29"/>
  <c r="S44" i="28"/>
  <c r="S45" i="28" s="1"/>
  <c r="Z9" i="27"/>
  <c r="Z10" i="27" s="1"/>
  <c r="U98" i="29"/>
  <c r="U103" i="29" s="1"/>
  <c r="V1" i="29"/>
  <c r="V22" i="39" s="1"/>
  <c r="U35" i="29"/>
  <c r="U124" i="29"/>
  <c r="AB12" i="27" l="1"/>
  <c r="AA17" i="27"/>
  <c r="AA18" i="27" s="1"/>
  <c r="AA19" i="27" s="1"/>
  <c r="W16" i="26"/>
  <c r="V18" i="26"/>
  <c r="S50" i="28"/>
  <c r="S51" i="28" s="1"/>
  <c r="S46" i="28"/>
  <c r="R53" i="28"/>
  <c r="R55" i="28"/>
  <c r="T42" i="29"/>
  <c r="T51" i="29"/>
  <c r="W63" i="29"/>
  <c r="W73" i="29" s="1"/>
  <c r="W83" i="29" s="1"/>
  <c r="X52" i="29"/>
  <c r="W41" i="29"/>
  <c r="V86" i="29"/>
  <c r="AA9" i="27"/>
  <c r="AA10" i="27" s="1"/>
  <c r="T44" i="28"/>
  <c r="T45" i="28" s="1"/>
  <c r="W37" i="28"/>
  <c r="V39" i="28"/>
  <c r="V38" i="28" s="1"/>
  <c r="V98" i="29"/>
  <c r="V103" i="29" s="1"/>
  <c r="W1" i="29"/>
  <c r="W22" i="39" s="1"/>
  <c r="V35" i="29"/>
  <c r="V124" i="29"/>
  <c r="X2" i="28"/>
  <c r="X47" i="28" s="1"/>
  <c r="W22" i="26"/>
  <c r="W24" i="26" s="1"/>
  <c r="W12" i="26"/>
  <c r="X2" i="26"/>
  <c r="U64" i="29"/>
  <c r="U53" i="29"/>
  <c r="U43" i="28"/>
  <c r="AB7" i="27" s="1"/>
  <c r="AB8" i="27" s="1"/>
  <c r="U84" i="29"/>
  <c r="U82" i="29" s="1"/>
  <c r="U74" i="29"/>
  <c r="AB21" i="27"/>
  <c r="AB20" i="27" s="1"/>
  <c r="AB26" i="27" s="1"/>
  <c r="U42" i="28"/>
  <c r="U41" i="28"/>
  <c r="R66" i="28"/>
  <c r="Q56" i="28"/>
  <c r="S40" i="29"/>
  <c r="W66" i="29"/>
  <c r="W76" i="29" s="1"/>
  <c r="X55" i="29"/>
  <c r="W44" i="29"/>
  <c r="V7" i="29"/>
  <c r="AC12" i="27" l="1"/>
  <c r="AB17" i="27"/>
  <c r="AB18" i="27" s="1"/>
  <c r="AB19" i="27" s="1"/>
  <c r="X16" i="26"/>
  <c r="W18" i="26"/>
  <c r="S53" i="28"/>
  <c r="S55" i="28"/>
  <c r="U42" i="29"/>
  <c r="U51" i="29"/>
  <c r="W86" i="29"/>
  <c r="AB9" i="27"/>
  <c r="AB10" i="27" s="1"/>
  <c r="U44" i="28"/>
  <c r="U45" i="28" s="1"/>
  <c r="T46" i="28"/>
  <c r="T50" i="28"/>
  <c r="T51" i="28" s="1"/>
  <c r="X22" i="26"/>
  <c r="X24" i="26" s="1"/>
  <c r="X12" i="26"/>
  <c r="Y2" i="26"/>
  <c r="W7" i="29"/>
  <c r="X1" i="29"/>
  <c r="X22" i="39" s="1"/>
  <c r="W98" i="29"/>
  <c r="W103" i="29" s="1"/>
  <c r="W35" i="29"/>
  <c r="W124" i="29"/>
  <c r="W39" i="28"/>
  <c r="W38" i="28" s="1"/>
  <c r="X37" i="28"/>
  <c r="X63" i="29"/>
  <c r="X73" i="29" s="1"/>
  <c r="X83" i="29" s="1"/>
  <c r="X41" i="29"/>
  <c r="S66" i="28"/>
  <c r="R56" i="28"/>
  <c r="V84" i="29"/>
  <c r="V82" i="29" s="1"/>
  <c r="V74" i="29"/>
  <c r="V53" i="29"/>
  <c r="V64" i="29"/>
  <c r="AC21" i="27"/>
  <c r="AC20" i="27" s="1"/>
  <c r="AC26" i="27" s="1"/>
  <c r="V43" i="28"/>
  <c r="AC7" i="27" s="1"/>
  <c r="AC8" i="27" s="1"/>
  <c r="V42" i="28"/>
  <c r="V41" i="28"/>
  <c r="X66" i="29"/>
  <c r="X76" i="29" s="1"/>
  <c r="X44" i="29"/>
  <c r="T40" i="29"/>
  <c r="AD12" i="27" l="1"/>
  <c r="AC17" i="27"/>
  <c r="AC18" i="27" s="1"/>
  <c r="AC19" i="27" s="1"/>
  <c r="Y16" i="26"/>
  <c r="X18" i="26"/>
  <c r="D122" i="37"/>
  <c r="U50" i="28"/>
  <c r="U51" i="28" s="1"/>
  <c r="U46" i="28"/>
  <c r="X39" i="28"/>
  <c r="X38" i="28" s="1"/>
  <c r="AD37" i="28"/>
  <c r="T53" i="28"/>
  <c r="T55" i="28"/>
  <c r="W74" i="29"/>
  <c r="W64" i="29"/>
  <c r="W53" i="29"/>
  <c r="W84" i="29"/>
  <c r="W82" i="29" s="1"/>
  <c r="W43" i="28"/>
  <c r="AD7" i="27" s="1"/>
  <c r="AD8" i="27" s="1"/>
  <c r="W42" i="28"/>
  <c r="AD21" i="27"/>
  <c r="AD20" i="27" s="1"/>
  <c r="AD26" i="27" s="1"/>
  <c r="W41" i="28"/>
  <c r="T66" i="28"/>
  <c r="S56" i="28"/>
  <c r="AC9" i="27"/>
  <c r="AC10" i="27" s="1"/>
  <c r="V44" i="28"/>
  <c r="V45" i="28" s="1"/>
  <c r="Z2" i="26"/>
  <c r="Y22" i="26"/>
  <c r="Y24" i="26" s="1"/>
  <c r="X86" i="29"/>
  <c r="U40" i="29"/>
  <c r="X7" i="29"/>
  <c r="V42" i="29"/>
  <c r="V51" i="29"/>
  <c r="X98" i="29"/>
  <c r="X103" i="29" s="1"/>
  <c r="D18" i="29"/>
  <c r="X35" i="29"/>
  <c r="X124" i="29"/>
  <c r="D124" i="29" s="1"/>
  <c r="AD17" i="27" l="1"/>
  <c r="AD18" i="27" s="1"/>
  <c r="AD19" i="27" s="1"/>
  <c r="AE12" i="27"/>
  <c r="AE17" i="27" s="1"/>
  <c r="AE18" i="27" s="1"/>
  <c r="AE19" i="27" s="1"/>
  <c r="Z16" i="26"/>
  <c r="Y18" i="26"/>
  <c r="V50" i="28"/>
  <c r="V51" i="28" s="1"/>
  <c r="V46" i="28"/>
  <c r="X84" i="29"/>
  <c r="X82" i="29" s="1"/>
  <c r="X53" i="29"/>
  <c r="X64" i="29"/>
  <c r="X74" i="29"/>
  <c r="X43" i="28"/>
  <c r="AE7" i="27" s="1"/>
  <c r="AE8" i="27" s="1"/>
  <c r="K8" i="27" s="1"/>
  <c r="X42" i="28"/>
  <c r="AE21" i="27"/>
  <c r="AE20" i="27" s="1"/>
  <c r="AE26" i="27" s="1"/>
  <c r="K26" i="27" s="1"/>
  <c r="X41" i="28"/>
  <c r="W42" i="29"/>
  <c r="W51" i="29"/>
  <c r="U66" i="28"/>
  <c r="T56" i="28"/>
  <c r="AD9" i="27"/>
  <c r="AD10" i="27" s="1"/>
  <c r="W44" i="28"/>
  <c r="W45" i="28" s="1"/>
  <c r="V40" i="29"/>
  <c r="U53" i="28"/>
  <c r="U55" i="28"/>
  <c r="AA2" i="26"/>
  <c r="Z22" i="26"/>
  <c r="Z24" i="26" s="1"/>
  <c r="K19" i="27" l="1"/>
  <c r="AA16" i="26"/>
  <c r="Z18" i="26"/>
  <c r="V53" i="28"/>
  <c r="V55" i="28"/>
  <c r="X42" i="29"/>
  <c r="X51" i="29"/>
  <c r="AB2" i="26"/>
  <c r="AA22" i="26"/>
  <c r="AA24" i="26" s="1"/>
  <c r="X44" i="28"/>
  <c r="AD44" i="28" s="1"/>
  <c r="AE9" i="27"/>
  <c r="AE10" i="27" s="1"/>
  <c r="K10" i="27" s="1"/>
  <c r="W40" i="29"/>
  <c r="W50" i="28"/>
  <c r="W51" i="28" s="1"/>
  <c r="W46" i="28"/>
  <c r="V66" i="28"/>
  <c r="U56" i="28"/>
  <c r="K27" i="27" l="1"/>
  <c r="AB16" i="26"/>
  <c r="AA18" i="26"/>
  <c r="X45" i="28"/>
  <c r="X46" i="28" s="1"/>
  <c r="W66" i="28"/>
  <c r="V56" i="28"/>
  <c r="AB22" i="26"/>
  <c r="AB24" i="26" s="1"/>
  <c r="AC2" i="26"/>
  <c r="W53" i="28"/>
  <c r="W55" i="28"/>
  <c r="X40" i="29"/>
  <c r="X50" i="28" l="1"/>
  <c r="X51" i="28" s="1"/>
  <c r="X53" i="28" s="1"/>
  <c r="AC16" i="26"/>
  <c r="AB18" i="26"/>
  <c r="N95" i="31"/>
  <c r="AC22" i="26"/>
  <c r="AC24" i="26" s="1"/>
  <c r="AD2" i="26"/>
  <c r="X66" i="28"/>
  <c r="W56" i="28"/>
  <c r="X55" i="28" l="1"/>
  <c r="D55" i="28" s="1"/>
  <c r="AD16" i="26"/>
  <c r="AC18" i="26"/>
  <c r="AE2" i="26"/>
  <c r="AD22" i="26"/>
  <c r="AD24" i="26" s="1"/>
  <c r="Y66" i="28"/>
  <c r="D66" i="28" s="1"/>
  <c r="X56" i="28"/>
  <c r="D56" i="28" s="1"/>
  <c r="AE16" i="26" l="1"/>
  <c r="AD18" i="26"/>
  <c r="AF2" i="26"/>
  <c r="AE22" i="26"/>
  <c r="AE24" i="26" s="1"/>
  <c r="AF16" i="26" l="1"/>
  <c r="AE18" i="26"/>
  <c r="AG2" i="26"/>
  <c r="AF22" i="26"/>
  <c r="AF24" i="26" s="1"/>
  <c r="AG16" i="26" l="1"/>
  <c r="AF18" i="26"/>
  <c r="AG22" i="26"/>
  <c r="AG24" i="26" s="1"/>
  <c r="AH2" i="26"/>
  <c r="AG18" i="26" l="1"/>
  <c r="AH16" i="26"/>
  <c r="AH18" i="26" s="1"/>
  <c r="AH22" i="26"/>
  <c r="AH24" i="26" s="1"/>
  <c r="E18" i="5" l="1"/>
  <c r="E19" i="5"/>
  <c r="E24" i="26" l="1"/>
  <c r="D24" i="26" s="1"/>
  <c r="G19" i="26"/>
  <c r="G45" i="26" l="1"/>
  <c r="E45" i="26"/>
  <c r="F19" i="26"/>
  <c r="H19" i="26" l="1"/>
  <c r="H45" i="26" s="1"/>
  <c r="F8" i="26"/>
  <c r="F45" i="26"/>
  <c r="E85" i="31" l="1"/>
  <c r="E86" i="31" s="1"/>
  <c r="E54" i="31"/>
  <c r="E54" i="37"/>
  <c r="E65" i="37"/>
  <c r="E66" i="37" s="1"/>
  <c r="E75" i="31"/>
  <c r="E73" i="31" s="1"/>
  <c r="E76" i="31" s="1"/>
  <c r="E65" i="31"/>
  <c r="E66" i="31" s="1"/>
  <c r="E75" i="37"/>
  <c r="E73" i="37" s="1"/>
  <c r="E76" i="37" s="1"/>
  <c r="E85" i="37"/>
  <c r="E86" i="37" s="1"/>
  <c r="I19" i="26"/>
  <c r="I45" i="26" s="1"/>
  <c r="E87" i="29"/>
  <c r="E88" i="29" s="1"/>
  <c r="E56" i="29"/>
  <c r="E67" i="29"/>
  <c r="E68" i="29" s="1"/>
  <c r="E77" i="29"/>
  <c r="E75" i="29" s="1"/>
  <c r="E78" i="29" s="1"/>
  <c r="G8" i="26"/>
  <c r="F9" i="26"/>
  <c r="F75" i="31" l="1"/>
  <c r="F73" i="31" s="1"/>
  <c r="F76" i="31" s="1"/>
  <c r="F54" i="37"/>
  <c r="F85" i="37"/>
  <c r="F86" i="37" s="1"/>
  <c r="F65" i="31"/>
  <c r="F66" i="31" s="1"/>
  <c r="F75" i="37"/>
  <c r="F73" i="37" s="1"/>
  <c r="F76" i="37" s="1"/>
  <c r="F85" i="31"/>
  <c r="F86" i="31" s="1"/>
  <c r="F65" i="37"/>
  <c r="F66" i="37" s="1"/>
  <c r="F54" i="31"/>
  <c r="E52" i="37"/>
  <c r="E43" i="37"/>
  <c r="E52" i="31"/>
  <c r="E43" i="31"/>
  <c r="J19" i="26"/>
  <c r="J45" i="26" s="1"/>
  <c r="F67" i="29"/>
  <c r="F68" i="29" s="1"/>
  <c r="F77" i="29"/>
  <c r="F75" i="29" s="1"/>
  <c r="F78" i="29" s="1"/>
  <c r="F11" i="26"/>
  <c r="F56" i="29"/>
  <c r="F87" i="29"/>
  <c r="F88" i="29" s="1"/>
  <c r="E45" i="29"/>
  <c r="E54" i="29"/>
  <c r="H8" i="26"/>
  <c r="G9" i="26"/>
  <c r="G75" i="31" l="1"/>
  <c r="G73" i="31" s="1"/>
  <c r="G76" i="31" s="1"/>
  <c r="G85" i="37"/>
  <c r="G86" i="37" s="1"/>
  <c r="G65" i="31"/>
  <c r="G66" i="31" s="1"/>
  <c r="G85" i="31"/>
  <c r="G86" i="31" s="1"/>
  <c r="G75" i="37"/>
  <c r="G73" i="37" s="1"/>
  <c r="G76" i="37" s="1"/>
  <c r="G54" i="31"/>
  <c r="G65" i="37"/>
  <c r="G66" i="37" s="1"/>
  <c r="G54" i="37"/>
  <c r="E41" i="31"/>
  <c r="E55" i="31"/>
  <c r="E44" i="31" s="1"/>
  <c r="F52" i="31"/>
  <c r="F43" i="31"/>
  <c r="F52" i="37"/>
  <c r="F43" i="37"/>
  <c r="E41" i="37"/>
  <c r="E55" i="37"/>
  <c r="E44" i="37" s="1"/>
  <c r="E92" i="37" s="1"/>
  <c r="E120" i="37" s="1"/>
  <c r="K19" i="26"/>
  <c r="K45" i="26" s="1"/>
  <c r="G11" i="26"/>
  <c r="G87" i="29"/>
  <c r="G88" i="29" s="1"/>
  <c r="G67" i="29"/>
  <c r="G68" i="29" s="1"/>
  <c r="G77" i="29"/>
  <c r="G75" i="29" s="1"/>
  <c r="G78" i="29" s="1"/>
  <c r="G56" i="29"/>
  <c r="E57" i="29"/>
  <c r="E46" i="29" s="1"/>
  <c r="E94" i="29" s="1"/>
  <c r="E121" i="29" s="1"/>
  <c r="E43" i="29"/>
  <c r="F54" i="29"/>
  <c r="F45" i="29"/>
  <c r="I8" i="26"/>
  <c r="H9" i="26"/>
  <c r="G43" i="37" l="1"/>
  <c r="G52" i="37"/>
  <c r="G43" i="31"/>
  <c r="G52" i="31"/>
  <c r="F41" i="37"/>
  <c r="F55" i="37"/>
  <c r="F44" i="37" s="1"/>
  <c r="F92" i="37" s="1"/>
  <c r="F120" i="37" s="1"/>
  <c r="F41" i="31"/>
  <c r="F55" i="31"/>
  <c r="F44" i="31" s="1"/>
  <c r="H85" i="31"/>
  <c r="H86" i="31" s="1"/>
  <c r="H54" i="31"/>
  <c r="H85" i="37"/>
  <c r="H86" i="37" s="1"/>
  <c r="H65" i="31"/>
  <c r="H66" i="31" s="1"/>
  <c r="H75" i="37"/>
  <c r="H73" i="37" s="1"/>
  <c r="H76" i="37" s="1"/>
  <c r="H65" i="37"/>
  <c r="H66" i="37" s="1"/>
  <c r="H54" i="37"/>
  <c r="H75" i="31"/>
  <c r="H73" i="31" s="1"/>
  <c r="H76" i="31" s="1"/>
  <c r="L19" i="26"/>
  <c r="L45" i="26" s="1"/>
  <c r="G54" i="29"/>
  <c r="G45" i="29"/>
  <c r="F43" i="29"/>
  <c r="F57" i="29"/>
  <c r="F46" i="29" s="1"/>
  <c r="F94" i="29" s="1"/>
  <c r="F121" i="29" s="1"/>
  <c r="H11" i="26"/>
  <c r="H56" i="29"/>
  <c r="H77" i="29"/>
  <c r="H75" i="29" s="1"/>
  <c r="H78" i="29" s="1"/>
  <c r="H87" i="29"/>
  <c r="H88" i="29" s="1"/>
  <c r="H67" i="29"/>
  <c r="H68" i="29" s="1"/>
  <c r="J8" i="26"/>
  <c r="I9" i="26"/>
  <c r="H43" i="37" l="1"/>
  <c r="H52" i="37"/>
  <c r="G41" i="31"/>
  <c r="G55" i="31"/>
  <c r="G44" i="31" s="1"/>
  <c r="H43" i="31"/>
  <c r="H52" i="31"/>
  <c r="G41" i="37"/>
  <c r="G55" i="37"/>
  <c r="G44" i="37" s="1"/>
  <c r="G92" i="37" s="1"/>
  <c r="G120" i="37" s="1"/>
  <c r="I85" i="37"/>
  <c r="I86" i="37" s="1"/>
  <c r="I65" i="31"/>
  <c r="I66" i="31" s="1"/>
  <c r="I75" i="37"/>
  <c r="I73" i="37" s="1"/>
  <c r="I76" i="37" s="1"/>
  <c r="I75" i="31"/>
  <c r="I73" i="31" s="1"/>
  <c r="I76" i="31" s="1"/>
  <c r="I65" i="37"/>
  <c r="I66" i="37" s="1"/>
  <c r="I54" i="37"/>
  <c r="I85" i="31"/>
  <c r="I86" i="31" s="1"/>
  <c r="I54" i="31"/>
  <c r="M19" i="26"/>
  <c r="M45" i="26" s="1"/>
  <c r="I67" i="29"/>
  <c r="I68" i="29" s="1"/>
  <c r="I77" i="29"/>
  <c r="I75" i="29" s="1"/>
  <c r="I78" i="29" s="1"/>
  <c r="I87" i="29"/>
  <c r="I88" i="29" s="1"/>
  <c r="I11" i="26"/>
  <c r="I56" i="29"/>
  <c r="H54" i="29"/>
  <c r="H45" i="29"/>
  <c r="K8" i="26"/>
  <c r="J9" i="26"/>
  <c r="G43" i="29"/>
  <c r="G57" i="29"/>
  <c r="G46" i="29" s="1"/>
  <c r="G94" i="29" s="1"/>
  <c r="G121" i="29" s="1"/>
  <c r="I43" i="37" l="1"/>
  <c r="I52" i="37"/>
  <c r="H41" i="31"/>
  <c r="H55" i="31"/>
  <c r="H44" i="31" s="1"/>
  <c r="J75" i="37"/>
  <c r="J73" i="37" s="1"/>
  <c r="J76" i="37" s="1"/>
  <c r="J65" i="37"/>
  <c r="J66" i="37" s="1"/>
  <c r="J85" i="37"/>
  <c r="J86" i="37" s="1"/>
  <c r="J65" i="31"/>
  <c r="J66" i="31" s="1"/>
  <c r="J54" i="37"/>
  <c r="J85" i="31"/>
  <c r="J86" i="31" s="1"/>
  <c r="J54" i="31"/>
  <c r="J75" i="31"/>
  <c r="J73" i="31" s="1"/>
  <c r="J76" i="31" s="1"/>
  <c r="H41" i="37"/>
  <c r="H55" i="37"/>
  <c r="H44" i="37" s="1"/>
  <c r="H92" i="37" s="1"/>
  <c r="H120" i="37" s="1"/>
  <c r="I43" i="31"/>
  <c r="I52" i="31"/>
  <c r="N19" i="26"/>
  <c r="N45" i="26" s="1"/>
  <c r="I54" i="29"/>
  <c r="I45" i="29"/>
  <c r="J67" i="29"/>
  <c r="J68" i="29" s="1"/>
  <c r="J77" i="29"/>
  <c r="J75" i="29" s="1"/>
  <c r="J78" i="29" s="1"/>
  <c r="J56" i="29"/>
  <c r="J11" i="26"/>
  <c r="J87" i="29"/>
  <c r="J88" i="29" s="1"/>
  <c r="K9" i="26"/>
  <c r="L8" i="26"/>
  <c r="H43" i="29"/>
  <c r="H57" i="29"/>
  <c r="H46" i="29" s="1"/>
  <c r="H94" i="29" s="1"/>
  <c r="H121" i="29" s="1"/>
  <c r="J43" i="31" l="1"/>
  <c r="J52" i="31"/>
  <c r="I41" i="37"/>
  <c r="I55" i="37"/>
  <c r="I44" i="37" s="1"/>
  <c r="I92" i="37" s="1"/>
  <c r="I120" i="37" s="1"/>
  <c r="J43" i="37"/>
  <c r="J52" i="37"/>
  <c r="K65" i="37"/>
  <c r="K66" i="37" s="1"/>
  <c r="K65" i="31"/>
  <c r="K66" i="31" s="1"/>
  <c r="K75" i="37"/>
  <c r="K73" i="37" s="1"/>
  <c r="K76" i="37" s="1"/>
  <c r="K54" i="37"/>
  <c r="K85" i="31"/>
  <c r="K86" i="31" s="1"/>
  <c r="K54" i="31"/>
  <c r="K75" i="31"/>
  <c r="K73" i="31" s="1"/>
  <c r="K76" i="31" s="1"/>
  <c r="K85" i="37"/>
  <c r="K86" i="37" s="1"/>
  <c r="I41" i="31"/>
  <c r="I55" i="31"/>
  <c r="I44" i="31" s="1"/>
  <c r="O19" i="26"/>
  <c r="O45" i="26" s="1"/>
  <c r="J54" i="29"/>
  <c r="J45" i="29"/>
  <c r="L9" i="26"/>
  <c r="M8" i="26"/>
  <c r="K67" i="29"/>
  <c r="K68" i="29" s="1"/>
  <c r="K11" i="26"/>
  <c r="K56" i="29"/>
  <c r="K77" i="29"/>
  <c r="K75" i="29" s="1"/>
  <c r="K78" i="29" s="1"/>
  <c r="K87" i="29"/>
  <c r="K88" i="29" s="1"/>
  <c r="I43" i="29"/>
  <c r="I57" i="29"/>
  <c r="I46" i="29" s="1"/>
  <c r="I94" i="29" s="1"/>
  <c r="I121" i="29" s="1"/>
  <c r="J41" i="37" l="1"/>
  <c r="J55" i="37"/>
  <c r="J44" i="37" s="1"/>
  <c r="J92" i="37" s="1"/>
  <c r="J120" i="37" s="1"/>
  <c r="L54" i="37"/>
  <c r="L85" i="31"/>
  <c r="L86" i="31" s="1"/>
  <c r="L54" i="31"/>
  <c r="L75" i="37"/>
  <c r="L73" i="37" s="1"/>
  <c r="L76" i="37" s="1"/>
  <c r="L65" i="31"/>
  <c r="L66" i="31" s="1"/>
  <c r="L75" i="31"/>
  <c r="L73" i="31" s="1"/>
  <c r="L76" i="31" s="1"/>
  <c r="L85" i="37"/>
  <c r="L86" i="37" s="1"/>
  <c r="L65" i="37"/>
  <c r="L66" i="37" s="1"/>
  <c r="K43" i="31"/>
  <c r="K52" i="31"/>
  <c r="K43" i="37"/>
  <c r="K52" i="37"/>
  <c r="J41" i="31"/>
  <c r="J55" i="31"/>
  <c r="J44" i="31" s="1"/>
  <c r="P19" i="26"/>
  <c r="P45" i="26" s="1"/>
  <c r="K54" i="29"/>
  <c r="K45" i="29"/>
  <c r="N8" i="26"/>
  <c r="M9" i="26"/>
  <c r="L11" i="26"/>
  <c r="L77" i="29"/>
  <c r="L75" i="29" s="1"/>
  <c r="L78" i="29" s="1"/>
  <c r="L87" i="29"/>
  <c r="L88" i="29" s="1"/>
  <c r="L56" i="29"/>
  <c r="L67" i="29"/>
  <c r="L68" i="29" s="1"/>
  <c r="J57" i="29"/>
  <c r="J46" i="29" s="1"/>
  <c r="J94" i="29" s="1"/>
  <c r="J121" i="29" s="1"/>
  <c r="J43" i="29"/>
  <c r="L43" i="37" l="1"/>
  <c r="L52" i="37"/>
  <c r="K41" i="37"/>
  <c r="K55" i="37"/>
  <c r="K44" i="37" s="1"/>
  <c r="K92" i="37" s="1"/>
  <c r="K120" i="37" s="1"/>
  <c r="M54" i="37"/>
  <c r="M85" i="31"/>
  <c r="M86" i="31" s="1"/>
  <c r="M54" i="31"/>
  <c r="M65" i="31"/>
  <c r="M66" i="31" s="1"/>
  <c r="M75" i="31"/>
  <c r="M73" i="31" s="1"/>
  <c r="M76" i="31" s="1"/>
  <c r="M85" i="37"/>
  <c r="M86" i="37" s="1"/>
  <c r="M65" i="37"/>
  <c r="M66" i="37" s="1"/>
  <c r="M75" i="37"/>
  <c r="M73" i="37" s="1"/>
  <c r="M76" i="37" s="1"/>
  <c r="L43" i="31"/>
  <c r="L52" i="31"/>
  <c r="K41" i="31"/>
  <c r="K55" i="31"/>
  <c r="K44" i="31" s="1"/>
  <c r="Q19" i="26"/>
  <c r="Q45" i="26" s="1"/>
  <c r="O8" i="26"/>
  <c r="N9" i="26"/>
  <c r="M11" i="26"/>
  <c r="M56" i="29"/>
  <c r="M87" i="29"/>
  <c r="M88" i="29" s="1"/>
  <c r="M67" i="29"/>
  <c r="M68" i="29" s="1"/>
  <c r="M77" i="29"/>
  <c r="M75" i="29" s="1"/>
  <c r="M78" i="29" s="1"/>
  <c r="K43" i="29"/>
  <c r="K57" i="29"/>
  <c r="K46" i="29" s="1"/>
  <c r="K94" i="29" s="1"/>
  <c r="K121" i="29" s="1"/>
  <c r="L54" i="29"/>
  <c r="L45" i="29"/>
  <c r="M43" i="31" l="1"/>
  <c r="M52" i="31"/>
  <c r="L41" i="31"/>
  <c r="L55" i="31"/>
  <c r="L44" i="31" s="1"/>
  <c r="M43" i="37"/>
  <c r="M52" i="37"/>
  <c r="N75" i="31"/>
  <c r="N73" i="31" s="1"/>
  <c r="N76" i="31" s="1"/>
  <c r="N85" i="31"/>
  <c r="N86" i="31" s="1"/>
  <c r="N85" i="37"/>
  <c r="N86" i="37" s="1"/>
  <c r="N65" i="31"/>
  <c r="N66" i="31" s="1"/>
  <c r="N54" i="37"/>
  <c r="N54" i="31"/>
  <c r="N75" i="37"/>
  <c r="N73" i="37" s="1"/>
  <c r="N76" i="37" s="1"/>
  <c r="N65" i="37"/>
  <c r="N66" i="37" s="1"/>
  <c r="L41" i="37"/>
  <c r="L55" i="37"/>
  <c r="L44" i="37" s="1"/>
  <c r="L92" i="37" s="1"/>
  <c r="L120" i="37" s="1"/>
  <c r="R19" i="26"/>
  <c r="R45" i="26" s="1"/>
  <c r="L57" i="29"/>
  <c r="L46" i="29" s="1"/>
  <c r="L94" i="29" s="1"/>
  <c r="L121" i="29" s="1"/>
  <c r="L43" i="29"/>
  <c r="M45" i="29"/>
  <c r="M54" i="29"/>
  <c r="N87" i="29"/>
  <c r="N88" i="29" s="1"/>
  <c r="N11" i="26"/>
  <c r="N56" i="29"/>
  <c r="N67" i="29"/>
  <c r="N68" i="29" s="1"/>
  <c r="N77" i="29"/>
  <c r="N75" i="29" s="1"/>
  <c r="N78" i="29" s="1"/>
  <c r="P8" i="26"/>
  <c r="O9" i="26"/>
  <c r="N43" i="31" l="1"/>
  <c r="N52" i="31"/>
  <c r="N43" i="37"/>
  <c r="N52" i="37"/>
  <c r="M41" i="31"/>
  <c r="M55" i="31"/>
  <c r="M44" i="31" s="1"/>
  <c r="M41" i="37"/>
  <c r="M55" i="37"/>
  <c r="M44" i="37" s="1"/>
  <c r="M92" i="37" s="1"/>
  <c r="M120" i="37" s="1"/>
  <c r="S19" i="26"/>
  <c r="S45" i="26" s="1"/>
  <c r="O87" i="29"/>
  <c r="O88" i="29" s="1"/>
  <c r="O67" i="29"/>
  <c r="O68" i="29" s="1"/>
  <c r="O77" i="29"/>
  <c r="O75" i="29" s="1"/>
  <c r="O78" i="29" s="1"/>
  <c r="O11" i="26"/>
  <c r="O56" i="29"/>
  <c r="P9" i="26"/>
  <c r="Q8" i="26"/>
  <c r="M57" i="29"/>
  <c r="M46" i="29" s="1"/>
  <c r="M94" i="29" s="1"/>
  <c r="M121" i="29" s="1"/>
  <c r="M43" i="29"/>
  <c r="N45" i="29"/>
  <c r="N54" i="29"/>
  <c r="N41" i="37" l="1"/>
  <c r="N55" i="37"/>
  <c r="N44" i="37" s="1"/>
  <c r="N92" i="37" s="1"/>
  <c r="N120" i="37" s="1"/>
  <c r="D120" i="37" s="1"/>
  <c r="N41" i="31"/>
  <c r="N55" i="31"/>
  <c r="N44" i="31" s="1"/>
  <c r="N92" i="31" s="1"/>
  <c r="N93" i="31" s="1"/>
  <c r="T19" i="26"/>
  <c r="T45" i="26" s="1"/>
  <c r="P56" i="29"/>
  <c r="P87" i="29"/>
  <c r="P88" i="29" s="1"/>
  <c r="P11" i="26"/>
  <c r="P77" i="29"/>
  <c r="P75" i="29" s="1"/>
  <c r="P78" i="29" s="1"/>
  <c r="P67" i="29"/>
  <c r="P68" i="29" s="1"/>
  <c r="O54" i="29"/>
  <c r="O45" i="29"/>
  <c r="N43" i="29"/>
  <c r="N57" i="29"/>
  <c r="N46" i="29" s="1"/>
  <c r="N94" i="29" s="1"/>
  <c r="N121" i="29" s="1"/>
  <c r="R8" i="26"/>
  <c r="Q9" i="26"/>
  <c r="N94" i="31" l="1"/>
  <c r="U19" i="26"/>
  <c r="U45" i="26" s="1"/>
  <c r="Q56" i="29"/>
  <c r="Q67" i="29"/>
  <c r="Q68" i="29" s="1"/>
  <c r="Q77" i="29"/>
  <c r="Q75" i="29" s="1"/>
  <c r="Q78" i="29" s="1"/>
  <c r="Q87" i="29"/>
  <c r="Q88" i="29" s="1"/>
  <c r="Q11" i="26"/>
  <c r="R9" i="26"/>
  <c r="S8" i="26"/>
  <c r="O57" i="29"/>
  <c r="O46" i="29" s="1"/>
  <c r="O94" i="29" s="1"/>
  <c r="O121" i="29" s="1"/>
  <c r="O43" i="29"/>
  <c r="P54" i="29"/>
  <c r="P45" i="29"/>
  <c r="V19" i="26" l="1"/>
  <c r="V45" i="26" s="1"/>
  <c r="R56" i="29"/>
  <c r="R67" i="29"/>
  <c r="R68" i="29" s="1"/>
  <c r="R77" i="29"/>
  <c r="R75" i="29" s="1"/>
  <c r="R78" i="29" s="1"/>
  <c r="R87" i="29"/>
  <c r="R88" i="29" s="1"/>
  <c r="R11" i="26"/>
  <c r="P43" i="29"/>
  <c r="P57" i="29"/>
  <c r="P46" i="29" s="1"/>
  <c r="P94" i="29" s="1"/>
  <c r="P121" i="29" s="1"/>
  <c r="Q45" i="29"/>
  <c r="Q54" i="29"/>
  <c r="S9" i="26"/>
  <c r="T8" i="26"/>
  <c r="W19" i="26" l="1"/>
  <c r="W45" i="26" s="1"/>
  <c r="T9" i="26"/>
  <c r="U8" i="26"/>
  <c r="S11" i="26"/>
  <c r="S56" i="29"/>
  <c r="S87" i="29"/>
  <c r="S88" i="29" s="1"/>
  <c r="S67" i="29"/>
  <c r="S68" i="29" s="1"/>
  <c r="S77" i="29"/>
  <c r="S75" i="29" s="1"/>
  <c r="S78" i="29" s="1"/>
  <c r="Q57" i="29"/>
  <c r="Q46" i="29" s="1"/>
  <c r="Q94" i="29" s="1"/>
  <c r="Q121" i="29" s="1"/>
  <c r="Q43" i="29"/>
  <c r="R45" i="29"/>
  <c r="R54" i="29"/>
  <c r="X19" i="26" l="1"/>
  <c r="X45" i="26" s="1"/>
  <c r="S54" i="29"/>
  <c r="S45" i="29"/>
  <c r="R43" i="29"/>
  <c r="R57" i="29"/>
  <c r="R46" i="29" s="1"/>
  <c r="R94" i="29" s="1"/>
  <c r="R121" i="29" s="1"/>
  <c r="V8" i="26"/>
  <c r="U9" i="26"/>
  <c r="T87" i="29"/>
  <c r="T88" i="29" s="1"/>
  <c r="T67" i="29"/>
  <c r="T68" i="29" s="1"/>
  <c r="T11" i="26"/>
  <c r="T77" i="29"/>
  <c r="T75" i="29" s="1"/>
  <c r="T78" i="29" s="1"/>
  <c r="T56" i="29"/>
  <c r="Y19" i="26" l="1"/>
  <c r="Y45" i="26" s="1"/>
  <c r="V9" i="26"/>
  <c r="W8" i="26"/>
  <c r="S43" i="29"/>
  <c r="S57" i="29"/>
  <c r="S46" i="29" s="1"/>
  <c r="S94" i="29" s="1"/>
  <c r="S121" i="29" s="1"/>
  <c r="T45" i="29"/>
  <c r="T54" i="29"/>
  <c r="U87" i="29"/>
  <c r="U88" i="29" s="1"/>
  <c r="U11" i="26"/>
  <c r="U77" i="29"/>
  <c r="U75" i="29" s="1"/>
  <c r="U78" i="29" s="1"/>
  <c r="U56" i="29"/>
  <c r="U67" i="29"/>
  <c r="U68" i="29" s="1"/>
  <c r="Z19" i="26" l="1"/>
  <c r="Z45" i="26" s="1"/>
  <c r="U54" i="29"/>
  <c r="U45" i="29"/>
  <c r="X8" i="26"/>
  <c r="W9" i="26"/>
  <c r="V67" i="29"/>
  <c r="V68" i="29" s="1"/>
  <c r="V11" i="26"/>
  <c r="V77" i="29"/>
  <c r="V75" i="29" s="1"/>
  <c r="V78" i="29" s="1"/>
  <c r="V56" i="29"/>
  <c r="V87" i="29"/>
  <c r="V88" i="29" s="1"/>
  <c r="T57" i="29"/>
  <c r="T46" i="29" s="1"/>
  <c r="T94" i="29" s="1"/>
  <c r="T121" i="29" s="1"/>
  <c r="T43" i="29"/>
  <c r="AA19" i="26" l="1"/>
  <c r="AA45" i="26" s="1"/>
  <c r="V54" i="29"/>
  <c r="V45" i="29"/>
  <c r="W56" i="29"/>
  <c r="W11" i="26"/>
  <c r="W67" i="29"/>
  <c r="W68" i="29" s="1"/>
  <c r="W77" i="29"/>
  <c r="W75" i="29" s="1"/>
  <c r="W78" i="29" s="1"/>
  <c r="W87" i="29"/>
  <c r="W88" i="29" s="1"/>
  <c r="X9" i="26"/>
  <c r="Y8" i="26"/>
  <c r="U57" i="29"/>
  <c r="U46" i="29" s="1"/>
  <c r="U94" i="29" s="1"/>
  <c r="U121" i="29" s="1"/>
  <c r="U43" i="29"/>
  <c r="AB19" i="26" l="1"/>
  <c r="AB45" i="26" s="1"/>
  <c r="W45" i="29"/>
  <c r="W54" i="29"/>
  <c r="Y9" i="26"/>
  <c r="Y11" i="26" s="1"/>
  <c r="Y12" i="26" s="1"/>
  <c r="Z8" i="26"/>
  <c r="X56" i="29"/>
  <c r="X77" i="29"/>
  <c r="X75" i="29" s="1"/>
  <c r="X78" i="29" s="1"/>
  <c r="X11" i="26"/>
  <c r="X67" i="29"/>
  <c r="X68" i="29" s="1"/>
  <c r="X87" i="29"/>
  <c r="X88" i="29" s="1"/>
  <c r="V43" i="29"/>
  <c r="V57" i="29"/>
  <c r="V46" i="29" s="1"/>
  <c r="V94" i="29" s="1"/>
  <c r="V121" i="29" s="1"/>
  <c r="AC19" i="26" l="1"/>
  <c r="AC45" i="26" s="1"/>
  <c r="AA8" i="26"/>
  <c r="Z9" i="26"/>
  <c r="Z11" i="26" s="1"/>
  <c r="Z12" i="26" s="1"/>
  <c r="W43" i="29"/>
  <c r="W57" i="29"/>
  <c r="W46" i="29" s="1"/>
  <c r="W94" i="29" s="1"/>
  <c r="W121" i="29" s="1"/>
  <c r="X45" i="29"/>
  <c r="X54" i="29"/>
  <c r="AD19" i="26" l="1"/>
  <c r="AD45" i="26" s="1"/>
  <c r="AA9" i="26"/>
  <c r="AA11" i="26" s="1"/>
  <c r="AA12" i="26" s="1"/>
  <c r="AB8" i="26"/>
  <c r="X57" i="29"/>
  <c r="X46" i="29" s="1"/>
  <c r="X94" i="29" s="1"/>
  <c r="X121" i="29" s="1"/>
  <c r="D121" i="29" s="1"/>
  <c r="X43" i="29"/>
  <c r="AE19" i="26" l="1"/>
  <c r="AE45" i="26" s="1"/>
  <c r="AC8" i="26"/>
  <c r="AB9" i="26"/>
  <c r="AB11" i="26" s="1"/>
  <c r="AB12" i="26" s="1"/>
  <c r="AF19" i="26" l="1"/>
  <c r="AF45" i="26" s="1"/>
  <c r="AD8" i="26"/>
  <c r="AC9" i="26"/>
  <c r="AC11" i="26" s="1"/>
  <c r="AC12" i="26" s="1"/>
  <c r="AG19" i="26" l="1"/>
  <c r="AH19" i="26"/>
  <c r="AD9" i="26"/>
  <c r="AD11" i="26" s="1"/>
  <c r="AD12" i="26" s="1"/>
  <c r="AE8" i="26"/>
  <c r="AH45" i="26" l="1"/>
  <c r="D46" i="26"/>
  <c r="AG45" i="26"/>
  <c r="D45" i="26" s="1"/>
  <c r="D47" i="26" s="1"/>
  <c r="E20" i="26"/>
  <c r="AF8" i="26"/>
  <c r="AE9" i="26"/>
  <c r="AE11" i="26" s="1"/>
  <c r="AE12" i="26" s="1"/>
  <c r="G20" i="26" l="1"/>
  <c r="G25" i="26" s="1"/>
  <c r="M20" i="26"/>
  <c r="M25" i="26" s="1"/>
  <c r="U20" i="26"/>
  <c r="U25" i="26" s="1"/>
  <c r="AC20" i="26"/>
  <c r="AC25" i="26" s="1"/>
  <c r="E25" i="26"/>
  <c r="N20" i="26"/>
  <c r="N25" i="26" s="1"/>
  <c r="V20" i="26"/>
  <c r="V25" i="26" s="1"/>
  <c r="AD20" i="26"/>
  <c r="AD25" i="26" s="1"/>
  <c r="P20" i="26"/>
  <c r="P25" i="26" s="1"/>
  <c r="Q20" i="26"/>
  <c r="Q25" i="26" s="1"/>
  <c r="AG20" i="26"/>
  <c r="AG25" i="26" s="1"/>
  <c r="AF20" i="26"/>
  <c r="AF25" i="26" s="1"/>
  <c r="I20" i="26"/>
  <c r="I25" i="26" s="1"/>
  <c r="Z20" i="26"/>
  <c r="Z25" i="26" s="1"/>
  <c r="K20" i="26"/>
  <c r="K25" i="26" s="1"/>
  <c r="H20" i="26"/>
  <c r="H25" i="26" s="1"/>
  <c r="O20" i="26"/>
  <c r="O25" i="26" s="1"/>
  <c r="W20" i="26"/>
  <c r="W25" i="26" s="1"/>
  <c r="AE20" i="26"/>
  <c r="AE25" i="26" s="1"/>
  <c r="F20" i="26"/>
  <c r="F25" i="26" s="1"/>
  <c r="X20" i="26"/>
  <c r="X25" i="26" s="1"/>
  <c r="Y20" i="26"/>
  <c r="Y25" i="26" s="1"/>
  <c r="J20" i="26"/>
  <c r="J25" i="26" s="1"/>
  <c r="AA20" i="26"/>
  <c r="AA25" i="26" s="1"/>
  <c r="L20" i="26"/>
  <c r="L25" i="26" s="1"/>
  <c r="T20" i="26"/>
  <c r="T25" i="26" s="1"/>
  <c r="AB20" i="26"/>
  <c r="AB25" i="26" s="1"/>
  <c r="R20" i="26"/>
  <c r="R25" i="26" s="1"/>
  <c r="S20" i="26"/>
  <c r="S25" i="26" s="1"/>
  <c r="AH20" i="26"/>
  <c r="AH25" i="26" s="1"/>
  <c r="AF9" i="26"/>
  <c r="AF11" i="26" s="1"/>
  <c r="AF12" i="26" s="1"/>
  <c r="AG8" i="26"/>
  <c r="F29" i="26" l="1"/>
  <c r="F30" i="26" s="1"/>
  <c r="E29" i="26"/>
  <c r="E30" i="26" s="1"/>
  <c r="Y29" i="26"/>
  <c r="Y30" i="26" s="1"/>
  <c r="Y26" i="26"/>
  <c r="X29" i="26"/>
  <c r="X30" i="26" s="1"/>
  <c r="X26" i="26"/>
  <c r="AA26" i="26"/>
  <c r="AA29" i="26"/>
  <c r="AA30" i="26" s="1"/>
  <c r="H29" i="26"/>
  <c r="H30" i="26" s="1"/>
  <c r="H26" i="26"/>
  <c r="AD26" i="26"/>
  <c r="AD29" i="26"/>
  <c r="AD30" i="26" s="1"/>
  <c r="V26" i="26"/>
  <c r="V29" i="26"/>
  <c r="V30" i="26" s="1"/>
  <c r="N26" i="26"/>
  <c r="N29" i="26"/>
  <c r="N30" i="26" s="1"/>
  <c r="I29" i="26"/>
  <c r="I30" i="26" s="1"/>
  <c r="I26" i="26"/>
  <c r="F26" i="26"/>
  <c r="AB29" i="26"/>
  <c r="AB30" i="26" s="1"/>
  <c r="AB26" i="26"/>
  <c r="AE26" i="26"/>
  <c r="AE29" i="26"/>
  <c r="AE30" i="26" s="1"/>
  <c r="AG29" i="26"/>
  <c r="AG30" i="26" s="1"/>
  <c r="AG26" i="26"/>
  <c r="U29" i="26"/>
  <c r="U30" i="26" s="1"/>
  <c r="U26" i="26"/>
  <c r="J29" i="26"/>
  <c r="J30" i="26" s="1"/>
  <c r="J26" i="26"/>
  <c r="Z26" i="26"/>
  <c r="Z29" i="26"/>
  <c r="Z30" i="26" s="1"/>
  <c r="E26" i="26"/>
  <c r="R29" i="26"/>
  <c r="R30" i="26" s="1"/>
  <c r="R26" i="26"/>
  <c r="AF29" i="26"/>
  <c r="AF30" i="26" s="1"/>
  <c r="AF26" i="26"/>
  <c r="T26" i="26"/>
  <c r="T29" i="26"/>
  <c r="T30" i="26" s="1"/>
  <c r="W29" i="26"/>
  <c r="W30" i="26" s="1"/>
  <c r="W26" i="26"/>
  <c r="Q29" i="26"/>
  <c r="Q30" i="26" s="1"/>
  <c r="Q26" i="26"/>
  <c r="M29" i="26"/>
  <c r="M30" i="26" s="1"/>
  <c r="M26" i="26"/>
  <c r="K26" i="26"/>
  <c r="K29" i="26"/>
  <c r="K30" i="26" s="1"/>
  <c r="AH26" i="26"/>
  <c r="AH29" i="26"/>
  <c r="AH30" i="26" s="1"/>
  <c r="S29" i="26"/>
  <c r="S30" i="26" s="1"/>
  <c r="S26" i="26"/>
  <c r="AC26" i="26"/>
  <c r="AC29" i="26"/>
  <c r="AC30" i="26" s="1"/>
  <c r="L26" i="26"/>
  <c r="L29" i="26"/>
  <c r="L30" i="26" s="1"/>
  <c r="O29" i="26"/>
  <c r="O30" i="26" s="1"/>
  <c r="O26" i="26"/>
  <c r="P26" i="26"/>
  <c r="P29" i="26"/>
  <c r="P30" i="26" s="1"/>
  <c r="G26" i="26"/>
  <c r="G29" i="26"/>
  <c r="G30" i="26" s="1"/>
  <c r="AG9" i="26"/>
  <c r="AG11" i="26" s="1"/>
  <c r="AG12" i="26" s="1"/>
  <c r="AH8" i="26"/>
  <c r="AH9" i="26" s="1"/>
  <c r="AH11" i="26" s="1"/>
  <c r="AH12" i="26" s="1"/>
  <c r="D12" i="26" s="1"/>
  <c r="I32" i="26" l="1"/>
  <c r="I35" i="26" s="1"/>
  <c r="I34" i="26"/>
  <c r="AH34" i="26"/>
  <c r="AH32" i="26"/>
  <c r="AH35" i="26" s="1"/>
  <c r="AF34" i="26"/>
  <c r="AF32" i="26"/>
  <c r="AF35" i="26" s="1"/>
  <c r="Q32" i="26"/>
  <c r="Q35" i="26" s="1"/>
  <c r="Q34" i="26"/>
  <c r="N34" i="26"/>
  <c r="N32" i="26"/>
  <c r="N35" i="26" s="1"/>
  <c r="S34" i="26"/>
  <c r="S32" i="26"/>
  <c r="S35" i="26" s="1"/>
  <c r="Z32" i="26"/>
  <c r="Z35" i="26" s="1"/>
  <c r="Z34" i="26"/>
  <c r="H32" i="26"/>
  <c r="H35" i="26" s="1"/>
  <c r="H34" i="26"/>
  <c r="R34" i="26"/>
  <c r="R32" i="26"/>
  <c r="R35" i="26" s="1"/>
  <c r="O32" i="26"/>
  <c r="O35" i="26" s="1"/>
  <c r="O34" i="26"/>
  <c r="J32" i="26"/>
  <c r="J35" i="26" s="1"/>
  <c r="J34" i="26"/>
  <c r="W32" i="26"/>
  <c r="W35" i="26" s="1"/>
  <c r="W34" i="26"/>
  <c r="V34" i="26"/>
  <c r="V32" i="26"/>
  <c r="V35" i="26" s="1"/>
  <c r="K32" i="26"/>
  <c r="K35" i="26" s="1"/>
  <c r="K34" i="26"/>
  <c r="U34" i="26"/>
  <c r="U32" i="26"/>
  <c r="U35" i="26" s="1"/>
  <c r="G34" i="26"/>
  <c r="G32" i="26"/>
  <c r="G35" i="26" s="1"/>
  <c r="AC34" i="26"/>
  <c r="AC32" i="26"/>
  <c r="AC35" i="26" s="1"/>
  <c r="AD34" i="26"/>
  <c r="AD32" i="26"/>
  <c r="AD35" i="26" s="1"/>
  <c r="T32" i="26"/>
  <c r="T35" i="26" s="1"/>
  <c r="T34" i="26"/>
  <c r="AG34" i="26"/>
  <c r="AG32" i="26"/>
  <c r="AG35" i="26" s="1"/>
  <c r="AA32" i="26"/>
  <c r="AA35" i="26" s="1"/>
  <c r="AA34" i="26"/>
  <c r="AB32" i="26"/>
  <c r="AB35" i="26" s="1"/>
  <c r="AB34" i="26"/>
  <c r="L34" i="26"/>
  <c r="L32" i="26"/>
  <c r="L35" i="26" s="1"/>
  <c r="F34" i="26"/>
  <c r="F32" i="26"/>
  <c r="F35" i="26" s="1"/>
  <c r="X32" i="26"/>
  <c r="X35" i="26" s="1"/>
  <c r="X34" i="26"/>
  <c r="E34" i="26"/>
  <c r="E32" i="26"/>
  <c r="E35" i="26" s="1"/>
  <c r="P34" i="26"/>
  <c r="P32" i="26"/>
  <c r="P35" i="26" s="1"/>
  <c r="M32" i="26"/>
  <c r="M35" i="26" s="1"/>
  <c r="M34" i="26"/>
  <c r="AE32" i="26"/>
  <c r="AE35" i="26" s="1"/>
  <c r="AE34" i="26"/>
  <c r="Y34" i="26"/>
  <c r="Y32" i="26"/>
  <c r="Y35" i="26" s="1"/>
  <c r="D35" i="26" l="1"/>
  <c r="D34" i="26"/>
  <c r="F17" i="31"/>
  <c r="F27" i="31" s="1"/>
  <c r="E17" i="31"/>
  <c r="E27" i="31" s="1"/>
  <c r="G22" i="31" l="1"/>
  <c r="H22" i="31" s="1"/>
  <c r="D28" i="31"/>
  <c r="F33" i="31"/>
  <c r="F92" i="31" s="1"/>
  <c r="F30" i="31"/>
  <c r="I22" i="31"/>
  <c r="H17" i="31"/>
  <c r="H27" i="31" s="1"/>
  <c r="G17" i="31"/>
  <c r="G27" i="31" s="1"/>
  <c r="E30" i="31"/>
  <c r="E33" i="31"/>
  <c r="E92" i="31" s="1"/>
  <c r="H30" i="31" l="1"/>
  <c r="H33" i="31"/>
  <c r="H92" i="31" s="1"/>
  <c r="G30" i="31"/>
  <c r="G33" i="31"/>
  <c r="G92" i="31" s="1"/>
  <c r="J22" i="31"/>
  <c r="I17" i="31"/>
  <c r="I27" i="31" s="1"/>
  <c r="F95" i="31"/>
  <c r="F93" i="31"/>
  <c r="E93" i="31"/>
  <c r="E95" i="31"/>
  <c r="K22" i="31" l="1"/>
  <c r="J17" i="31"/>
  <c r="J27" i="31" s="1"/>
  <c r="G95" i="31"/>
  <c r="G93" i="31"/>
  <c r="E94" i="31"/>
  <c r="F94" i="31"/>
  <c r="H95" i="31"/>
  <c r="H93" i="31"/>
  <c r="I30" i="31"/>
  <c r="I33" i="31"/>
  <c r="I92" i="31" s="1"/>
  <c r="I93" i="31" l="1"/>
  <c r="I95" i="31"/>
  <c r="G94" i="31"/>
  <c r="H94" i="31"/>
  <c r="J30" i="31"/>
  <c r="J33" i="31"/>
  <c r="J92" i="31" s="1"/>
  <c r="L22" i="31"/>
  <c r="K17" i="31"/>
  <c r="K27" i="31" s="1"/>
  <c r="J93" i="31" l="1"/>
  <c r="J95" i="31"/>
  <c r="L17" i="31"/>
  <c r="L27" i="31" s="1"/>
  <c r="M22" i="31"/>
  <c r="M17" i="31" s="1"/>
  <c r="M27" i="31" s="1"/>
  <c r="I94" i="31"/>
  <c r="K30" i="31"/>
  <c r="K33" i="31"/>
  <c r="K92" i="31" s="1"/>
  <c r="K93" i="31" l="1"/>
  <c r="K95" i="31"/>
  <c r="M33" i="31"/>
  <c r="M92" i="31" s="1"/>
  <c r="M30" i="31"/>
  <c r="J94" i="31"/>
  <c r="L30" i="31"/>
  <c r="L33" i="31"/>
  <c r="L92" i="31" s="1"/>
  <c r="M93" i="31" l="1"/>
  <c r="M95" i="31"/>
  <c r="L93" i="31"/>
  <c r="L95" i="31"/>
  <c r="K94" i="31"/>
  <c r="L94" i="31" l="1"/>
  <c r="M94" i="31"/>
  <c r="E6" i="39" l="1"/>
  <c r="E8" i="39" l="1"/>
  <c r="E98" i="31" s="1"/>
  <c r="E101" i="31" s="1"/>
  <c r="E102" i="31" s="1"/>
  <c r="F4" i="39"/>
  <c r="E107" i="31" l="1"/>
  <c r="E105" i="31"/>
  <c r="E108" i="31" s="1"/>
  <c r="E97" i="37"/>
  <c r="E119" i="37" s="1"/>
  <c r="F6" i="39"/>
  <c r="G4" i="39" s="1"/>
  <c r="G6" i="39" l="1"/>
  <c r="H4" i="39" s="1"/>
  <c r="F8" i="39"/>
  <c r="G8" i="39" l="1"/>
  <c r="G98" i="31" s="1"/>
  <c r="G101" i="31" s="1"/>
  <c r="G102" i="31" s="1"/>
  <c r="G105" i="31" s="1"/>
  <c r="G108" i="31" s="1"/>
  <c r="F97" i="37"/>
  <c r="F119" i="37" s="1"/>
  <c r="F98" i="31"/>
  <c r="F101" i="31" s="1"/>
  <c r="F102" i="31" s="1"/>
  <c r="H6" i="39"/>
  <c r="I4" i="39" s="1"/>
  <c r="G97" i="37" l="1"/>
  <c r="G119" i="37" s="1"/>
  <c r="G107" i="31"/>
  <c r="F107" i="31"/>
  <c r="F105" i="31"/>
  <c r="F108" i="31" s="1"/>
  <c r="I6" i="39"/>
  <c r="J4" i="39" s="1"/>
  <c r="H8" i="39"/>
  <c r="H97" i="37" l="1"/>
  <c r="H119" i="37" s="1"/>
  <c r="H98" i="31"/>
  <c r="H101" i="31" s="1"/>
  <c r="H102" i="31" s="1"/>
  <c r="J6" i="39"/>
  <c r="K4" i="39" s="1"/>
  <c r="I8" i="39"/>
  <c r="I97" i="37" l="1"/>
  <c r="I119" i="37" s="1"/>
  <c r="I98" i="31"/>
  <c r="I101" i="31" s="1"/>
  <c r="I102" i="31" s="1"/>
  <c r="H107" i="31"/>
  <c r="H105" i="31"/>
  <c r="H108" i="31" s="1"/>
  <c r="J8" i="39"/>
  <c r="K6" i="39"/>
  <c r="L4" i="39" s="1"/>
  <c r="J97" i="37" l="1"/>
  <c r="J119" i="37" s="1"/>
  <c r="J98" i="31"/>
  <c r="J101" i="31" s="1"/>
  <c r="J102" i="31" s="1"/>
  <c r="I107" i="31"/>
  <c r="I105" i="31"/>
  <c r="I108" i="31" s="1"/>
  <c r="K8" i="39"/>
  <c r="L6" i="39"/>
  <c r="M4" i="39" s="1"/>
  <c r="K97" i="37" l="1"/>
  <c r="K119" i="37" s="1"/>
  <c r="K98" i="31"/>
  <c r="K101" i="31" s="1"/>
  <c r="K102" i="31" s="1"/>
  <c r="J105" i="31"/>
  <c r="J108" i="31" s="1"/>
  <c r="J107" i="31"/>
  <c r="M6" i="39"/>
  <c r="N4" i="39" s="1"/>
  <c r="L8" i="39"/>
  <c r="L97" i="37" l="1"/>
  <c r="L119" i="37" s="1"/>
  <c r="L98" i="31"/>
  <c r="L101" i="31" s="1"/>
  <c r="L102" i="31" s="1"/>
  <c r="K107" i="31"/>
  <c r="K105" i="31"/>
  <c r="K108" i="31" s="1"/>
  <c r="N6" i="39"/>
  <c r="N8" i="39" s="1"/>
  <c r="N98" i="31" s="1"/>
  <c r="N101" i="31" s="1"/>
  <c r="N102" i="31" s="1"/>
  <c r="M8" i="39"/>
  <c r="N105" i="31" l="1"/>
  <c r="N108" i="31" s="1"/>
  <c r="N107" i="31"/>
  <c r="M97" i="37"/>
  <c r="M119" i="37" s="1"/>
  <c r="M98" i="31"/>
  <c r="M101" i="31" s="1"/>
  <c r="M102" i="31" s="1"/>
  <c r="L107" i="31"/>
  <c r="L105" i="31"/>
  <c r="L108" i="31" s="1"/>
  <c r="N97" i="37"/>
  <c r="N119" i="37" s="1"/>
  <c r="D119" i="37" l="1"/>
  <c r="M105" i="31"/>
  <c r="M108" i="31" s="1"/>
  <c r="D108" i="31" s="1"/>
  <c r="M107" i="31"/>
  <c r="D107" i="31" s="1"/>
  <c r="D123" i="37"/>
  <c r="D124" i="37" l="1"/>
  <c r="N30" i="37" l="1"/>
  <c r="F30" i="37"/>
  <c r="F93" i="37" s="1"/>
  <c r="F98" i="37" s="1"/>
  <c r="E30" i="37"/>
  <c r="L30" i="37"/>
  <c r="L95" i="37" s="1"/>
  <c r="K30" i="37"/>
  <c r="K93" i="37" s="1"/>
  <c r="K98" i="37" s="1"/>
  <c r="K99" i="37" s="1"/>
  <c r="J30" i="37"/>
  <c r="J93" i="37" s="1"/>
  <c r="J98" i="37" s="1"/>
  <c r="I30" i="37"/>
  <c r="I93" i="37" s="1"/>
  <c r="I98" i="37" s="1"/>
  <c r="I99" i="37" s="1"/>
  <c r="H30" i="37"/>
  <c r="H93" i="37" s="1"/>
  <c r="H98" i="37" s="1"/>
  <c r="H99" i="37" s="1"/>
  <c r="G30" i="37"/>
  <c r="G95" i="37" s="1"/>
  <c r="M30" i="37"/>
  <c r="N93" i="37"/>
  <c r="N98" i="37" s="1"/>
  <c r="G93" i="37" l="1"/>
  <c r="G98" i="37" s="1"/>
  <c r="G99" i="37" s="1"/>
  <c r="G104" i="37" s="1"/>
  <c r="H94" i="37"/>
  <c r="K94" i="37"/>
  <c r="K95" i="37"/>
  <c r="I94" i="37"/>
  <c r="G94" i="37"/>
  <c r="H95" i="37"/>
  <c r="I95" i="37"/>
  <c r="F94" i="37"/>
  <c r="F99" i="37"/>
  <c r="F104" i="37" s="1"/>
  <c r="F95" i="37"/>
  <c r="M93" i="37"/>
  <c r="M95" i="37"/>
  <c r="L93" i="37"/>
  <c r="L98" i="37" s="1"/>
  <c r="N99" i="37"/>
  <c r="N102" i="37" s="1"/>
  <c r="N105" i="37" s="1"/>
  <c r="N94" i="37"/>
  <c r="N95" i="37"/>
  <c r="E95" i="37"/>
  <c r="E93" i="37"/>
  <c r="J95" i="37"/>
  <c r="J94" i="37"/>
  <c r="J99" i="37"/>
  <c r="J104" i="37" s="1"/>
  <c r="K102" i="37"/>
  <c r="K105" i="37" s="1"/>
  <c r="K104" i="37"/>
  <c r="H102" i="37"/>
  <c r="H105" i="37" s="1"/>
  <c r="H104" i="37"/>
  <c r="I102" i="37"/>
  <c r="I105" i="37" s="1"/>
  <c r="I104" i="37"/>
  <c r="G102" i="37" l="1"/>
  <c r="G105" i="37" s="1"/>
  <c r="F102" i="37"/>
  <c r="F105" i="37" s="1"/>
  <c r="L99" i="37"/>
  <c r="L104" i="37" s="1"/>
  <c r="L94" i="37"/>
  <c r="M98" i="37"/>
  <c r="M99" i="37" s="1"/>
  <c r="M94" i="37"/>
  <c r="N104" i="37"/>
  <c r="J102" i="37"/>
  <c r="J105" i="37" s="1"/>
  <c r="E98" i="37"/>
  <c r="E99" i="37" s="1"/>
  <c r="E94" i="37"/>
  <c r="L102" i="37" l="1"/>
  <c r="L105" i="37" s="1"/>
  <c r="M102" i="37"/>
  <c r="M105" i="37" s="1"/>
  <c r="M104" i="37"/>
  <c r="E102" i="37"/>
  <c r="E105" i="37" s="1"/>
  <c r="E104" i="37"/>
  <c r="E23" i="39"/>
  <c r="D105" i="37" l="1"/>
  <c r="D104" i="37"/>
  <c r="K24" i="39"/>
  <c r="K102" i="29" s="1"/>
  <c r="S24" i="39"/>
  <c r="S102" i="29" s="1"/>
  <c r="F24" i="39"/>
  <c r="F102" i="29" s="1"/>
  <c r="L24" i="39"/>
  <c r="L102" i="29" s="1"/>
  <c r="T24" i="39"/>
  <c r="T102" i="29" s="1"/>
  <c r="N24" i="39"/>
  <c r="N102" i="29" s="1"/>
  <c r="E24" i="39"/>
  <c r="E102" i="29" s="1"/>
  <c r="M24" i="39"/>
  <c r="M102" i="29" s="1"/>
  <c r="U24" i="39"/>
  <c r="U102" i="29" s="1"/>
  <c r="V24" i="39"/>
  <c r="V102" i="29" s="1"/>
  <c r="G24" i="39"/>
  <c r="G102" i="29" s="1"/>
  <c r="O24" i="39"/>
  <c r="O102" i="29" s="1"/>
  <c r="W24" i="39"/>
  <c r="W102" i="29" s="1"/>
  <c r="H24" i="39"/>
  <c r="H102" i="29" s="1"/>
  <c r="P24" i="39"/>
  <c r="P102" i="29" s="1"/>
  <c r="X24" i="39"/>
  <c r="X102" i="29" s="1"/>
  <c r="I24" i="39"/>
  <c r="I102" i="29" s="1"/>
  <c r="Q24" i="39"/>
  <c r="Q102" i="29" s="1"/>
  <c r="J24" i="39"/>
  <c r="J102" i="29" s="1"/>
  <c r="R24" i="39"/>
  <c r="R102" i="29" s="1"/>
  <c r="F98" i="29"/>
  <c r="F103" i="29" s="1"/>
  <c r="I98" i="29"/>
  <c r="I103" i="29" s="1"/>
  <c r="G98" i="29"/>
  <c r="G103" i="29" s="1"/>
  <c r="J98" i="29"/>
  <c r="J103" i="29" s="1"/>
  <c r="H98" i="29"/>
  <c r="H103" i="29" s="1"/>
  <c r="E103" i="29"/>
  <c r="E25" i="39" l="1"/>
  <c r="F23" i="39" l="1"/>
  <c r="E27" i="39"/>
  <c r="E99" i="29" s="1"/>
  <c r="E122" i="29" s="1"/>
  <c r="F25" i="39" l="1"/>
  <c r="G23" i="39" s="1"/>
  <c r="F27" i="39" l="1"/>
  <c r="F99" i="29" s="1"/>
  <c r="F122" i="29" s="1"/>
  <c r="G25" i="39"/>
  <c r="H23" i="39" s="1"/>
  <c r="G27" i="39" l="1"/>
  <c r="G99" i="29" s="1"/>
  <c r="G122" i="29" s="1"/>
  <c r="H25" i="39"/>
  <c r="I23" i="39" s="1"/>
  <c r="I25" i="39" l="1"/>
  <c r="J23" i="39" s="1"/>
  <c r="H27" i="39"/>
  <c r="H99" i="29" s="1"/>
  <c r="H122" i="29" s="1"/>
  <c r="I27" i="39" l="1"/>
  <c r="I99" i="29" s="1"/>
  <c r="I122" i="29" s="1"/>
  <c r="J25" i="39"/>
  <c r="K23" i="39" s="1"/>
  <c r="K25" i="39" l="1"/>
  <c r="L23" i="39" s="1"/>
  <c r="J27" i="39"/>
  <c r="J99" i="29" s="1"/>
  <c r="J122" i="29" s="1"/>
  <c r="L25" i="39" l="1"/>
  <c r="M23" i="39" s="1"/>
  <c r="K27" i="39"/>
  <c r="K99" i="29" s="1"/>
  <c r="K122" i="29" s="1"/>
  <c r="M25" i="39" l="1"/>
  <c r="N23" i="39" s="1"/>
  <c r="L27" i="39"/>
  <c r="L99" i="29" s="1"/>
  <c r="L122" i="29" s="1"/>
  <c r="M27" i="39" l="1"/>
  <c r="M99" i="29" s="1"/>
  <c r="M122" i="29" s="1"/>
  <c r="N25" i="39"/>
  <c r="O23" i="39" s="1"/>
  <c r="N27" i="39" l="1"/>
  <c r="N99" i="29" s="1"/>
  <c r="N122" i="29" s="1"/>
  <c r="O25" i="39"/>
  <c r="P23" i="39" s="1"/>
  <c r="O27" i="39" l="1"/>
  <c r="O99" i="29" s="1"/>
  <c r="O122" i="29" s="1"/>
  <c r="P25" i="39"/>
  <c r="Q23" i="39" s="1"/>
  <c r="P27" i="39" l="1"/>
  <c r="P99" i="29" s="1"/>
  <c r="Q25" i="39"/>
  <c r="R23" i="39" s="1"/>
  <c r="P122" i="29" l="1"/>
  <c r="Q27" i="39"/>
  <c r="Q99" i="29" s="1"/>
  <c r="R25" i="39"/>
  <c r="S23" i="39" s="1"/>
  <c r="Q122" i="29" l="1"/>
  <c r="R27" i="39"/>
  <c r="R99" i="29" s="1"/>
  <c r="R122" i="29" s="1"/>
  <c r="S25" i="39"/>
  <c r="T23" i="39" s="1"/>
  <c r="S27" i="39" l="1"/>
  <c r="S99" i="29" s="1"/>
  <c r="T25" i="39"/>
  <c r="U23" i="39" s="1"/>
  <c r="S122" i="29" l="1"/>
  <c r="U25" i="39"/>
  <c r="V23" i="39" s="1"/>
  <c r="T27" i="39"/>
  <c r="T99" i="29" s="1"/>
  <c r="T122" i="29" s="1"/>
  <c r="U27" i="39" l="1"/>
  <c r="U99" i="29" s="1"/>
  <c r="V25" i="39"/>
  <c r="W23" i="39" s="1"/>
  <c r="V27" i="39" l="1"/>
  <c r="V99" i="29" s="1"/>
  <c r="V122" i="29" s="1"/>
  <c r="U122" i="29"/>
  <c r="W25" i="39"/>
  <c r="X23" i="39" s="1"/>
  <c r="W27" i="39" l="1"/>
  <c r="W99" i="29" s="1"/>
  <c r="W122" i="29" s="1"/>
  <c r="X25" i="39"/>
  <c r="X27" i="39" s="1"/>
  <c r="X99" i="29" s="1"/>
  <c r="X122" i="29" s="1"/>
  <c r="D122" i="29" l="1"/>
  <c r="D127" i="29" s="1"/>
  <c r="D125" i="29" l="1"/>
  <c r="X32" i="29"/>
  <c r="E32" i="29"/>
  <c r="F32" i="29"/>
  <c r="U32" i="29"/>
  <c r="V32" i="29"/>
  <c r="O32" i="29"/>
  <c r="R32" i="29"/>
  <c r="T32" i="29"/>
  <c r="W32" i="29"/>
  <c r="S32" i="29"/>
  <c r="Q32" i="29"/>
  <c r="P32" i="29"/>
  <c r="G32" i="29"/>
  <c r="H32" i="29"/>
  <c r="I32" i="29"/>
  <c r="J32" i="29"/>
  <c r="K32" i="29"/>
  <c r="L32" i="29"/>
  <c r="M32" i="29"/>
  <c r="N32" i="29"/>
  <c r="R97" i="29" l="1"/>
  <c r="R95" i="29"/>
  <c r="J95" i="29"/>
  <c r="J97" i="29"/>
  <c r="T95" i="29"/>
  <c r="T97" i="29"/>
  <c r="I95" i="29"/>
  <c r="I97" i="29"/>
  <c r="H97" i="29"/>
  <c r="H95" i="29"/>
  <c r="O95" i="29"/>
  <c r="O97" i="29"/>
  <c r="G95" i="29"/>
  <c r="G97" i="29"/>
  <c r="V97" i="29"/>
  <c r="V95" i="29"/>
  <c r="N95" i="29"/>
  <c r="N97" i="29"/>
  <c r="P95" i="29"/>
  <c r="P97" i="29"/>
  <c r="U95" i="29"/>
  <c r="U97" i="29"/>
  <c r="M97" i="29"/>
  <c r="M95" i="29"/>
  <c r="Q95" i="29"/>
  <c r="Q97" i="29"/>
  <c r="F97" i="29"/>
  <c r="F95" i="29"/>
  <c r="L95" i="29"/>
  <c r="L97" i="29"/>
  <c r="S95" i="29"/>
  <c r="S97" i="29"/>
  <c r="E95" i="29"/>
  <c r="E97" i="29"/>
  <c r="K97" i="29"/>
  <c r="K95" i="29"/>
  <c r="W97" i="29"/>
  <c r="W95" i="29"/>
  <c r="X97" i="29"/>
  <c r="X95" i="29"/>
  <c r="X96" i="29" l="1"/>
  <c r="X100" i="29"/>
  <c r="X101" i="29" s="1"/>
  <c r="M96" i="29"/>
  <c r="M100" i="29"/>
  <c r="M101" i="29" s="1"/>
  <c r="V96" i="29"/>
  <c r="V100" i="29"/>
  <c r="V101" i="29" s="1"/>
  <c r="L96" i="29"/>
  <c r="L100" i="29"/>
  <c r="L101" i="29" s="1"/>
  <c r="U96" i="29"/>
  <c r="U100" i="29"/>
  <c r="U101" i="29" s="1"/>
  <c r="G96" i="29"/>
  <c r="G100" i="29"/>
  <c r="G101" i="29" s="1"/>
  <c r="T96" i="29"/>
  <c r="T100" i="29"/>
  <c r="T101" i="29" s="1"/>
  <c r="I96" i="29"/>
  <c r="I100" i="29"/>
  <c r="I101" i="29" s="1"/>
  <c r="W96" i="29"/>
  <c r="W100" i="29"/>
  <c r="W101" i="29" s="1"/>
  <c r="F96" i="29"/>
  <c r="F100" i="29"/>
  <c r="F101" i="29" s="1"/>
  <c r="S96" i="29"/>
  <c r="S100" i="29"/>
  <c r="S101" i="29" s="1"/>
  <c r="P96" i="29"/>
  <c r="P100" i="29"/>
  <c r="P101" i="29" s="1"/>
  <c r="O96" i="29"/>
  <c r="O100" i="29"/>
  <c r="O101" i="29" s="1"/>
  <c r="J96" i="29"/>
  <c r="J100" i="29"/>
  <c r="J101" i="29" s="1"/>
  <c r="H96" i="29"/>
  <c r="H100" i="29"/>
  <c r="H101" i="29" s="1"/>
  <c r="R96" i="29"/>
  <c r="R100" i="29"/>
  <c r="R101" i="29" s="1"/>
  <c r="K96" i="29"/>
  <c r="K100" i="29"/>
  <c r="K101" i="29" s="1"/>
  <c r="E100" i="29"/>
  <c r="E101" i="29" s="1"/>
  <c r="E96" i="29"/>
  <c r="Q96" i="29"/>
  <c r="Q100" i="29"/>
  <c r="Q101" i="29" s="1"/>
  <c r="N96" i="29"/>
  <c r="N100" i="29"/>
  <c r="N101" i="29" s="1"/>
  <c r="V104" i="29" l="1"/>
  <c r="V107" i="29" s="1"/>
  <c r="V106" i="29"/>
  <c r="N106" i="29"/>
  <c r="N104" i="29"/>
  <c r="N107" i="29" s="1"/>
  <c r="R104" i="29"/>
  <c r="R107" i="29" s="1"/>
  <c r="R106" i="29"/>
  <c r="P106" i="29"/>
  <c r="P104" i="29"/>
  <c r="P107" i="29" s="1"/>
  <c r="I106" i="29"/>
  <c r="I104" i="29"/>
  <c r="I107" i="29" s="1"/>
  <c r="L104" i="29"/>
  <c r="L107" i="29" s="1"/>
  <c r="L106" i="29"/>
  <c r="H104" i="29"/>
  <c r="H107" i="29" s="1"/>
  <c r="H106" i="29"/>
  <c r="F106" i="29"/>
  <c r="F104" i="29"/>
  <c r="F107" i="29" s="1"/>
  <c r="Q104" i="29"/>
  <c r="Q107" i="29" s="1"/>
  <c r="Q106" i="29"/>
  <c r="T106" i="29"/>
  <c r="T104" i="29"/>
  <c r="T107" i="29" s="1"/>
  <c r="G106" i="29"/>
  <c r="G104" i="29"/>
  <c r="G107" i="29" s="1"/>
  <c r="W106" i="29"/>
  <c r="W104" i="29"/>
  <c r="W107" i="29" s="1"/>
  <c r="S104" i="29"/>
  <c r="S107" i="29" s="1"/>
  <c r="S106" i="29"/>
  <c r="J106" i="29"/>
  <c r="J104" i="29"/>
  <c r="J107" i="29" s="1"/>
  <c r="M106" i="29"/>
  <c r="M104" i="29"/>
  <c r="M107" i="29" s="1"/>
  <c r="E106" i="29"/>
  <c r="E104" i="29"/>
  <c r="E107" i="29" s="1"/>
  <c r="K104" i="29"/>
  <c r="K107" i="29" s="1"/>
  <c r="K106" i="29"/>
  <c r="O104" i="29"/>
  <c r="O107" i="29" s="1"/>
  <c r="O106" i="29"/>
  <c r="U106" i="29"/>
  <c r="U104" i="29"/>
  <c r="U107" i="29" s="1"/>
  <c r="X104" i="29"/>
  <c r="X107" i="29" s="1"/>
  <c r="X106" i="29"/>
  <c r="D107" i="29" l="1"/>
  <c r="D106" i="29"/>
</calcChain>
</file>

<file path=xl/comments1.xml><?xml version="1.0" encoding="utf-8"?>
<comments xmlns="http://purl.oclc.org/ooxml/spreadsheetml/main" xmlns:xdr="http://purl.oclc.org/ooxml/drawingml/spreadsheetDrawing" xmlns:v="urn:schemas-microsoft-com:vml" xmlns:mc="http://schemas.openxmlformats.org/markup-compatibility/2006" xmlns:xr="http://schemas.microsoft.com/office/spreadsheetml/2014/revision" mc:Ignorable="xr">
  <authors>
    <author>Microsoft Office User</author>
  </authors>
  <commentList>
    <comment ref="J33" authorId="0" shapeId="2049" xr:uid="{DF70A744-2D97-2B46-BC47-7E6E618E5E9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Не понимаю формулу. Почему умножаем на 2?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11</xdr:col>
                <xdr:colOff>139700</xdr:colOff>
                <xdr:row>37</xdr:row>
                <xdr:rowOff>12700</xdr:rowOff>
              </from>
              <to>
                <xdr:col>12</xdr:col>
                <xdr:colOff>279400</xdr:colOff>
                <xdr:row>41</xdr:row>
                <xdr:rowOff>76200</xdr:rowOff>
              </to>
            </anchor>
          </commentPr>
        </mc:Fallback>
      </mc:AlternateContent>
    </comment>
    <comment ref="A42" authorId="0" shapeId="2050" xr:uid="{0F95020B-A12B-C248-986C-BD6F886FE1E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As battery technology matures and expands, battery costs will drop year on year. 
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0</xdr:col>
                <xdr:colOff>1016000</xdr:colOff>
                <xdr:row>38</xdr:row>
                <xdr:rowOff>63500</xdr:rowOff>
              </from>
              <to>
                <xdr:col>1</xdr:col>
                <xdr:colOff>203200</xdr:colOff>
                <xdr:row>42</xdr:row>
                <xdr:rowOff>127000</xdr:rowOff>
              </to>
            </anchor>
          </commentPr>
        </mc:Fallback>
      </mc:AlternateContent>
    </comment>
  </commentList>
</comments>
</file>

<file path=xl/comments2.xml><?xml version="1.0" encoding="utf-8"?>
<comments xmlns="http://purl.oclc.org/ooxml/spreadsheetml/main" xmlns:xdr="http://purl.oclc.org/ooxml/drawingml/spreadsheetDrawing" xmlns:v="urn:schemas-microsoft-com:vml" xmlns:mc="http://schemas.openxmlformats.org/markup-compatibility/2006" xmlns:xr="http://schemas.microsoft.com/office/spreadsheetml/2014/revision" mc:Ignorable="xr">
  <authors>
    <author>Microsoft Office User</author>
  </authors>
  <commentList>
    <comment ref="J13" authorId="0" shapeId="3073" xr:uid="{DB546105-5255-1140-81C5-AF168D2923E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As battery technology matures and expands, battery costs will drop year on year. 
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9</xdr:col>
                <xdr:colOff>1079500</xdr:colOff>
                <xdr:row>23</xdr:row>
                <xdr:rowOff>139700</xdr:rowOff>
              </from>
              <to>
                <xdr:col>9</xdr:col>
                <xdr:colOff>2400300</xdr:colOff>
                <xdr:row>28</xdr:row>
                <xdr:rowOff>0</xdr:rowOff>
              </to>
            </anchor>
          </commentPr>
        </mc:Fallback>
      </mc:AlternateContent>
    </comment>
  </commentList>
</comments>
</file>

<file path=xl/sharedStrings.xml><?xml version="1.0" encoding="utf-8"?>
<sst xmlns="http://purl.oclc.org/ooxml/spreadsheetml/main" count="2467" uniqueCount="1222">
  <si>
    <t>Year 1</t>
  </si>
  <si>
    <t>Year 2</t>
  </si>
  <si>
    <t>Year</t>
  </si>
  <si>
    <t>Capacity (MW)</t>
  </si>
  <si>
    <t>Available Capacity (MW)</t>
  </si>
  <si>
    <t xml:space="preserve">Levelized Storage Cost ($ / MWh) </t>
  </si>
  <si>
    <t xml:space="preserve">Wholesale (100 MW / 200 MWh)—Low Case Sample Calculations </t>
  </si>
  <si>
    <t>B * C = D</t>
  </si>
  <si>
    <t>A</t>
  </si>
  <si>
    <t>B*</t>
  </si>
  <si>
    <t>C</t>
  </si>
  <si>
    <t>--&gt; degradation</t>
  </si>
  <si>
    <t>E</t>
  </si>
  <si>
    <t>F</t>
  </si>
  <si>
    <t>EBITDA margin, %</t>
  </si>
  <si>
    <t>Interest Expense</t>
  </si>
  <si>
    <t>Depreciation (straightline method)</t>
  </si>
  <si>
    <t>Tax shield</t>
  </si>
  <si>
    <t xml:space="preserve">Required ROI </t>
  </si>
  <si>
    <t>IRR</t>
  </si>
  <si>
    <t>EBITDA, USD mn</t>
  </si>
  <si>
    <t>Power Rating (MW)</t>
  </si>
  <si>
    <t>Duration (Hours)</t>
  </si>
  <si>
    <t>Technology-Dependent:</t>
  </si>
  <si>
    <t>90% Depth of Discharge Cycles / Day</t>
  </si>
  <si>
    <t>Operating days per year</t>
  </si>
  <si>
    <t>O&amp;M, Warranty &amp; Augmentation Cost ($ / MWh)</t>
  </si>
  <si>
    <t>Charging Cost ($/kWh)</t>
  </si>
  <si>
    <t>Efficiency</t>
  </si>
  <si>
    <t>Assumptions</t>
  </si>
  <si>
    <t>Other:</t>
  </si>
  <si>
    <t>Debt</t>
  </si>
  <si>
    <t>Depreciation Schedule</t>
  </si>
  <si>
    <t>Depreciation Method</t>
  </si>
  <si>
    <t>Project's Life Span</t>
  </si>
  <si>
    <t>Equity</t>
  </si>
  <si>
    <t>Cost of Debt</t>
  </si>
  <si>
    <t>Cost of Equity</t>
  </si>
  <si>
    <t>WACC</t>
  </si>
  <si>
    <t>Tax Rate</t>
  </si>
  <si>
    <t>Model</t>
  </si>
  <si>
    <t xml:space="preserve"> </t>
  </si>
  <si>
    <t>Correction coeff. for upsized battery</t>
  </si>
  <si>
    <t>Average mkt price per MW, USD</t>
  </si>
  <si>
    <t>D - G = H</t>
  </si>
  <si>
    <t>I</t>
  </si>
  <si>
    <t>J</t>
  </si>
  <si>
    <t>E * F = G</t>
  </si>
  <si>
    <t>H + I + J = K</t>
  </si>
  <si>
    <t xml:space="preserve">Degradation of Commercial Lithium-Ion Cells as a Function of Chemistry and Cycling Conditions </t>
  </si>
  <si>
    <t>Battery degradation</t>
  </si>
  <si>
    <t>Battery control</t>
  </si>
  <si>
    <t>Battery degradation rate</t>
  </si>
  <si>
    <t>Temp</t>
  </si>
  <si>
    <t>Cycle depth</t>
  </si>
  <si>
    <t>Parameters</t>
  </si>
  <si>
    <t>operating temperature</t>
  </si>
  <si>
    <t>hours before full discharge</t>
  </si>
  <si>
    <t>Charging</t>
  </si>
  <si>
    <t>Survey</t>
  </si>
  <si>
    <t>C/2 to C/4 is OK</t>
  </si>
  <si>
    <t>Dataset</t>
  </si>
  <si>
    <t>Cycle Equiv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</si>
  <si>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</si>
  <si>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</si>
  <si>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</si>
  <si>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</si>
  <si>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</si>
  <si>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</si>
  <si>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</si>
  <si>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</si>
  <si>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</si>
  <si>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</si>
  <si>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</si>
  <si>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</si>
  <si>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</si>
  <si>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</si>
  <si>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</si>
  <si>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</si>
  <si>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</si>
  <si>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</si>
  <si>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</si>
  <si>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</si>
  <si>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</si>
  <si>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</si>
  <si>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</si>
  <si>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</si>
  <si>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https://www.nrel.gov/transportation/battery-control-algorithms.html</t>
  </si>
  <si>
    <t>Cost of charging</t>
  </si>
  <si>
    <t xml:space="preserve">https://medium.com/batterybits/comparison-of-open-datasets-for-lithium-ion-battery-testing-fd0de091ca2 </t>
  </si>
  <si>
    <t xml:space="preserve">https://docs.google.com/spreadsheets/d/10w5yXdQtlQjTTS3BxPP233CiiBScIXecUp2OQuvJ_JI/edit#gid=958056146 </t>
  </si>
  <si>
    <t xml:space="preserve">https://batteryuniversity.com/article/bu-413-charging-with-solar-turbine </t>
  </si>
  <si>
    <t xml:space="preserve">https://www.sandia.gov/energystoragesafety-ssl/research-development/research-data-repository/ </t>
  </si>
  <si>
    <t xml:space="preserve">https://iopscience.iop.org/article/10.1149/1945-7111/abae37 </t>
  </si>
  <si>
    <t>8200 - 17.5*cycle_depth</t>
  </si>
  <si>
    <t xml:space="preserve">Innovative Energy Islands: Life-Cycle Cost-Benefit Analysis for Battery Energy Storage </t>
  </si>
  <si>
    <t>efficiency</t>
  </si>
  <si>
    <t>Price Projections</t>
  </si>
  <si>
    <t>https://www.nrel.gov/docs/fy21osti/79236.pdf</t>
  </si>
  <si>
    <t>cost per MW (USD)</t>
  </si>
  <si>
    <t>cost of charge per kW (USD)</t>
  </si>
  <si>
    <t>Battery</t>
  </si>
  <si>
    <t>USD per MW</t>
  </si>
  <si>
    <t>Inverter</t>
  </si>
  <si>
    <t>Electrolyser</t>
  </si>
  <si>
    <t>H2 storage</t>
  </si>
  <si>
    <t>Depreciation</t>
  </si>
  <si>
    <t>PV schedule</t>
  </si>
  <si>
    <t>Year 3</t>
  </si>
  <si>
    <t>Year 4</t>
  </si>
  <si>
    <t>Year 5</t>
  </si>
  <si>
    <t>Year 6</t>
  </si>
  <si>
    <t>AC-DC Converter</t>
  </si>
  <si>
    <t>H2 turbine</t>
  </si>
  <si>
    <t>Double decline</t>
  </si>
  <si>
    <t>Capex</t>
  </si>
  <si>
    <t>Electrochemical Energy Storage</t>
  </si>
  <si>
    <t>Discounted Opex</t>
  </si>
  <si>
    <t>Discount rate</t>
  </si>
  <si>
    <t>Charging exp</t>
  </si>
  <si>
    <t>Discounted charging exp</t>
  </si>
  <si>
    <t>Battery replacement cost</t>
  </si>
  <si>
    <t>Battery cost</t>
  </si>
  <si>
    <t>Battery cost drop rate</t>
  </si>
  <si>
    <t>Battery replacement flag</t>
  </si>
  <si>
    <t>Discounted battery change exp</t>
  </si>
  <si>
    <t>Discharged electricity</t>
  </si>
  <si>
    <t>Working days</t>
  </si>
  <si>
    <t>Depth of Discharge</t>
  </si>
  <si>
    <t xml:space="preserve"> Efficiency_1</t>
  </si>
  <si>
    <t>Loss</t>
  </si>
  <si>
    <t>All numbers in USD and kWh</t>
  </si>
  <si>
    <t>Discounted discharged electricity exp</t>
  </si>
  <si>
    <t>LCOS USD / mWh</t>
  </si>
  <si>
    <t>Battery remaining capacity</t>
  </si>
  <si>
    <t>Discounted price of depreciated battery</t>
  </si>
  <si>
    <t>Cost of depreciated battery</t>
  </si>
  <si>
    <t>Total Generation (MWh)</t>
  </si>
  <si>
    <t>Opex (apart from charging)</t>
  </si>
  <si>
    <t>Price per kWh</t>
  </si>
  <si>
    <t>Tax credit (U.S. reg)</t>
  </si>
  <si>
    <t>Total Revenues</t>
  </si>
  <si>
    <t>Total Charging cost, USD per MWh</t>
  </si>
  <si>
    <t>Total Operating &amp; Maintanance Cost, USD per MWh</t>
  </si>
  <si>
    <t>Total Generation (MWh) per hour</t>
  </si>
  <si>
    <t>Depreciation (IRS)</t>
  </si>
  <si>
    <t>Total Capex</t>
  </si>
  <si>
    <t>Technical</t>
  </si>
  <si>
    <t>Operating</t>
  </si>
  <si>
    <t>Annual  H2 produced</t>
  </si>
  <si>
    <t>Process Water Costs</t>
  </si>
  <si>
    <t>Electricity Cost</t>
  </si>
  <si>
    <t>Warranty &amp; Insurance (% of Capex)</t>
  </si>
  <si>
    <t>Warranty &amp; Insurance (% growth)</t>
  </si>
  <si>
    <t>O&amp;M costs (% of Capex)</t>
  </si>
  <si>
    <t xml:space="preserve">Annual Infaltion </t>
  </si>
  <si>
    <t>Capital Structure</t>
  </si>
  <si>
    <t xml:space="preserve">Debt </t>
  </si>
  <si>
    <t xml:space="preserve">Cost of Debt </t>
  </si>
  <si>
    <t>PEM (20 MW) analysis performed by Lazard's</t>
  </si>
  <si>
    <t>Units</t>
  </si>
  <si>
    <t>Years</t>
  </si>
  <si>
    <t>Hours</t>
  </si>
  <si>
    <t>Electrolyzer Utilization</t>
  </si>
  <si>
    <t xml:space="preserve">Heating Value  </t>
  </si>
  <si>
    <t xml:space="preserve">Electrolyzer Efficiency </t>
  </si>
  <si>
    <t>kWh/kg H2</t>
  </si>
  <si>
    <t>%</t>
  </si>
  <si>
    <t>% LHV</t>
  </si>
  <si>
    <t>$ / kg H2</t>
  </si>
  <si>
    <t>MWh</t>
  </si>
  <si>
    <t>$/MWh</t>
  </si>
  <si>
    <t>items</t>
  </si>
  <si>
    <t>Plant Lifetime</t>
  </si>
  <si>
    <t>$</t>
  </si>
  <si>
    <t>Electrolyzer stack Lifetime</t>
  </si>
  <si>
    <t xml:space="preserve">Operating Days </t>
  </si>
  <si>
    <t>days</t>
  </si>
  <si>
    <t>Electrolyzer change flag</t>
  </si>
  <si>
    <t>-</t>
  </si>
  <si>
    <t>kWh</t>
  </si>
  <si>
    <t>Working Hours per day</t>
  </si>
  <si>
    <t>Electricity Consumption per year</t>
  </si>
  <si>
    <t>Electrolyzer Disposal Cost (1 YR useful life remaining)</t>
  </si>
  <si>
    <t>Total water costs</t>
  </si>
  <si>
    <t>Total Electricity Cost per year</t>
  </si>
  <si>
    <t>Electrolyzer investment</t>
  </si>
  <si>
    <t>Total Opex</t>
  </si>
  <si>
    <t>Total Output (kg)</t>
  </si>
  <si>
    <t>Discounted Opex (USD)</t>
  </si>
  <si>
    <t>Battery degradarion</t>
  </si>
  <si>
    <t>Consumption from grid</t>
  </si>
  <si>
    <t>kW per day</t>
  </si>
  <si>
    <t>Coefficient electrolyzer</t>
  </si>
  <si>
    <t>Energy sold from battery to grid</t>
  </si>
  <si>
    <t>Energy sold from PV to grid</t>
  </si>
  <si>
    <t>$ / MWh</t>
  </si>
  <si>
    <t>Battery annual MWh</t>
  </si>
  <si>
    <t>PV annual MWh</t>
  </si>
  <si>
    <t>Discounted Electrolyzer Capex</t>
  </si>
  <si>
    <t>Electricity output per day</t>
  </si>
  <si>
    <t>kW per hour</t>
  </si>
  <si>
    <t>LCOH per kg</t>
  </si>
  <si>
    <t>Fixed O&amp;M</t>
  </si>
  <si>
    <t>Facility Life</t>
  </si>
  <si>
    <t>Solar-PV (Thin Film) - High Case</t>
  </si>
  <si>
    <t>MW</t>
  </si>
  <si>
    <t>$/kW per year</t>
  </si>
  <si>
    <t>Itmes</t>
  </si>
  <si>
    <t>Total Generation</t>
  </si>
  <si>
    <t>Inflation</t>
  </si>
  <si>
    <t>Selling price</t>
  </si>
  <si>
    <t>Revenue from selling to grid</t>
  </si>
  <si>
    <t>Discounted Revenue After Project Ends</t>
  </si>
  <si>
    <t>Discount Rate</t>
  </si>
  <si>
    <t>Net Facility Output (Net of Battery)</t>
  </si>
  <si>
    <t>LCOE</t>
  </si>
  <si>
    <t>Discounted O&amp;M</t>
  </si>
  <si>
    <t xml:space="preserve">Total Generation </t>
  </si>
  <si>
    <t>Full production</t>
  </si>
  <si>
    <t>Operating days</t>
  </si>
  <si>
    <t xml:space="preserve">days </t>
  </si>
  <si>
    <t>Hours per day</t>
  </si>
  <si>
    <t>hours</t>
  </si>
  <si>
    <t>per MWh</t>
  </si>
  <si>
    <t>years</t>
  </si>
  <si>
    <t>kg per year</t>
  </si>
  <si>
    <t>kg per day</t>
  </si>
  <si>
    <t>KWh per KG H2</t>
  </si>
  <si>
    <t>Other Hydrogen system</t>
  </si>
  <si>
    <t>CAPEX, USD (Government subsidy)</t>
  </si>
  <si>
    <t>CAPEX, USD (w\o Government subsidy)</t>
  </si>
  <si>
    <t>Total Capex (w/o government subs.)</t>
  </si>
  <si>
    <t>Capex Govt. Subsidy</t>
  </si>
  <si>
    <t>Daily H2 production</t>
  </si>
  <si>
    <t>Price of electricity from the grid</t>
  </si>
  <si>
    <t>Energy price from PV</t>
  </si>
  <si>
    <t>Energy price from battery</t>
  </si>
  <si>
    <t>Scenario 1: All electricity is bought from grid</t>
  </si>
  <si>
    <t>Scenario 2: Electricity from battery and PV is fully utilised</t>
  </si>
  <si>
    <t xml:space="preserve">Discounted Total Electricity cost per year </t>
  </si>
  <si>
    <t>Scenario chosen: Scenario 1: All electricity is bought from grid</t>
  </si>
  <si>
    <t>Chosen scenario</t>
  </si>
  <si>
    <t>Total Capex w/o subsidy</t>
  </si>
  <si>
    <t>EBITDA</t>
  </si>
  <si>
    <t>Revenue from H2 sales</t>
  </si>
  <si>
    <t>EBITDA margin</t>
  </si>
  <si>
    <t>EBITDA margin (net of revenue from energy resale)</t>
  </si>
  <si>
    <t>After-Tax Net Equity Cash Flow</t>
  </si>
  <si>
    <t>Tax expense</t>
  </si>
  <si>
    <t>Net Present Value</t>
  </si>
  <si>
    <t>Depreciation (straight-line)</t>
  </si>
  <si>
    <t>Revenue</t>
  </si>
  <si>
    <t>Interest expense</t>
  </si>
  <si>
    <t>Tax Expense</t>
  </si>
  <si>
    <t>Tax Shield</t>
  </si>
  <si>
    <t>After-Tax Net Equity Cash Flow, USD</t>
  </si>
  <si>
    <t>After-Tax Net Equity Cash Flow, USD (adjusted for non-cash expense)</t>
  </si>
  <si>
    <t>Net Present Value (adj. for non-cash expense)</t>
  </si>
  <si>
    <t>Working hours</t>
  </si>
  <si>
    <t>After-Tax Net Equity Cash Flow (adj. for non-cash expense)</t>
  </si>
  <si>
    <t>Discounted Volumes</t>
  </si>
  <si>
    <t>Total Operating Cost, USD</t>
  </si>
  <si>
    <t>After-Tax Net Equity Cash Flow, USD (adj. for non-cash expense)</t>
  </si>
  <si>
    <t>Depth of charge</t>
  </si>
  <si>
    <t>Nominal input  ( mWh)</t>
  </si>
  <si>
    <t>Solar Power</t>
  </si>
  <si>
    <t>Total Facility output per day</t>
  </si>
  <si>
    <t>LCOE discounted total generation</t>
  </si>
  <si>
    <t>LCOH per kg (discounted volume)</t>
  </si>
  <si>
    <t>Scenario 3: Electricity from battery is fully utilised and PV is sold to grid</t>
  </si>
  <si>
    <t>Scenario 4: Electricity from PV is  fully utilised and  battery is sold to grid</t>
  </si>
  <si>
    <t>Debt repayment (% + face value)</t>
  </si>
  <si>
    <t>Debt repayment (face value)</t>
  </si>
  <si>
    <t>Discounted debt repayment</t>
  </si>
  <si>
    <t>Interest Rate on loan</t>
  </si>
  <si>
    <t>Solar Power (w. physical depreciation)</t>
  </si>
  <si>
    <t>Electrolyzer depreciation rate</t>
  </si>
  <si>
    <t>Electrolyzer Efiiciency (/w depreciation)</t>
  </si>
  <si>
    <t>Price LCOH</t>
  </si>
  <si>
    <t>% of time</t>
  </si>
  <si>
    <t>Return time (#days when at least one seen)</t>
  </si>
  <si>
    <t>once in an hour</t>
  </si>
  <si>
    <t>1h30 min per day</t>
  </si>
  <si>
    <t>45 min per day</t>
  </si>
  <si>
    <t>30 min per day</t>
  </si>
  <si>
    <t>once a day</t>
  </si>
  <si>
    <t>twice in a week</t>
  </si>
  <si>
    <t>one in a week</t>
  </si>
  <si>
    <t>one in a month</t>
  </si>
  <si>
    <t>once in a year</t>
  </si>
  <si>
    <t>--&gt; price from grid</t>
  </si>
  <si>
    <t>Electrolyzerremaining capacity in 10Y</t>
  </si>
  <si>
    <t>Battery Capex</t>
  </si>
  <si>
    <t>Battery Subsidy</t>
  </si>
  <si>
    <t>Battery Sub. Capex</t>
  </si>
  <si>
    <t>Solar Capex</t>
  </si>
  <si>
    <t>Solar Subsidy</t>
  </si>
  <si>
    <t>Solar Sub. Capex</t>
  </si>
  <si>
    <t>Electolyzer Capex</t>
  </si>
  <si>
    <t>Electolyzer Subsidy</t>
  </si>
  <si>
    <t>Electolyzer Sub. Capex</t>
  </si>
  <si>
    <t>Dicounted value of debt</t>
  </si>
  <si>
    <t xml:space="preserve">Total Capex </t>
  </si>
  <si>
    <t>Total Subsidy</t>
  </si>
  <si>
    <t>Total Sub. Capex</t>
  </si>
  <si>
    <t>US T-bill 10Y</t>
  </si>
  <si>
    <t>70% of total capex -- Gvt. Sub. + 30% financed through debt + grid price subs.</t>
  </si>
  <si>
    <t>Debt, b.o.p</t>
  </si>
  <si>
    <t>Repayment</t>
  </si>
  <si>
    <t>Debt, e.o.p</t>
  </si>
  <si>
    <t>Debt repeyament</t>
  </si>
  <si>
    <t>Utility scale - Crystalline (Low Case)</t>
  </si>
  <si>
    <t>Utility scale - Crystalline (High Case)</t>
  </si>
  <si>
    <t>Utility Scale - Thin Film (Low Case)</t>
  </si>
  <si>
    <t>Utility Scale - Thin Film (High Case)</t>
  </si>
  <si>
    <t xml:space="preserve">Capex confirmed </t>
  </si>
  <si>
    <t>$ per kW</t>
  </si>
  <si>
    <t>Total Capex Scenario (MW)</t>
  </si>
  <si>
    <t>Subsidized Capex</t>
  </si>
  <si>
    <t>Solar</t>
  </si>
  <si>
    <t>H2</t>
  </si>
  <si>
    <t>Total Capex (PEM -- $/kW)</t>
  </si>
  <si>
    <t>Capex (confirmed)</t>
  </si>
  <si>
    <t>Electrolyzer Stack Capex (PEM -- $/kW)</t>
  </si>
  <si>
    <t>Small (PEM-High-case Scenario)</t>
  </si>
  <si>
    <t>Small (PEM-Ordinary-case Scenario)</t>
  </si>
  <si>
    <t>Small (PEM-Low-case Scenario)</t>
  </si>
  <si>
    <t>Medium (PEM-High-case Scenario)</t>
  </si>
  <si>
    <t>Medium (PEM-Ordinary-case Scenario)</t>
  </si>
  <si>
    <t>Medium (PEM-Low-case Scenario)</t>
  </si>
  <si>
    <t>High (PEM-High-case Scenario)</t>
  </si>
  <si>
    <t>High (PEM-Ordinary-case Scenario)</t>
  </si>
  <si>
    <t>High (PEM-Low-case Scenario)</t>
  </si>
  <si>
    <t xml:space="preserve">Model Confirmed  inputs: </t>
  </si>
  <si>
    <t>Total Capex w/o subsidy (including installation Capex)</t>
  </si>
  <si>
    <t xml:space="preserve">Electrolyzer Capex w/o subsidy </t>
  </si>
  <si>
    <t>Installation Capex (PEM -- $/kW)</t>
  </si>
  <si>
    <t xml:space="preserve">Installation Capex w/o subsidy </t>
  </si>
  <si>
    <t xml:space="preserve">Other Hydrogen Capex w/o subsidy </t>
  </si>
  <si>
    <t>Small (PEM-High-case Scenario) -- Electrolyzer</t>
  </si>
  <si>
    <t>Small (PEM-Ordinary-case Scenario) -- Electrolyzer</t>
  </si>
  <si>
    <t>Small (PEM-Low-case Scenario) -- Electrolyzer</t>
  </si>
  <si>
    <t>Medium (PEM-High-case Scenario) -- Electrolyzer</t>
  </si>
  <si>
    <t>Medium (PEM-Ordinary-case Scenario) -- Electrolyzer</t>
  </si>
  <si>
    <t>Medium (PEM-Low-case Scenario) -- Electrolyzer</t>
  </si>
  <si>
    <t>High (PEM-High-case Scenario) -- Electrolyzer</t>
  </si>
  <si>
    <t>High (PEM-Ordinary-case Scenario) -- Electrolyzer</t>
  </si>
  <si>
    <t>High (PEM-Low-case Scenario) -- Electrolyzer</t>
  </si>
  <si>
    <t>Capex (confirmed) -- Electrolyzer</t>
  </si>
  <si>
    <t>Small (PEM-High-case Scenario) -- Total</t>
  </si>
  <si>
    <t>Small (PEM-Ordinary-case Scenario) -- Total</t>
  </si>
  <si>
    <t>Small (PEM-Low-case Scenario) -- Total</t>
  </si>
  <si>
    <t>Medium (PEM-High-case Scenario) -- Total</t>
  </si>
  <si>
    <t>Medium (PEM-Ordinary-case Scenario) -- Total</t>
  </si>
  <si>
    <t>Medium (PEM-Low-case Scenario) -- Total</t>
  </si>
  <si>
    <t>High (PEM-High-case Scenario) -- Total</t>
  </si>
  <si>
    <t>High (PEM-Ordinary-case Scenario) -- Total</t>
  </si>
  <si>
    <t>High (PEM-Low-case Scenario) -- Total</t>
  </si>
  <si>
    <t>Capex (confirmed) -- Total</t>
  </si>
  <si>
    <t>Utility scale - PV + Storage (Low Case)</t>
  </si>
  <si>
    <t>Utility scale - PV + Storage (High Case)</t>
  </si>
  <si>
    <t>10 Years</t>
  </si>
  <si>
    <t>20 Years</t>
  </si>
  <si>
    <t>на 0.3 МВт</t>
  </si>
  <si>
    <t>H2 1-1-1 scenario</t>
  </si>
  <si>
    <t xml:space="preserve">20Y-scenario </t>
  </si>
  <si>
    <t>H2-BEP scenario</t>
  </si>
  <si>
    <t>Table A-3 page 101</t>
  </si>
  <si>
    <t>profit</t>
  </si>
  <si>
    <t>solar</t>
  </si>
  <si>
    <t>contingency</t>
  </si>
  <si>
    <t>overhead</t>
  </si>
  <si>
    <t>PII</t>
  </si>
  <si>
    <t>intallation_labor</t>
  </si>
  <si>
    <t>electrical_BOS</t>
  </si>
  <si>
    <t>structural_BOS</t>
  </si>
  <si>
    <t>inverter</t>
  </si>
  <si>
    <t>module</t>
  </si>
  <si>
    <t>10% is assumed</t>
  </si>
  <si>
    <t>battery</t>
  </si>
  <si>
    <t>1FTE is assumed</t>
  </si>
  <si>
    <t xml:space="preserve">labor_onsite </t>
  </si>
  <si>
    <t>2.5% is assumed</t>
  </si>
  <si>
    <t>om_operations_maintenence</t>
  </si>
  <si>
    <t>https://www.nrel.gov/docs/fy21osti/77324.pdf table 17</t>
  </si>
  <si>
    <t>2.5% according to NREL</t>
  </si>
  <si>
    <t>5% according to NREL</t>
  </si>
  <si>
    <t>developer_profit</t>
  </si>
  <si>
    <t>3% according to NREL</t>
  </si>
  <si>
    <t>developer_overhead</t>
  </si>
  <si>
    <t>according to NREL</t>
  </si>
  <si>
    <t>epc_overhead_matherials</t>
  </si>
  <si>
    <t>2 weeks of 2.0 FTE Electrician and 2 weeks of 4.0 FTE labor with 0.4 overhead</t>
  </si>
  <si>
    <t>labor_construction</t>
  </si>
  <si>
    <t>table 17, 0.03 per W</t>
  </si>
  <si>
    <t>permitting</t>
  </si>
  <si>
    <t>we use AC:DC = 1:1 (Sarnoff-Wood), price ration 1.28/0.92 =&gt; 1.195 is a correction factor</t>
  </si>
  <si>
    <t>AC_DC_balance</t>
  </si>
  <si>
    <t>BOS = Balance of system, table 17</t>
  </si>
  <si>
    <t>elecrical_BOS</t>
  </si>
  <si>
    <t>https://atb.nrel.gov/electricity/2021/commercial_battery_storage</t>
  </si>
  <si>
    <t>should take C = 2/3, 0.15W for 3 phase bi directional; table A-1</t>
  </si>
  <si>
    <t>inverter_per_MW</t>
  </si>
  <si>
    <t xml:space="preserve">https://www.electriccarpartscompany.com/163ah-calb-batteries-l173f163b </t>
  </si>
  <si>
    <t>$152 per 163 Ah at 3.2 V, 2C (Sarnoff-Wood). Wh = Ah*V</t>
  </si>
  <si>
    <t>energy_per_2C</t>
  </si>
  <si>
    <t>https://atb.nrel.gov/electricity/2021/data + https://www.electriccarpartscompany.com/163ah-calb-batteries-l173f163b</t>
  </si>
  <si>
    <t>Mismatch in literature &amp; shop</t>
  </si>
  <si>
    <t>Installation + permitting ++ included  (commercial scaled battery)</t>
  </si>
  <si>
    <t>net_power</t>
  </si>
  <si>
    <t>% battery</t>
  </si>
  <si>
    <t>Mismatch in literature &amp; store</t>
  </si>
  <si>
    <t>net_energy</t>
  </si>
  <si>
    <t>https://www.nrel.gov/docs/fy14osti/58564.pdf page IV and https://www.pnnl.gov/sites/default/files/media/file/Hydrogen_Methodology.pdf</t>
  </si>
  <si>
    <t>$1.1 per kg of 500 bar H2</t>
  </si>
  <si>
    <t>delivery</t>
  </si>
  <si>
    <t>electrolyser</t>
  </si>
  <si>
    <t>Mismatch with Arnab's computation</t>
  </si>
  <si>
    <t>storage</t>
  </si>
  <si>
    <t>labor</t>
  </si>
  <si>
    <t>https://www.calwater.com/docs/rates/rates_tariffs/all/20201102-Schedule_UF_-_California_Public_Utilities_Commission_Fee.pdf</t>
  </si>
  <si>
    <t>1.43% public utility comission fee</t>
  </si>
  <si>
    <t>water_ca_fee</t>
  </si>
  <si>
    <t>https://www.calwater.com/rates-and-tariffs/?dist=sln</t>
  </si>
  <si>
    <t>16 kg H20 = 1 kg H2, $3.85 per 3000 kg (100 ft3), 8000kg H2 + 3897 metering fee</t>
  </si>
  <si>
    <t>water</t>
  </si>
  <si>
    <t>w/wo taxes?</t>
  </si>
  <si>
    <t>Not inflated?</t>
  </si>
  <si>
    <t>om_compressor</t>
  </si>
  <si>
    <t>Can not repeat</t>
  </si>
  <si>
    <t>? 3.5% (Arnab). Questionable -- not inflated</t>
  </si>
  <si>
    <t>? 10% (Arnab). Questionable -- not inflated</t>
  </si>
  <si>
    <t>decomissining</t>
  </si>
  <si>
    <t>Drop off? Included in Grid section</t>
  </si>
  <si>
    <t>grid_connection</t>
  </si>
  <si>
    <t>Quote from EPC firm, 30%</t>
  </si>
  <si>
    <t>construction_contingency</t>
  </si>
  <si>
    <t>Alkaline 20 MW/per MW</t>
  </si>
  <si>
    <t>engineering_permits_indirect</t>
  </si>
  <si>
    <t>electrical</t>
  </si>
  <si>
    <t>decomission_active_wells</t>
  </si>
  <si>
    <t>site_scoping</t>
  </si>
  <si>
    <t>mechanical_scope</t>
  </si>
  <si>
    <t>civil_work</t>
  </si>
  <si>
    <t>fire_protection</t>
  </si>
  <si>
    <t>utiliies</t>
  </si>
  <si>
    <t>30% for TGP 10% for the rest</t>
  </si>
  <si>
    <t>capex_contingency</t>
  </si>
  <si>
    <t>shipping_other</t>
  </si>
  <si>
    <t>shipping_electrolyser</t>
  </si>
  <si>
    <t>4x_closed_loop_cooling</t>
  </si>
  <si>
    <t>4x_capacity_control_bypass_value</t>
  </si>
  <si>
    <t>4x_hofer_comp_per_MW</t>
  </si>
  <si>
    <t>control_sys_RGP_per_MW</t>
  </si>
  <si>
    <t>export_panel_per_MW</t>
  </si>
  <si>
    <t>balance_of_plan_per_MW</t>
  </si>
  <si>
    <t>Arnab: Hollister Electrolyser Databook.docx and  https://irena.org/-/media/Files/IRENA/Agency/Publication/2020/Dec/IRENA_Green_hydrogen_cost_2020.pdf</t>
  </si>
  <si>
    <t>Mismatch, figure it out</t>
  </si>
  <si>
    <t>alkaline_electrolyser_per_MW</t>
  </si>
  <si>
    <t>0.48% per month</t>
  </si>
  <si>
    <t>infrastructure_rent_cost</t>
  </si>
  <si>
    <t>grid_PGE_WDAT</t>
  </si>
  <si>
    <t>https://www.pge.com/includes/docs/pdfs/shared/customerservice/nonpgeutility/electrictransmission/tariffs/PGE_Wholesale_Distribution_Tariff.pdf</t>
  </si>
  <si>
    <t>cost_ownership</t>
  </si>
  <si>
    <t>15'000'000 vs 10'000 if we produce more than 20 MW</t>
  </si>
  <si>
    <t>deposit</t>
  </si>
  <si>
    <t>distritution_upgrade</t>
  </si>
  <si>
    <t>20'000 vs 7'500'000 for more than 20 MW</t>
  </si>
  <si>
    <t>transmission_upgrade</t>
  </si>
  <si>
    <t>service_initiaion</t>
  </si>
  <si>
    <t>most likely not needed for 20 MW Electrolyser</t>
  </si>
  <si>
    <t>grid_PGE_B20</t>
  </si>
  <si>
    <t>https://www.pge.com/tariffs/assets/pdf/tariffbook/ELEC_SCHEDS_B-20.pdf</t>
  </si>
  <si>
    <t>58.30 per day if secondary volage grid</t>
  </si>
  <si>
    <t>metering</t>
  </si>
  <si>
    <t>164.5 per day</t>
  </si>
  <si>
    <t>grid_CAISO</t>
  </si>
  <si>
    <t>http://www.caiso.com/Documents/LSACommentsonSmallandLargeGeneratorInterconnectionProceduresDraftFinalProposalandMeeting.pdf</t>
  </si>
  <si>
    <t>IFS = Interconnection Financial Security, mean of Page 4</t>
  </si>
  <si>
    <t>ISF</t>
  </si>
  <si>
    <t>250000 k security deposit for 20+MW system, discounted in time (3% IRS rate, 20 years), $100k smaller</t>
  </si>
  <si>
    <t>security_deposit</t>
  </si>
  <si>
    <t>10% of the project cost</t>
  </si>
  <si>
    <t>1.5% for each</t>
  </si>
  <si>
    <t>insurance</t>
  </si>
  <si>
    <t>10% for all grid capex items</t>
  </si>
  <si>
    <t>https://www.pge.com/pge_global/common/pdfs/about-pge/company-information/regulation/contracts-and-tariffs/WDT-Unit-Costs.pdf</t>
  </si>
  <si>
    <t>Non-Bay</t>
  </si>
  <si>
    <t>PM_capacitor</t>
  </si>
  <si>
    <t>UG_interrupter</t>
  </si>
  <si>
    <t>UG_scada</t>
  </si>
  <si>
    <t>UG_switch</t>
  </si>
  <si>
    <t>autotransformer</t>
  </si>
  <si>
    <t>transformer_replace</t>
  </si>
  <si>
    <t>UG_new_w_trench</t>
  </si>
  <si>
    <t>reclocate_capacitor</t>
  </si>
  <si>
    <t>OH_scada</t>
  </si>
  <si>
    <t>OH_fuse</t>
  </si>
  <si>
    <t>OH_recloser</t>
  </si>
  <si>
    <t>OH_regulator</t>
  </si>
  <si>
    <t>OH_scada_switch</t>
  </si>
  <si>
    <t>OH_switch</t>
  </si>
  <si>
    <t>OH_capacitor</t>
  </si>
  <si>
    <t>OH_Reconductor</t>
  </si>
  <si>
    <t>OH_New</t>
  </si>
  <si>
    <t>indoor_outlets</t>
  </si>
  <si>
    <t>breakers</t>
  </si>
  <si>
    <t>circuit_switcher</t>
  </si>
  <si>
    <t>&lt;= 45 MVA</t>
  </si>
  <si>
    <t>transformer</t>
  </si>
  <si>
    <t>5 Arce Parcel</t>
  </si>
  <si>
    <t>substation_land</t>
  </si>
  <si>
    <t>substation_regulatory</t>
  </si>
  <si>
    <t>substation_construction</t>
  </si>
  <si>
    <t>URL</t>
  </si>
  <si>
    <t>Question</t>
  </si>
  <si>
    <t>Comment</t>
  </si>
  <si>
    <t>ANNUAL_COST_FIXED</t>
  </si>
  <si>
    <t>ANNUAL_COST_MW_MWH</t>
  </si>
  <si>
    <t>FIXED_COST</t>
  </si>
  <si>
    <t>UNIT_COST_MW_MWH</t>
  </si>
  <si>
    <t>ASSET</t>
  </si>
  <si>
    <t>TYPE</t>
  </si>
  <si>
    <t>https://ww2.energy.ca.gov/almanac/renewables_data/solar/index_cms.php</t>
  </si>
  <si>
    <t>Solar PV and Solar Thermal Electricity Production by County</t>
  </si>
  <si>
    <t>County</t>
  </si>
  <si>
    <t>Capacity (MW) </t>
  </si>
  <si>
    <t>Net MWh </t>
  </si>
  <si>
    <t>Alameda</t>
  </si>
  <si>
    <t>Amador</t>
  </si>
  <si>
    <t>Butte</t>
  </si>
  <si>
    <t>Calaveras</t>
  </si>
  <si>
    <t>Contra Costa</t>
  </si>
  <si>
    <t>Fresno</t>
  </si>
  <si>
    <t>Glenn</t>
  </si>
  <si>
    <t>Humboldt</t>
  </si>
  <si>
    <t>Imperial</t>
  </si>
  <si>
    <t>Kern</t>
  </si>
  <si>
    <t>Kings</t>
  </si>
  <si>
    <t>Lake</t>
  </si>
  <si>
    <t>Lassen</t>
  </si>
  <si>
    <t>Los Angeles</t>
  </si>
  <si>
    <t>Madera</t>
  </si>
  <si>
    <t>Marin</t>
  </si>
  <si>
    <t>Mendocino</t>
  </si>
  <si>
    <t>Merced</t>
  </si>
  <si>
    <t>Monterey</t>
  </si>
  <si>
    <t>Napa</t>
  </si>
  <si>
    <t>Orange</t>
  </si>
  <si>
    <t>Placer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</si>
  <si>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</si>
  <si>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</si>
  <si>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</si>
  <si>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</si>
  <si>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</si>
  <si>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</si>
  <si>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</si>
  <si>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</si>
  <si>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Santa Barbara</t>
  </si>
  <si>
    <t>Santa Clara</t>
  </si>
  <si>
    <t>Santa Cruz</t>
  </si>
  <si>
    <t>Shasta</t>
  </si>
  <si>
    <t>Solano</t>
  </si>
  <si>
    <t>Sonoma</t>
  </si>
  <si>
    <t>Stanislaus</t>
  </si>
  <si>
    <t>Sutter</t>
  </si>
  <si>
    <t>Tehama</t>
  </si>
  <si>
    <t>Tulare</t>
  </si>
  <si>
    <t>Tuolumne</t>
  </si>
  <si>
    <t>Ventura</t>
  </si>
  <si>
    <t>Yolo</t>
  </si>
  <si>
    <t>Yuba</t>
  </si>
  <si>
    <t>MWh per MW per Day</t>
  </si>
  <si>
    <t>Lattitude</t>
  </si>
  <si>
    <t>Longitude</t>
  </si>
  <si>
    <t>State, City</t>
  </si>
  <si>
    <t>Summer Avg.</t>
  </si>
  <si>
    <t>Winter Avg.</t>
  </si>
  <si>
    <t>Year Avg.</t>
  </si>
  <si>
    <t>AL, Montgomery</t>
  </si>
  <si>
    <t>AK, Bethel</t>
  </si>
  <si>
    <t>AK, Fairbanks</t>
  </si>
  <si>
    <t>AK, Mantanuska</t>
  </si>
  <si>
    <t>AZ, Page</t>
  </si>
  <si>
    <t>AZ, Phoenix</t>
  </si>
  <si>
    <t>AZ, Tucson</t>
  </si>
  <si>
    <t>AR, Little Rock</t>
  </si>
  <si>
    <t>CA, Davis</t>
  </si>
  <si>
    <t>CA, Fresno</t>
  </si>
  <si>
    <t>CA, Inyokem</t>
  </si>
  <si>
    <t>CA, La Jolla</t>
  </si>
  <si>
    <t>CA, Los Angeles</t>
  </si>
  <si>
    <t>CA, Riverside</t>
  </si>
  <si>
    <t>CA, Santa Maria</t>
  </si>
  <si>
    <t>CA, Soda Springs</t>
  </si>
  <si>
    <t>CO, Boulder</t>
  </si>
  <si>
    <t>CO, Granby</t>
  </si>
  <si>
    <t>CO, Grand Junction</t>
  </si>
  <si>
    <t>CO, Grand Lake</t>
  </si>
  <si>
    <t>FL, Apalachicola</t>
  </si>
  <si>
    <t>FL, Belle Island</t>
  </si>
  <si>
    <t>FL, Gainesville</t>
  </si>
  <si>
    <t>FL, Miami</t>
  </si>
  <si>
    <t>FL, Tampa</t>
  </si>
  <si>
    <t>GA, Atlanta</t>
  </si>
  <si>
    <t>GA, Griffin</t>
  </si>
  <si>
    <t>HI, Honolulu</t>
  </si>
  <si>
    <t>IA, Ames</t>
  </si>
  <si>
    <t>ID, Twin Falls</t>
  </si>
  <si>
    <t>ID, Boise</t>
  </si>
  <si>
    <t>IL, Chicago</t>
  </si>
  <si>
    <t>IN, Indianapolis</t>
  </si>
  <si>
    <t>KS, Dodge City</t>
  </si>
  <si>
    <t>KS, Manhattan</t>
  </si>
  <si>
    <t>KY, Lexington</t>
  </si>
  <si>
    <t>LA, Lake Charles</t>
  </si>
  <si>
    <t>LA, New Orleans</t>
  </si>
  <si>
    <t>LA, Shreveport</t>
  </si>
  <si>
    <t>MA, Blue Hill</t>
  </si>
  <si>
    <t>MA, Boston</t>
  </si>
  <si>
    <t>MA, E. Wareham</t>
  </si>
  <si>
    <t>MA, Lynn</t>
  </si>
  <si>
    <t>MA, Natick</t>
  </si>
  <si>
    <t>MD, Silver Hill</t>
  </si>
  <si>
    <t>ME, Caribou</t>
  </si>
  <si>
    <t>ME, Portland</t>
  </si>
  <si>
    <t>MI, E. Lansing</t>
  </si>
  <si>
    <t>MI, Sault Ste. Marie</t>
  </si>
  <si>
    <t>MN, St. Cloud</t>
  </si>
  <si>
    <t>MO, Columbia</t>
  </si>
  <si>
    <t>MO, St. Louis</t>
  </si>
  <si>
    <t>MS, Meridian</t>
  </si>
  <si>
    <t>MT, Glasgow</t>
  </si>
  <si>
    <t>MT, Great Falls</t>
  </si>
  <si>
    <t>MT, Summit</t>
  </si>
  <si>
    <t>NC, Cape Hatteras</t>
  </si>
  <si>
    <t>NC, Greensboro</t>
  </si>
  <si>
    <t>ND, Bismark</t>
  </si>
  <si>
    <t>NE, Lincoln</t>
  </si>
  <si>
    <t>NE, North Omaha</t>
  </si>
  <si>
    <t>NJ, Sea Brook</t>
  </si>
  <si>
    <t>NM, Albuquerque</t>
  </si>
  <si>
    <t>NV, Ely</t>
  </si>
  <si>
    <t>NV, Las Vegas</t>
  </si>
  <si>
    <t>NY, Bridge Hampton</t>
  </si>
  <si>
    <t>NY, Ithaca</t>
  </si>
  <si>
    <t>NY, New York</t>
  </si>
  <si>
    <t>NY, Rochester</t>
  </si>
  <si>
    <t>NY, Schenectady</t>
  </si>
  <si>
    <t>OH, Cleveland</t>
  </si>
  <si>
    <t>OH, Columbus</t>
  </si>
  <si>
    <t>OK, Oklahoma City</t>
  </si>
  <si>
    <t>OK, Stillwater</t>
  </si>
  <si>
    <t>OR, Astoria</t>
  </si>
  <si>
    <t>OR, Corvallis</t>
  </si>
  <si>
    <t>OR, Medford</t>
  </si>
  <si>
    <t>PA, Pittsburgh</t>
  </si>
  <si>
    <t>PA, State College</t>
  </si>
  <si>
    <t>RI, Newport</t>
  </si>
  <si>
    <t>SC, Charleston</t>
  </si>
  <si>
    <t>SD, Rapid City</t>
  </si>
  <si>
    <t>TN, Nashville</t>
  </si>
  <si>
    <t>TN, Oak Ridge</t>
  </si>
  <si>
    <t>TX, Brownsville</t>
  </si>
  <si>
    <t>TX, El Paso</t>
  </si>
  <si>
    <t>TX, Fort Worth</t>
  </si>
  <si>
    <t>TX, Midland</t>
  </si>
  <si>
    <t>TX, San Antonio</t>
  </si>
  <si>
    <t>UT, Flaming Gorge</t>
  </si>
  <si>
    <t>UT, Salt Lake City</t>
  </si>
  <si>
    <t>VA, Richmond</t>
  </si>
  <si>
    <t>WA, Prosser</t>
  </si>
  <si>
    <t>WA, Pullman</t>
  </si>
  <si>
    <t>WA, Richland</t>
  </si>
  <si>
    <t>WA, Seattle</t>
  </si>
  <si>
    <t>WA, Spokane</t>
  </si>
  <si>
    <t>WV, Charleston</t>
  </si>
  <si>
    <t>WI, Madison</t>
  </si>
  <si>
    <t>WY, Lander</t>
  </si>
  <si>
    <t>Alberta, Edmonton</t>
  </si>
  <si>
    <t>Alberta, Suffield</t>
  </si>
  <si>
    <t>British Columbia, Kamloops</t>
  </si>
  <si>
    <t>British Columbia, Prince George</t>
  </si>
  <si>
    <t>British Columbia, Vancouver</t>
  </si>
  <si>
    <t>Manitoba, The Pas</t>
  </si>
  <si>
    <t>Manitoba, Winnipeg New Brunswick</t>
  </si>
  <si>
    <t>Newfoundland, Goose Bay</t>
  </si>
  <si>
    <t>Newfoundland, St. Johns</t>
  </si>
  <si>
    <t>Northwest Territory, Fort Smith</t>
  </si>
  <si>
    <t>Northwest Territory, Norman Wells</t>
  </si>
  <si>
    <t>Nova Scotia, Halifax</t>
  </si>
  <si>
    <t>Ontario, Ottawa</t>
  </si>
  <si>
    <t>Ontario, Toronto</t>
  </si>
  <si>
    <t>Prince Edward Isl., Charlottetown</t>
  </si>
  <si>
    <t>Quebec, Montreal</t>
  </si>
  <si>
    <t>Quebec, Sept-Isles</t>
  </si>
  <si>
    <t>Saskatchewan, Swift Current</t>
  </si>
  <si>
    <t>Yukon, Whitehorse</t>
  </si>
  <si>
    <t>Total CAISO</t>
  </si>
  <si>
    <t>Total PG&amp;E B-20</t>
  </si>
  <si>
    <t>Total WDAT</t>
  </si>
  <si>
    <t>Total Electrolyser</t>
  </si>
  <si>
    <t>Total Battery</t>
  </si>
  <si>
    <t>Total Solar</t>
  </si>
  <si>
    <t>Total H2 Storage</t>
  </si>
  <si>
    <t>Table 1 of https://www.pnnl.gov/sites/default/files/media/file/Hydrogen_Methodology.pdf  + https://www.hydrogen.energy.gov/pdfs/review20/st100_houchins_2020_o.pdf</t>
  </si>
  <si>
    <t>Solar MW CapEx</t>
  </si>
  <si>
    <t>(Discounted volume)</t>
  </si>
  <si>
    <t>Tax Credit</t>
  </si>
  <si>
    <t>USD per MWh per year (over years)</t>
  </si>
  <si>
    <t>USD per MWh per year (first year)</t>
  </si>
  <si>
    <t>Degradation Rate</t>
  </si>
  <si>
    <t>Place</t>
  </si>
  <si>
    <t xml:space="preserve">https://www.solardirect.com/archives/pv/systems/gts/gts-sizing-sun-hours.html </t>
  </si>
  <si>
    <t xml:space="preserve">https://data.ca.gov/dataset/california-counties/resource/8302d20a-3bab-4687-9a32-b2c84b6ee603 </t>
  </si>
  <si>
    <t>City</t>
  </si>
  <si>
    <t>Arnab: Hollister Electrolyser Databook.docx and https://www.pnnl.gov/sites/default/files/media/file/Hydrogen_Methodology.pdf</t>
  </si>
  <si>
    <t>Arnab vs PNNL mismatch</t>
  </si>
  <si>
    <t>% electrolyser</t>
  </si>
  <si>
    <t>Drop off? Noone signed off. Alkaline 20 MW/per MW</t>
  </si>
  <si>
    <t>Page 5 at https://www.pnnl.gov/sites/default/files/media/file/Hydrogen_Methodology.pdf</t>
  </si>
  <si>
    <t>Consistent with PNNL Estimates for mid-scale</t>
  </si>
  <si>
    <t>4 FTE = 200 k/year -- TBD!!</t>
  </si>
  <si>
    <t>hydrogen_storage</t>
  </si>
  <si>
    <t>Model Inputs</t>
  </si>
  <si>
    <t>Hydrogen Demand (kg/day)</t>
  </si>
  <si>
    <t>Hydogen Demand</t>
  </si>
  <si>
    <t>Solar -- Years of Service</t>
  </si>
  <si>
    <t xml:space="preserve">https://www.forbes.com/home-improvement/solar/solar-tax-credit-by-state/ </t>
  </si>
  <si>
    <t xml:space="preserve">https://news.energysage.com/how-long-do-solar-panels-last/ </t>
  </si>
  <si>
    <t xml:space="preserve">https://www.nrel.gov/state-local-tribal/blog/posts/stat-faqs-part2-lifetime-of-pv-panels.html </t>
  </si>
  <si>
    <t xml:space="preserve">https://aurorasolar.com/blog/federal-tax-incentive-for-battery-storage/ </t>
  </si>
  <si>
    <t>Location</t>
  </si>
  <si>
    <t>Project Duration</t>
  </si>
  <si>
    <t>Grid Connection Type</t>
  </si>
  <si>
    <t>Sun hours (MW)</t>
  </si>
  <si>
    <t>Grid</t>
  </si>
  <si>
    <t xml:space="preserve">https://blog.modo.energy/battery-degradation-explained </t>
  </si>
  <si>
    <t>Battery: 1.5 -- 2 cycles per day</t>
  </si>
  <si>
    <t>80% degradation at the EOL</t>
  </si>
  <si>
    <t xml:space="preserve">https://www.sciencedirect.com/science/article/abs/pii/S0306261921007212 </t>
  </si>
  <si>
    <t>Battery -- 2nd life MWH price/1st life MWH price</t>
  </si>
  <si>
    <t>Grid Type</t>
  </si>
  <si>
    <t>Transmission SO</t>
  </si>
  <si>
    <t>Distribution SO</t>
  </si>
  <si>
    <t>Transmission SO with DO access</t>
  </si>
  <si>
    <t>Battery: Uniform Degradation MWH over time</t>
  </si>
  <si>
    <t>Battery: No degradation MW over time</t>
  </si>
  <si>
    <t xml:space="preserve">https://www.iso-ne.com/static-assets/documents/2020/12/a9_modeling_of_battery_storage_in_economic_studies.pdf </t>
  </si>
  <si>
    <t>Battery -- Roundtrip Efficiency</t>
  </si>
  <si>
    <t xml:space="preserve">https://ieeexplore.ieee.org/document/9223659 </t>
  </si>
  <si>
    <t>Sign-off: Ro Kirchev</t>
  </si>
  <si>
    <t>Sign-off: Michael Sarnoff-Wood (1.8% loss operational for C = 0.3)</t>
  </si>
  <si>
    <t xml:space="preserve">Barrery -- SOC Max: </t>
  </si>
  <si>
    <t xml:space="preserve">Barrery -- SOC Min: </t>
  </si>
  <si>
    <t>Colors used</t>
  </si>
  <si>
    <t>Tax Depreciation Schedule</t>
  </si>
  <si>
    <t>Battery -- Degradation Rate per Year</t>
  </si>
  <si>
    <t>Solar -- Degradation Rate per Year</t>
  </si>
  <si>
    <t>Operating Days</t>
  </si>
  <si>
    <t xml:space="preserve">Battery -- C factor </t>
  </si>
  <si>
    <t>Sign-off: Michael Sarnoff-Wood (temperature limits)</t>
  </si>
  <si>
    <t>Sign-off: Michael Sarnoff-Wood (cell health, efficiency)</t>
  </si>
  <si>
    <t>Battery -- Depth of Charge</t>
  </si>
  <si>
    <t>Battery -- Cycles per Day</t>
  </si>
  <si>
    <t>Battery -- Discharge Time (hours)</t>
  </si>
  <si>
    <t>Battery -- Charge Time</t>
  </si>
  <si>
    <t>Location &amp; Grid Parameters</t>
  </si>
  <si>
    <t>Company Capital Structure</t>
  </si>
  <si>
    <t>Battery -- Correction coeff. for upsized battery</t>
  </si>
  <si>
    <t>Project Parameters</t>
  </si>
  <si>
    <r>
      <rPr>
        <sz val="11"/>
        <color rgb="FF0070C0"/>
        <rFont val="Verdana"/>
        <family val="2"/>
      </rPr>
      <t>Blue</t>
    </r>
    <r>
      <rPr>
        <sz val="11"/>
        <color rgb="FF002060"/>
        <rFont val="Verdana"/>
        <family val="2"/>
      </rPr>
      <t xml:space="preserve"> -- inputs</t>
    </r>
  </si>
  <si>
    <r>
      <rPr>
        <sz val="12"/>
        <color rgb="FF00B050"/>
        <rFont val="Calibri (Body)"/>
      </rPr>
      <t>Green</t>
    </r>
    <r>
      <rPr>
        <sz val="12"/>
        <color theme="1"/>
        <rFont val="Calibri"/>
        <family val="2"/>
        <scheme val="minor"/>
      </rPr>
      <t xml:space="preserve"> -- computed outside</t>
    </r>
  </si>
  <si>
    <r>
      <rPr>
        <sz val="12"/>
        <color rgb="FFC00000"/>
        <rFont val="Calibri (Body)"/>
      </rPr>
      <t>Red</t>
    </r>
    <r>
      <rPr>
        <sz val="12"/>
        <color theme="1"/>
        <rFont val="Calibri"/>
        <family val="2"/>
        <scheme val="minor"/>
      </rPr>
      <t xml:space="preserve"> -- questionable</t>
    </r>
  </si>
  <si>
    <r>
      <rPr>
        <sz val="12"/>
        <color theme="5"/>
        <rFont val="Calibri (Body)"/>
      </rPr>
      <t>Orange</t>
    </r>
    <r>
      <rPr>
        <sz val="12"/>
        <color theme="1"/>
        <rFont val="Calibri"/>
        <family val="2"/>
        <scheme val="minor"/>
      </rPr>
      <t xml:space="preserve"> -- inputs from other sheets</t>
    </r>
  </si>
  <si>
    <t xml:space="preserve">https://www.eia.gov/electricity/state/ </t>
  </si>
  <si>
    <t>Name</t>
  </si>
  <si>
    <t>Average retail price (cents/kWh)</t>
  </si>
  <si>
    <t>Net summer capacity (MW)</t>
  </si>
  <si>
    <t>Net generation (MWh)</t>
  </si>
  <si>
    <t>Total retail sales (MWh)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</si>
  <si>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</si>
  <si>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</si>
  <si>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</si>
  <si>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</si>
  <si>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</si>
  <si>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</si>
  <si>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</si>
  <si>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</si>
  <si>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</si>
  <si>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</si>
  <si>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</si>
  <si>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</si>
  <si>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</si>
  <si>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</si>
  <si>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</si>
  <si>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</si>
  <si>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</si>
  <si>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</si>
  <si>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</si>
  <si>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</si>
  <si>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</si>
  <si>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</si>
  <si>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</si>
  <si>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</si>
  <si>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</si>
  <si>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</si>
  <si>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</si>
  <si>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</si>
  <si>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</si>
  <si>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</si>
  <si>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</si>
  <si>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</si>
  <si>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</si>
  <si>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</si>
  <si>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</si>
  <si>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</si>
  <si>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</si>
  <si>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</si>
  <si>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</si>
  <si>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</si>
  <si>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</si>
  <si>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</si>
  <si>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</si>
  <si>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</si>
  <si>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</si>
  <si>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</si>
  <si>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</si>
  <si>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</si>
  <si>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</si>
  <si>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</si>
  <si>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</si>
  <si>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U.S. Total</t>
  </si>
  <si>
    <t>State</t>
  </si>
  <si>
    <t>D.C., Washington</t>
  </si>
  <si>
    <t>Alberta - CA</t>
  </si>
  <si>
    <t>British Columbia - CA</t>
  </si>
  <si>
    <t>Manitoba - CA</t>
  </si>
  <si>
    <t>Fredericton, New Brundswick</t>
  </si>
  <si>
    <t>New Brundswick - CA</t>
  </si>
  <si>
    <t>Newfoundland - CA</t>
  </si>
  <si>
    <t>Northwest Territoriest - CA</t>
  </si>
  <si>
    <t>Halifax - CA</t>
  </si>
  <si>
    <t>Ontario - CA</t>
  </si>
  <si>
    <t>Prince Edward Isl - CA</t>
  </si>
  <si>
    <t>Quebec - CA</t>
  </si>
  <si>
    <t>Saskatchewan - CA</t>
  </si>
  <si>
    <t>Yukon - CA</t>
  </si>
  <si>
    <t>CT, Bridgeport</t>
  </si>
  <si>
    <t>Averaged between Boston and NY</t>
  </si>
  <si>
    <t>DE, Dover</t>
  </si>
  <si>
    <t>Averaged between MD and DC</t>
  </si>
  <si>
    <t>VT, Montpelier</t>
  </si>
  <si>
    <t>NH, Concord</t>
  </si>
  <si>
    <t>Averaged between Boston and Vermont</t>
  </si>
  <si>
    <t>Outlier? Bad Data?</t>
  </si>
  <si>
    <t>Ratio to CA</t>
  </si>
  <si>
    <t>TBC with Michael Sarnoff-Wood</t>
  </si>
  <si>
    <t>Economic literature, TBC with Michael Sarnoff-Wood</t>
  </si>
  <si>
    <t>Sign-off Yury Maximov (baseline assumption)</t>
  </si>
  <si>
    <t>Energy Price at the Location/Energy Price California</t>
  </si>
  <si>
    <t>Solar -- Investment Tax Credit (Tax Shield)</t>
  </si>
  <si>
    <t>Battery -- Investment Tax Credit (Tax Shield)</t>
  </si>
  <si>
    <t>Solar -- Cost Drop Rate</t>
  </si>
  <si>
    <t>Project Start Year</t>
  </si>
  <si>
    <t>Solar -- Fixed Annual</t>
  </si>
  <si>
    <t>Solar -- Upfront Fixed</t>
  </si>
  <si>
    <t>Solar -- Price per MW Annual</t>
  </si>
  <si>
    <t>Solar -- Price per MW Upfront</t>
  </si>
  <si>
    <t>Battery -- Upfront Fixed</t>
  </si>
  <si>
    <t>Battery -- Fixed Annual</t>
  </si>
  <si>
    <t>Battery -- Price per MWh Upfront</t>
  </si>
  <si>
    <t>Battery -- Price per MWh Annual</t>
  </si>
  <si>
    <t>See 'CapEx' sheet and explanations there</t>
  </si>
  <si>
    <t xml:space="preserve">Geometric mean over last 5 years https://www.nrel.gov/news/program/2021/documenting-a-decade-of-cost-declines-for-pv-systems.html </t>
  </si>
  <si>
    <t>Figure ES-2, Geometric Mean from 2020 to 2035 https://www.nrel.gov/docs/fy21osti/79236.pdf</t>
  </si>
  <si>
    <t>Battery -- Cost Drop Rate</t>
  </si>
  <si>
    <t>Inflation Rate</t>
  </si>
  <si>
    <t xml:space="preserve">Mean over the last 10 years https://www.usinflationcalculator.com/inflation/current-inflation-rates/#:~:text=The%20annual%20inflation%20rate%20for,ET. </t>
  </si>
  <si>
    <t>Grid -- Price per MW Upfront</t>
  </si>
  <si>
    <t>Grid -- Price per MW Annual</t>
  </si>
  <si>
    <t>Grid -- Upfront Fixed</t>
  </si>
  <si>
    <t>Grid -- Fixed Annual</t>
  </si>
  <si>
    <t>Sign-off: Yury Maximov, PEM 80000, Alkaline 60000; Averaged</t>
  </si>
  <si>
    <t>Electrolyzer -- Stack Lifetime (years)</t>
  </si>
  <si>
    <t>Electrolyzer -- Investment Tax Credit</t>
  </si>
  <si>
    <t xml:space="preserve">https://www.bakerbotts.com/thought-leadership/publications/2022/august/clean-hydrogen-and-fuel-cell-incentives-in-the-inflation-reduction-act-of-2022 </t>
  </si>
  <si>
    <t>Hydrogen Storage</t>
  </si>
  <si>
    <t>Constants</t>
  </si>
  <si>
    <t>Sign-off: Yury Maximov, upper bound -- the average load is about 70% in the scheduler, took + 10%</t>
  </si>
  <si>
    <t>Section 4.7 https://theicct.org/wp-content/uploads/2021/06/final_icct2020_assessment_of-_hydrogen_production_costs-v2.pdf</t>
  </si>
  <si>
    <t>TBC</t>
  </si>
  <si>
    <t xml:space="preserve">Electrolyzer -- Efficiency </t>
  </si>
  <si>
    <t>Electrolyzer -- Upfront Fixed</t>
  </si>
  <si>
    <t>Electrolyzer -- Fixed Annual</t>
  </si>
  <si>
    <t>H2 Storage -- Degradation over time</t>
  </si>
  <si>
    <t>H2 Storage -- Lifetime</t>
  </si>
  <si>
    <t>Electrolyzer -- Price per MW Upfront</t>
  </si>
  <si>
    <t>Electrolyzer -- Price per MW Annual</t>
  </si>
  <si>
    <t>Electrolyzer -- Stack Lifetime (hours)</t>
  </si>
  <si>
    <t>Electrolyzer -- Mean load (%)</t>
  </si>
  <si>
    <t xml:space="preserve">Electrolyzer -- Heating Value (kWh/kg H2) </t>
  </si>
  <si>
    <t>H2 Storage -- Roundtrip Efficiency</t>
  </si>
  <si>
    <t xml:space="preserve">https://gulfenergyinfo.com/h2tech/articles/2021/q3-2021/long-duration-h2-storage-in-solution-mined-salt-caverns-part-1#:~:text=H2%20in%20storage%20does,energy%20efficiency%20remains%20constant%20indefinitely. </t>
  </si>
  <si>
    <t>H2 Storage -- Upfront Fixed</t>
  </si>
  <si>
    <t>H2 Storage -- Fixed Annual</t>
  </si>
  <si>
    <t>(per kg)</t>
  </si>
  <si>
    <t>[Demand] kg * 33.6 kWh/kg x 5 days (Val); USD $2.86 per kWh (effective)</t>
  </si>
  <si>
    <t>H2 Storage -- Price per KG Upfront</t>
  </si>
  <si>
    <t>H2 Storage -- Price per KG Annual</t>
  </si>
  <si>
    <t>IRA Tax Credit</t>
  </si>
  <si>
    <t>0.45 kg = 1 hour of CA grid usage + https://www.fchea.org/transitions/2022/8/5/how-the-inflation-reduction-act-of-2022-will-advance-a-us-hydrogen-economy</t>
  </si>
  <si>
    <t>IRA Target</t>
  </si>
  <si>
    <t>IRA Discount per KG</t>
  </si>
  <si>
    <t>1.5 KG CO2/KG H2</t>
  </si>
  <si>
    <t>0.45 KG CO2 /KG H2</t>
  </si>
  <si>
    <t>2.5 KG CO2/KG H2</t>
  </si>
  <si>
    <t>4 KG CO2/KG H2</t>
  </si>
  <si>
    <t>Hours of Grid Operating</t>
  </si>
  <si>
    <t>Sign-off: Yury Maximov, "Green" hydrogen corresponds to 0.96 Hour of CA Grid</t>
  </si>
  <si>
    <t>No IRA Target</t>
  </si>
  <si>
    <t>Sign-off: Yury Maximov, with demand charge (avegraged over grid usage time), 12 intervals per hour</t>
  </si>
  <si>
    <t>Sign-off: Yury Maximov, daily average +30% contingency</t>
  </si>
  <si>
    <t>USD per MW (double)</t>
  </si>
  <si>
    <t>Sign-off: Yury Maximov, 90% quantile is taken</t>
  </si>
  <si>
    <t>Electrolyser -- Efficiency increase per year</t>
  </si>
  <si>
    <t xml:space="preserve">https://www.nrel.gov/docs/fy21osti/77324.pdf </t>
  </si>
  <si>
    <t>H2 Storage -- Price Drop</t>
  </si>
  <si>
    <t>https://www.pnnl.gov/sites/default/files/media/file/Hydrogen_Methodology.pdf Table 1</t>
  </si>
  <si>
    <t>Grid price per MWh (CA)</t>
  </si>
  <si>
    <t>Grid price per MWh (State Adjusted)</t>
  </si>
  <si>
    <t>taken from the number of years</t>
  </si>
  <si>
    <t>Solar -- Inverter + System Loss</t>
  </si>
  <si>
    <t>System Loss</t>
  </si>
  <si>
    <t>Solar -- 2nd life price</t>
  </si>
  <si>
    <t>Sign-off: 0.1 USD per Watt https://avenston.com/en/articles/solar-second-life/</t>
  </si>
  <si>
    <t>Solar power MW</t>
  </si>
  <si>
    <t>Solar Efficiency</t>
  </si>
  <si>
    <t>Solar EOP MW Resale</t>
  </si>
  <si>
    <t>Solar Cost Drop</t>
  </si>
  <si>
    <t>Solar 2nd life/1st price ratio</t>
  </si>
  <si>
    <t>1. Annual prices are inflated at the inflation rate</t>
  </si>
  <si>
    <t>2. Tax shield is only applicable to the upfront costs</t>
  </si>
  <si>
    <t>3. At the end of the project solar can be sold on the 2nd life market</t>
  </si>
  <si>
    <t>4. Inflation rate is constant over time</t>
  </si>
  <si>
    <t>5. Degradation rate is constant over time</t>
  </si>
  <si>
    <t>6. Solar efficiency is constant over time</t>
  </si>
  <si>
    <t>Sign-off: Yury Maximov</t>
  </si>
  <si>
    <t>7. Solar cost drop is constant over time</t>
  </si>
  <si>
    <t>Simplicications:</t>
  </si>
  <si>
    <t>1. Annual solar radiation value is used</t>
  </si>
  <si>
    <t>Assumptions:</t>
  </si>
  <si>
    <t>Equations:</t>
  </si>
  <si>
    <t>Solar Days of Operation</t>
  </si>
  <si>
    <t>Capex Cost per MW Power</t>
  </si>
  <si>
    <t>Tax Shield and Resale value added</t>
  </si>
  <si>
    <t>8. Volumes are discounted at the IRR rate</t>
  </si>
  <si>
    <t>MWH Energy over Lifetime (discounted volume)</t>
  </si>
  <si>
    <t>9. Cost of Recycling is zero</t>
  </si>
  <si>
    <t xml:space="preserve">10. Battery can be sold at the end of project </t>
  </si>
  <si>
    <t>MHW Energy over lifetime (undiscounted)</t>
  </si>
  <si>
    <t>Opex Cost per MW Power</t>
  </si>
  <si>
    <t>Total Cost per MWH (discounted)</t>
  </si>
  <si>
    <t>2nd life MWH price/1st life MWH price</t>
  </si>
  <si>
    <t>Degradation Rate per Year</t>
  </si>
  <si>
    <t>Roundtrip Efficiency</t>
  </si>
  <si>
    <t>CapEx Per MWh</t>
  </si>
  <si>
    <t>Opex per MWh per year</t>
  </si>
  <si>
    <t>CapEx fixed</t>
  </si>
  <si>
    <t>Opex fixed per year</t>
  </si>
  <si>
    <t>Battery -- Capacity</t>
  </si>
  <si>
    <t>Battery -- Price to buy</t>
  </si>
  <si>
    <t>Battery -- Resale price</t>
  </si>
  <si>
    <t>Battery -- Lifetime</t>
  </si>
  <si>
    <t xml:space="preserve">  -- same when buy again</t>
  </si>
  <si>
    <t>Project -- Lifetime</t>
  </si>
  <si>
    <t>1. Opex costs increase with the inflation rate (salary, service, rates, etc)</t>
  </si>
  <si>
    <t>IRR Rate</t>
  </si>
  <si>
    <t>2. CapEx fixed is inflated with the inflation late (permitting, shipping, etc)</t>
  </si>
  <si>
    <t>3. Battery cost is dropped according to the cost drop rate</t>
  </si>
  <si>
    <t xml:space="preserve">   -- same when sell at the second time</t>
  </si>
  <si>
    <t>Battery Net Capex per MWh (sized with scale)</t>
  </si>
  <si>
    <t>Battery Net Opex per MWh (sized with scale)</t>
  </si>
  <si>
    <t>Consumption rate, MW</t>
  </si>
  <si>
    <t>Energy from Solar (daily), MWh</t>
  </si>
  <si>
    <t>Energy from Grid (daily), MWh</t>
  </si>
  <si>
    <t>Powers &amp; Energies</t>
  </si>
  <si>
    <t>Electrolyser Power, MW</t>
  </si>
  <si>
    <t>Battery Capacity, MWh</t>
  </si>
  <si>
    <t>Solar power, MW</t>
  </si>
  <si>
    <t>Grid Consumption, MWh</t>
  </si>
  <si>
    <t>Solar Power, MW</t>
  </si>
  <si>
    <t>Sun hours per day</t>
  </si>
  <si>
    <t>Total Capex, USD</t>
  </si>
  <si>
    <t>Hydrogen Price, USD/KG</t>
  </si>
  <si>
    <t>4. Electrolyser consumption is taken from the hydrogen demand</t>
  </si>
  <si>
    <t>Grid/CA -- transmission price per MWh (no capex)</t>
  </si>
  <si>
    <t>Grid/CA -- distribution -- Price per MWh (no capex)</t>
  </si>
  <si>
    <t>Grid/CA -- distributoin -- Demand charge per MW (upd on MWh, no capex)</t>
  </si>
  <si>
    <t>See computations at "Model and Assumptions" sheet for the details</t>
  </si>
  <si>
    <t>MWh Consumed per year</t>
  </si>
  <si>
    <t>MWh Consumed per day</t>
  </si>
  <si>
    <t>Grid price per MWh (with demand charge, no capex)</t>
  </si>
  <si>
    <t xml:space="preserve">Assumptions: </t>
  </si>
  <si>
    <t>Grid price per MWh (inflated over 20 years, no capex)</t>
  </si>
  <si>
    <t>Grid price per MWh (State Adjusted, no capex)</t>
  </si>
  <si>
    <t>1. Grid price grow with the inflation rate on average</t>
  </si>
  <si>
    <t>Adjusted Opex Cost</t>
  </si>
  <si>
    <t>Total Capex and Adjusted Opex</t>
  </si>
  <si>
    <t>(Capex + Opex) per MWh produced</t>
  </si>
  <si>
    <t>Final inflated cost per MWh (capex included)</t>
  </si>
  <si>
    <t>2. Check about investment tax credit</t>
  </si>
  <si>
    <t>Energy Price Extra after the Battery, USD per MWh</t>
  </si>
  <si>
    <t>Energy Electrolyser Output (daily), MWh</t>
  </si>
  <si>
    <t>Energy Electrolyser Input (daily), MWh</t>
  </si>
  <si>
    <t>60% now to 80%, linearly spanned over 20 years</t>
  </si>
  <si>
    <t>(computed based on the hydrogen demand)</t>
  </si>
  <si>
    <t>Electrolyser Lifetime</t>
  </si>
  <si>
    <t>Grid -- Investment Tax Credit</t>
  </si>
  <si>
    <t>Energy to Battery (daily), MWh</t>
  </si>
  <si>
    <t>Energy to Battery (annual), MWh</t>
  </si>
  <si>
    <t>Energy from Battery (daily), MWh</t>
  </si>
  <si>
    <t>Energy from Battery (annual), MWh</t>
  </si>
  <si>
    <t>Energy from battery (discounted on equipment degradation), MWh over project lifetime</t>
  </si>
  <si>
    <t>MWh Extra Cost if Stored in Battery</t>
  </si>
  <si>
    <t>Battery Nex Expenses per MWh (capex + opex)</t>
  </si>
  <si>
    <t>Optimality Conditions</t>
  </si>
  <si>
    <t>Hydrogen Demand</t>
  </si>
  <si>
    <t>Solar Installed Power, MW</t>
  </si>
  <si>
    <t>Grid Daily Demand, MWh</t>
  </si>
  <si>
    <t>Solar Daily Production, MWh</t>
  </si>
  <si>
    <t>Statements</t>
  </si>
  <si>
    <t>1. At the optimal point, marginal prices of using solar + battery = grid marginal price</t>
  </si>
  <si>
    <t>Solar Price per MWh</t>
  </si>
  <si>
    <t>Solar price per MWh (20 years)</t>
  </si>
  <si>
    <t>Battery Installed Capacity, MWh</t>
  </si>
  <si>
    <t>land</t>
  </si>
  <si>
    <t>can not buy, can rent only</t>
  </si>
  <si>
    <t>Battery -- Installed Capacity, MWh</t>
  </si>
  <si>
    <t/>
  </si>
  <si>
    <t>Daily load hours, electrolyser</t>
  </si>
  <si>
    <t>Limits:</t>
  </si>
  <si>
    <t>Overall daily grid demand</t>
  </si>
  <si>
    <t>Parameter</t>
  </si>
  <si>
    <t>Value</t>
  </si>
  <si>
    <t>variable s</t>
  </si>
  <si>
    <t>2. Battery is chosen in a way that all solar unconsumed energy can be stored (near optimal point)</t>
  </si>
  <si>
    <t>variable h</t>
  </si>
  <si>
    <t>Mean Electrolyser Power, MW</t>
  </si>
  <si>
    <t>As H2 KG = 33.6 MWh + 2022 efficiency</t>
  </si>
  <si>
    <t>Solar Overall Efficiency</t>
  </si>
  <si>
    <t>based on the annual daily output</t>
  </si>
  <si>
    <t>Battery Roundtrip Efficiency</t>
  </si>
  <si>
    <t>Battery Depth of Charge</t>
  </si>
  <si>
    <t>Battery Input Energy, MWh</t>
  </si>
  <si>
    <t>from solar during the sun time</t>
  </si>
  <si>
    <t>Battery Output Energy, MWh</t>
  </si>
  <si>
    <t>1. PG&amp;E type grid - can get energy credits for the energy supplied to the grid (1:1 energy in - energy out)</t>
  </si>
  <si>
    <t>Hydrogen</t>
  </si>
  <si>
    <t>Price per KG (No IRA)</t>
  </si>
  <si>
    <t>Overall cost per day (discounted volume)</t>
  </si>
  <si>
    <t>Grid Price (with capex &amp; opex, inflated), per MWh</t>
  </si>
  <si>
    <t>Battery Extra Cost per MW Input</t>
  </si>
  <si>
    <t>Battery Extra Cost per MW Output</t>
  </si>
  <si>
    <t>Lifetime H2 demand (discounted under IRR)</t>
  </si>
  <si>
    <t>IRR rate</t>
  </si>
  <si>
    <t xml:space="preserve">Project Lifetime </t>
  </si>
  <si>
    <t>Operating Days per Year</t>
  </si>
  <si>
    <t>Check it, might be a typo</t>
  </si>
  <si>
    <t>H2 demand (daily mean), KG per day</t>
  </si>
  <si>
    <t>Overall cost per KG of Hydrogen</t>
  </si>
  <si>
    <t>Check it, seems a little high</t>
  </si>
  <si>
    <t>Emergency power for contingency case, Sign-off: Yury Maximov for 20 MW electrolyser</t>
  </si>
  <si>
    <t>no IRA</t>
  </si>
  <si>
    <t>$3 IRA tax credit</t>
  </si>
  <si>
    <t>$1 IRA tax credit</t>
  </si>
  <si>
    <t>$0.75 IRA tax credit</t>
  </si>
  <si>
    <t>$0.6 IRA tax credit</t>
  </si>
  <si>
    <t>Grid/Non Grid power Limit</t>
  </si>
  <si>
    <t>(hours)</t>
  </si>
  <si>
    <t>IRA Discount</t>
  </si>
  <si>
    <t>Grid/Non-Grid Power</t>
  </si>
  <si>
    <t>Overall price per KG with the IRA discount</t>
  </si>
  <si>
    <t>Sun Hours per Day</t>
  </si>
  <si>
    <t>Battery -- Power going in, MW</t>
  </si>
  <si>
    <t>Electrolyser:</t>
  </si>
  <si>
    <t>Electrolyser Capex per MW, USD</t>
  </si>
  <si>
    <t>Electrolyser Opex (inflated) per MW, USD</t>
  </si>
  <si>
    <t>Electrolyser Lifetime (years)</t>
  </si>
  <si>
    <t>Electrolyser Efficiency</t>
  </si>
  <si>
    <t>Electrolyser Power Out max, MW</t>
  </si>
  <si>
    <t>Electrolyzer Power In (nominal), MW</t>
  </si>
  <si>
    <t>First purchase</t>
  </si>
  <si>
    <t>US Inflation rate</t>
  </si>
  <si>
    <t>1. Electrolyser Operational costs are inflated with the mean US inflation rate across last 10 years</t>
  </si>
  <si>
    <t>Question:</t>
  </si>
  <si>
    <t>1. Clarify decomission fees</t>
  </si>
  <si>
    <t>2. Electrolyser can not be sold the end of lifetime</t>
  </si>
  <si>
    <t>Second purchase</t>
  </si>
  <si>
    <t>Electrolyser -- Price drop per Year</t>
  </si>
  <si>
    <t>Stack cost drop rate</t>
  </si>
  <si>
    <t>3. No decomission fee is taken</t>
  </si>
  <si>
    <t>Electrolyser -- Compression Losses</t>
  </si>
  <si>
    <t>https://www.irena.org/-/media/Files/IRENA/Agency/Publication/2020/Dec/IRENA_Green_hydrogen_cost_2020.pdf</t>
  </si>
  <si>
    <t>Electrolyzer -- Degradation rate per year</t>
  </si>
  <si>
    <t>Table 6 at https://www.irena.org/-/media/Files/IRENA/Agency/Publication/2020/Dec/IRENA_Green_hydrogen_cost_2020.pdf</t>
  </si>
  <si>
    <t>5. Opex does not drop off because of the inflation</t>
  </si>
  <si>
    <t>4. Both Capex drops down at the second purchase with the stack cost drop rate + IRR rate</t>
  </si>
  <si>
    <t>Final Expenses</t>
  </si>
  <si>
    <t>Electrolyzer Stack Price per MW (scaled)</t>
  </si>
  <si>
    <t>Extras Per H2 kg due to Electrolyzer</t>
  </si>
  <si>
    <t>Seems to satisty 6% base rate requirement https://www.foley.com/en/insights/publications/2021/10/new-tax-credit-electric-transmission-property</t>
  </si>
  <si>
    <t>Investment Tax Credit</t>
  </si>
  <si>
    <t>Battery Cost output берется пропорционально инпутам -- в дейтсвительности между нимим тоже линейная взаимосвязь?</t>
  </si>
  <si>
    <t>Что есть cost input и что есть cost output?</t>
  </si>
  <si>
    <t>Why do we additionally adjust cost by IRR?</t>
  </si>
  <si>
    <t xml:space="preserve">Does it mean that we cannot sell at higher price than offered by the grid (the quantity that is not used in H2 production)?  </t>
  </si>
  <si>
    <t>At one point, we might have surplus, since we always produce more than consumed --&gt; storage is limited, need to sell from time-to-time</t>
  </si>
  <si>
    <t>Project's lifetime remains 20Y I suppose according to Capex ?</t>
  </si>
  <si>
    <t>Тут нужна пояснительная бригада</t>
  </si>
  <si>
    <t>В каком случае цена из грида = 55$?</t>
  </si>
  <si>
    <t>Я не понимаю как происходит ценообразование. Понимаю корректировку, но не core rates</t>
  </si>
  <si>
    <t>Почему стоимость H2 включает в себя еще и стоимость из грида? Соларом покрываем все нужды вроде + для батарейки остается</t>
  </si>
  <si>
    <t>В extra cost мы запихиваем весь капекс, при этом Opex берем за 1 год?  Не понимаю, когда инфляция умножается на capacity. Обсудить формулы расчета -- интуитивно непонятно</t>
  </si>
  <si>
    <t>Ставка годовая и мы дисконтируем дневные объемы</t>
  </si>
  <si>
    <t xml:space="preserve">На листах с тарыми расчетами -- выскочили рефы -- обсудить и исправить </t>
  </si>
  <si>
    <t>Drop-down list does not include Canada</t>
  </si>
  <si>
    <t>Opex should discounted using IRR</t>
  </si>
  <si>
    <t>Opex growing overtime</t>
  </si>
  <si>
    <t>Opex</t>
  </si>
  <si>
    <t>Переделать модель в временной ряд / расшить модель</t>
  </si>
  <si>
    <t>Inputs: Location, type of drid (distribution / transmission), solar volume, battery size, electrolyzer capacity)</t>
  </si>
  <si>
    <t>Outputs: price per H2 kg</t>
  </si>
  <si>
    <t>C86 -- empty cell; overall formula makes no sense -- we multiple number and divide by exact same amount -- clear</t>
  </si>
  <si>
    <t>F84 = 0; volumes are not used in formula; mmult(volumes; inflation) -- meaning? -- clear</t>
  </si>
  <si>
    <t xml:space="preserve">Parameters </t>
  </si>
  <si>
    <t>h</t>
  </si>
  <si>
    <t xml:space="preserve"> MWh</t>
  </si>
  <si>
    <t>Energy Electrolyser Input (daily)</t>
  </si>
  <si>
    <t>Energy Electrolyser Output (daily),</t>
  </si>
  <si>
    <t>Hydrogen Demand (daily)</t>
  </si>
  <si>
    <t>kg</t>
  </si>
  <si>
    <t>General inputs</t>
  </si>
  <si>
    <t>Project assumptions</t>
  </si>
  <si>
    <t>Solar Inputs</t>
  </si>
  <si>
    <t>Solar Installed Power</t>
  </si>
  <si>
    <t>Solar Daily Production</t>
  </si>
  <si>
    <t>Solar Price</t>
  </si>
  <si>
    <t>Battery Inputs</t>
  </si>
  <si>
    <t>Battery Installed Capacity,</t>
  </si>
  <si>
    <t>Battery Input Energy</t>
  </si>
  <si>
    <t>Battery Output Energy</t>
  </si>
  <si>
    <t>Mean Electrolyser Power</t>
  </si>
  <si>
    <t xml:space="preserve"> MW</t>
  </si>
  <si>
    <t>$ / MW</t>
  </si>
  <si>
    <t>Battery Extra Cost (Input)</t>
  </si>
  <si>
    <t>Battery Extra Cost (Output)</t>
  </si>
  <si>
    <t>Degradation Rate per year</t>
  </si>
  <si>
    <t>Battery Lifetime</t>
  </si>
  <si>
    <t>Inflation rate</t>
  </si>
  <si>
    <t>Timeline</t>
  </si>
  <si>
    <t>Battery Net Capex</t>
  </si>
  <si>
    <t>Battery resale price</t>
  </si>
  <si>
    <t>Battery -- Price to sell</t>
  </si>
  <si>
    <t xml:space="preserve">  -- same when sell again</t>
  </si>
  <si>
    <t>Battery Total Opex</t>
  </si>
  <si>
    <t>Energy from battery (annually)</t>
  </si>
  <si>
    <t>Energy from battery (life-time; assuming equipment degradation)</t>
  </si>
  <si>
    <t>Battery Capex&amp;Opex modelling</t>
  </si>
  <si>
    <t>Electrolyzer Inputs</t>
  </si>
  <si>
    <t>Electrolyser Capex</t>
  </si>
  <si>
    <t>Electrolyzer Nominal Power</t>
  </si>
  <si>
    <t>Electrolyzer Lifeteme</t>
  </si>
  <si>
    <t>Electrolyzer Cost drop</t>
  </si>
  <si>
    <t>First Purchase (invested at t = 0)</t>
  </si>
  <si>
    <t>Second Purchase (invested once first electrolyzer pases 10Y)</t>
  </si>
  <si>
    <t xml:space="preserve">Dicounted Electrolyzer Opex </t>
  </si>
  <si>
    <t>Total Electrolyzer Cost</t>
  </si>
  <si>
    <t>Grid Inputs</t>
  </si>
  <si>
    <t>Consumed per day</t>
  </si>
  <si>
    <t xml:space="preserve">MWh </t>
  </si>
  <si>
    <t>Consumed per year</t>
  </si>
  <si>
    <t>Grid Opex</t>
  </si>
  <si>
    <t>Discounted, adj. tax credit</t>
  </si>
  <si>
    <t>Capex + Opex (price contribution)</t>
  </si>
  <si>
    <t>Price (net of capex and opex)</t>
  </si>
  <si>
    <t>Final grid price</t>
  </si>
  <si>
    <t>Price calculation</t>
  </si>
  <si>
    <t>kg/year</t>
  </si>
  <si>
    <t>Volumes</t>
  </si>
  <si>
    <t>kg/day</t>
  </si>
  <si>
    <t>Overall cost per discounted volume</t>
  </si>
  <si>
    <t>H2 demand (daily mean)</t>
  </si>
  <si>
    <t>$/ kg</t>
  </si>
  <si>
    <t>Grid / Non-grid power</t>
  </si>
  <si>
    <t>IRA discount</t>
  </si>
  <si>
    <t>$ / kg</t>
  </si>
  <si>
    <t>Overall H2 cost (IRA adj.)</t>
  </si>
  <si>
    <t>Overall cost of H2</t>
  </si>
  <si>
    <t>1. We grow  costs under inflation rate, yet  we discount using IRR (which is inline with article "The Levelized Cost of Storage of Electrochemical Energy Storage Technologies in China")</t>
  </si>
  <si>
    <t>Total Capex of 1st purchase</t>
  </si>
  <si>
    <t>Total cost of 2nd purchase</t>
  </si>
  <si>
    <t>Discounted volumes</t>
  </si>
  <si>
    <t>Electrolyser Opex (first purchase)</t>
  </si>
  <si>
    <t>Electrolyser Opex (second purchase)</t>
  </si>
  <si>
    <t>Solar production</t>
  </si>
  <si>
    <t>Solar volumes produced</t>
  </si>
  <si>
    <t xml:space="preserve">MWh / year </t>
  </si>
  <si>
    <t>Solar degradation</t>
  </si>
  <si>
    <t xml:space="preserve">Solar price reduction </t>
  </si>
  <si>
    <t>Battery volumes obtained</t>
  </si>
  <si>
    <t>MWh / year</t>
  </si>
  <si>
    <t>Grid volumes consumed</t>
  </si>
  <si>
    <t>Total Opex (first purchase)</t>
  </si>
  <si>
    <t>Total Opex (second purchase)</t>
  </si>
  <si>
    <t>Total Opex (discounted)</t>
  </si>
  <si>
    <t>Sales to grid</t>
  </si>
  <si>
    <t>Volumes available for sale</t>
  </si>
  <si>
    <t>Revenue from selling</t>
  </si>
  <si>
    <t>Discounted revenue</t>
  </si>
  <si>
    <t xml:space="preserve">Comission 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</si>
</sst>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.00\ &quot;RUB&quot;;[Red]\-#,##0.00\ &quot;RUB&quot;"/>
    <numFmt numFmtId="165" formatCode="_-* #,##0.00_-;\-* #,##0.00_-;_-* &quot;-&quot;??_-;_-@_-"/>
    <numFmt numFmtId="166" formatCode="_-* #,##0.0_-;\-* #,##0.0_-;_-* &quot;-&quot;??_-;_-@_-"/>
    <numFmt numFmtId="167" formatCode="_-* #,##0_-;\-* #,##0_-;_-* &quot;-&quot;??_-;_-@_-"/>
    <numFmt numFmtId="168" formatCode="0.0%"/>
    <numFmt numFmtId="169" formatCode="0.0"/>
    <numFmt numFmtId="170" formatCode="0.000"/>
    <numFmt numFmtId="171" formatCode="&quot;$&quot;#,##0.00"/>
    <numFmt numFmtId="172" formatCode="_-* #,##0.00\ _R_U_B_-;\-* #,##0.00\ _R_U_B_-;_-* &quot;-&quot;??\ _R_U_B_-;_-@_-"/>
    <numFmt numFmtId="173" formatCode="_-* #,##0\ _R_U_B_-;\-* #,##0\ _R_U_B_-;_-* &quot;-&quot;??\ _R_U_B_-;_-@_-"/>
    <numFmt numFmtId="174" formatCode="#,##0;\-#,##0;\ &quot;-&quot;"/>
    <numFmt numFmtId="175" formatCode="_-* #,##0.0\ _R_U_B_-;\-* #,##0.0\ _R_U_B_-;_-* &quot;-&quot;?\ _R_U_B_-;_-@_-"/>
    <numFmt numFmtId="176" formatCode="#,##0.0"/>
    <numFmt numFmtId="177" formatCode="&quot;$&quot;#,##0.000"/>
    <numFmt numFmtId="178" formatCode="#,##0.0;\-#,##0.0;\ &quot;-&quot;"/>
  </numFmts>
  <fonts count="6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b/>
      <sz val="8"/>
      <color rgb="FF21263A"/>
      <name val="Arial"/>
      <family val="2"/>
    </font>
    <font>
      <i/>
      <sz val="12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sz val="10"/>
      <color rgb="FF000000"/>
      <name val="Calibri"/>
      <family val="2"/>
    </font>
    <font>
      <sz val="12"/>
      <color rgb="FF0070C0"/>
      <name val="Calibri"/>
      <family val="2"/>
      <scheme val="minor"/>
    </font>
    <font>
      <b/>
      <sz val="10"/>
      <color theme="1"/>
      <name val="ArialMT"/>
    </font>
    <font>
      <sz val="10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rgb="FF202124"/>
      <name val="Arial"/>
      <family val="2"/>
    </font>
    <font>
      <sz val="12"/>
      <color rgb="FF000000"/>
      <name val="Calibri"/>
      <family val="2"/>
      <scheme val="minor"/>
    </font>
    <font>
      <sz val="12"/>
      <color rgb="FF00B05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2"/>
      <color theme="1"/>
      <name val="ArialNarrow,Bold"/>
    </font>
    <font>
      <u/>
      <sz val="12"/>
      <color theme="1"/>
      <name val="Calibri"/>
      <family val="2"/>
    </font>
    <font>
      <b/>
      <u/>
      <sz val="12"/>
      <color theme="1"/>
      <name val="Calibri"/>
      <family val="2"/>
      <scheme val="minor"/>
    </font>
    <font>
      <b/>
      <sz val="12"/>
      <color theme="1"/>
      <name val="ArialNarrow,Bold"/>
    </font>
    <font>
      <sz val="12"/>
      <color rgb="FFC00000"/>
      <name val="Calibri"/>
      <family val="2"/>
      <scheme val="minor"/>
    </font>
    <font>
      <b/>
      <sz val="18"/>
      <color rgb="FF0070C0"/>
      <name val="Calibri"/>
      <family val="2"/>
      <scheme val="minor"/>
    </font>
    <font>
      <b/>
      <sz val="12"/>
      <color theme="4"/>
      <name val="Calibri"/>
      <family val="2"/>
      <scheme val="minor"/>
    </font>
    <font>
      <sz val="12"/>
      <color theme="4"/>
      <name val="Calibri"/>
      <family val="2"/>
      <scheme val="minor"/>
    </font>
    <font>
      <b/>
      <sz val="12"/>
      <color rgb="FF000000"/>
      <name val="Calibri"/>
      <family val="2"/>
      <scheme val="minor"/>
    </font>
    <font>
      <i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10"/>
      <color rgb="FF000000"/>
      <name val="Calibri"/>
      <family val="2"/>
      <scheme val="minor"/>
    </font>
    <font>
      <sz val="12"/>
      <color rgb="FF212121"/>
      <name val="Arial"/>
      <family val="2"/>
    </font>
    <font>
      <sz val="10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2"/>
      <color rgb="FF00B050"/>
      <name val="ArialNarrow,Bold"/>
    </font>
    <font>
      <b/>
      <sz val="12"/>
      <color rgb="FF00B050"/>
      <name val="Calibri"/>
      <family val="2"/>
      <scheme val="minor"/>
    </font>
    <font>
      <b/>
      <sz val="12"/>
      <color rgb="FF0070C0"/>
      <name val="Calibri"/>
      <family val="2"/>
      <scheme val="minor"/>
    </font>
    <font>
      <sz val="16"/>
      <color rgb="FF0070C0"/>
      <name val="Calibri"/>
      <family val="2"/>
      <scheme val="minor"/>
    </font>
    <font>
      <sz val="16"/>
      <color rgb="FF000000"/>
      <name val="Helvetica"/>
      <family val="2"/>
    </font>
    <font>
      <sz val="10"/>
      <color rgb="FF000000"/>
      <name val="Helvetica Neue"/>
      <family val="2"/>
    </font>
    <font>
      <sz val="11"/>
      <color rgb="FF666666"/>
      <name val="Verdana"/>
      <family val="2"/>
    </font>
    <font>
      <b/>
      <sz val="14"/>
      <color rgb="FF002A56"/>
      <name val="Helvetica"/>
      <family val="2"/>
    </font>
    <font>
      <b/>
      <sz val="11"/>
      <color rgb="FF002060"/>
      <name val="Verdana"/>
      <family val="2"/>
    </font>
    <font>
      <sz val="11"/>
      <color rgb="FFC00000"/>
      <name val="Verdana"/>
      <family val="2"/>
    </font>
    <font>
      <sz val="11"/>
      <color rgb="FF002060"/>
      <name val="Verdana"/>
      <family val="2"/>
    </font>
    <font>
      <sz val="11"/>
      <color theme="1"/>
      <name val="Verdana"/>
      <family val="2"/>
    </font>
    <font>
      <sz val="12"/>
      <color theme="5"/>
      <name val="Calibri"/>
      <family val="2"/>
      <scheme val="minor"/>
    </font>
    <font>
      <sz val="11"/>
      <color rgb="FF0070C0"/>
      <name val="Verdana"/>
      <family val="2"/>
    </font>
    <font>
      <u/>
      <sz val="12"/>
      <color rgb="FF000000"/>
      <name val="Calibri"/>
      <family val="2"/>
      <scheme val="minor"/>
    </font>
    <font>
      <sz val="12"/>
      <color rgb="FF4472C4"/>
      <name val="Calibri"/>
      <family val="2"/>
      <scheme val="minor"/>
    </font>
    <font>
      <sz val="12"/>
      <color rgb="FF00B050"/>
      <name val="Calibri (Body)"/>
    </font>
    <font>
      <sz val="12"/>
      <color rgb="FFC00000"/>
      <name val="Calibri (Body)"/>
    </font>
    <font>
      <sz val="12"/>
      <color theme="5"/>
      <name val="Calibri (Body)"/>
    </font>
    <font>
      <b/>
      <sz val="12"/>
      <color rgb="FF002060"/>
      <name val="Calibri"/>
      <family val="2"/>
      <scheme val="minor"/>
    </font>
    <font>
      <sz val="12"/>
      <color rgb="FF002060"/>
      <name val="Calibri"/>
      <family val="2"/>
      <scheme val="minor"/>
    </font>
    <font>
      <sz val="11"/>
      <color rgb="FFFF0000"/>
      <name val="Verdana"/>
      <family val="2"/>
    </font>
    <font>
      <b/>
      <i/>
      <sz val="12"/>
      <color rgb="FF002060"/>
      <name val="Calibri"/>
      <family val="2"/>
      <scheme val="minor"/>
    </font>
    <font>
      <i/>
      <sz val="11"/>
      <color rgb="FF002060"/>
      <name val="Verdana"/>
      <family val="2"/>
    </font>
  </fonts>
  <fills count="9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FF"/>
      </patternFill>
    </fill>
    <fill>
      <patternFill patternType="solid">
        <fgColor rgb="FF00B0F0"/>
        <bgColor indexed="64"/>
      </patternFill>
    </fill>
    <fill>
      <patternFill patternType="solid">
        <fgColor rgb="FF00B0F0"/>
        <bgColor rgb="FFFFFFFF"/>
      </patternFill>
    </fill>
    <fill>
      <patternFill patternType="solid">
        <fgColor theme="6" tint="0.79998168889431442"/>
        <bgColor indexed="64"/>
      </patternFill>
    </fill>
  </fills>
  <borders count="20">
    <border>
      <start/>
      <end/>
      <top/>
      <bottom/>
      <diagonal/>
    </border>
    <border>
      <start/>
      <end/>
      <top style="thin">
        <color indexed="64"/>
      </top>
      <bottom style="double">
        <color indexed="64"/>
      </bottom>
      <diagonal/>
    </border>
    <border>
      <start/>
      <end/>
      <top/>
      <bottom style="medium">
        <color indexed="64"/>
      </bottom>
      <diagonal/>
    </border>
    <border>
      <start/>
      <end/>
      <top style="medium">
        <color indexed="64"/>
      </top>
      <bottom style="thin">
        <color indexed="64"/>
      </bottom>
      <diagonal/>
    </border>
    <border>
      <start style="thin">
        <color indexed="64"/>
      </start>
      <end style="thin">
        <color indexed="64"/>
      </end>
      <top style="thin">
        <color indexed="64"/>
      </top>
      <bottom style="thin">
        <color indexed="64"/>
      </bottom>
      <diagonal/>
    </border>
    <border>
      <start style="medium">
        <color indexed="64"/>
      </start>
      <end style="medium">
        <color indexed="64"/>
      </end>
      <top style="medium">
        <color indexed="64"/>
      </top>
      <bottom style="medium">
        <color indexed="64"/>
      </bottom>
      <diagonal/>
    </border>
    <border>
      <start style="thin">
        <color indexed="64"/>
      </start>
      <end style="thin">
        <color indexed="64"/>
      </end>
      <top style="thin">
        <color indexed="64"/>
      </top>
      <bottom/>
      <diagonal/>
    </border>
    <border>
      <start style="thin">
        <color indexed="64"/>
      </start>
      <end style="thin">
        <color indexed="64"/>
      </end>
      <top/>
      <bottom/>
      <diagonal/>
    </border>
    <border>
      <start style="thin">
        <color indexed="64"/>
      </start>
      <end style="thin">
        <color indexed="64"/>
      </end>
      <top/>
      <bottom style="thin">
        <color indexed="64"/>
      </bottom>
      <diagonal/>
    </border>
    <border>
      <start/>
      <end/>
      <top style="thin">
        <color indexed="64"/>
      </top>
      <bottom/>
      <diagonal/>
    </border>
    <border>
      <start/>
      <end/>
      <top/>
      <bottom style="thin">
        <color indexed="64"/>
      </bottom>
      <diagonal/>
    </border>
    <border>
      <start style="thin">
        <color indexed="64"/>
      </start>
      <end/>
      <top style="thin">
        <color indexed="64"/>
      </top>
      <bottom style="thin">
        <color indexed="64"/>
      </bottom>
      <diagonal/>
    </border>
    <border>
      <start/>
      <end/>
      <top style="thin">
        <color indexed="64"/>
      </top>
      <bottom style="thin">
        <color indexed="64"/>
      </bottom>
      <diagonal/>
    </border>
    <border>
      <start/>
      <end style="thin">
        <color indexed="64"/>
      </end>
      <top style="thin">
        <color indexed="64"/>
      </top>
      <bottom style="thin">
        <color indexed="64"/>
      </bottom>
      <diagonal/>
    </border>
    <border>
      <start style="thin">
        <color indexed="64"/>
      </start>
      <end/>
      <top style="thin">
        <color indexed="64"/>
      </top>
      <bottom/>
      <diagonal/>
    </border>
    <border>
      <start/>
      <end style="thin">
        <color indexed="64"/>
      </end>
      <top style="thin">
        <color indexed="64"/>
      </top>
      <bottom/>
      <diagonal/>
    </border>
    <border>
      <start style="thin">
        <color indexed="64"/>
      </start>
      <end/>
      <top/>
      <bottom/>
      <diagonal/>
    </border>
    <border>
      <start/>
      <end style="thin">
        <color indexed="64"/>
      </end>
      <top/>
      <bottom/>
      <diagonal/>
    </border>
    <border>
      <start style="thin">
        <color indexed="64"/>
      </start>
      <end/>
      <top/>
      <bottom style="thin">
        <color indexed="64"/>
      </bottom>
      <diagonal/>
    </border>
    <border>
      <start/>
      <end style="thin">
        <color indexed="64"/>
      </end>
      <top/>
      <bottom style="thin">
        <color indexed="64"/>
      </bottom>
      <diagonal/>
    </border>
  </borders>
  <cellStyleXfs count="6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31" fillId="0" borderId="0"/>
    <xf numFmtId="44" fontId="1" fillId="0" borderId="0" applyFont="0" applyFill="0" applyBorder="0" applyAlignment="0" applyProtection="0"/>
  </cellStyleXfs>
  <cellXfs count="345">
    <xf numFmtId="0" fontId="0" fillId="0" borderId="0" xfId="0"/>
    <xf numFmtId="0" fontId="0" fillId="0" borderId="0" xfId="0" applyAlignment="1">
      <alignment horizontal="center" vertical="center"/>
    </xf>
    <xf numFmtId="165" fontId="0" fillId="0" borderId="0" xfId="1" applyFont="1"/>
    <xf numFmtId="166" fontId="0" fillId="0" borderId="0" xfId="1" applyNumberFormat="1" applyFont="1"/>
    <xf numFmtId="167" fontId="0" fillId="0" borderId="0" xfId="1" applyNumberFormat="1" applyFont="1"/>
    <xf numFmtId="167" fontId="0" fillId="0" borderId="0" xfId="0" applyNumberFormat="1"/>
    <xf numFmtId="165" fontId="0" fillId="0" borderId="0" xfId="0" applyNumberFormat="1"/>
    <xf numFmtId="0" fontId="6" fillId="0" borderId="0" xfId="0" applyFont="1"/>
    <xf numFmtId="0" fontId="0" fillId="0" borderId="0" xfId="0" quotePrefix="1"/>
    <xf numFmtId="168" fontId="0" fillId="0" borderId="0" xfId="2" applyNumberFormat="1" applyFont="1"/>
    <xf numFmtId="1" fontId="0" fillId="0" borderId="0" xfId="0" applyNumberFormat="1"/>
    <xf numFmtId="0" fontId="3" fillId="0" borderId="1" xfId="0" applyFont="1" applyBorder="1"/>
    <xf numFmtId="0" fontId="0" fillId="0" borderId="1" xfId="0" applyBorder="1"/>
    <xf numFmtId="0" fontId="3" fillId="0" borderId="0" xfId="0" applyFont="1"/>
    <xf numFmtId="169" fontId="3" fillId="0" borderId="0" xfId="0" applyNumberFormat="1" applyFont="1"/>
    <xf numFmtId="0" fontId="7" fillId="0" borderId="0" xfId="0" applyFont="1"/>
    <xf numFmtId="9" fontId="3" fillId="0" borderId="0" xfId="2" applyFont="1" applyBorder="1"/>
    <xf numFmtId="168" fontId="3" fillId="0" borderId="0" xfId="2" applyNumberFormat="1" applyFont="1" applyBorder="1"/>
    <xf numFmtId="167" fontId="3" fillId="0" borderId="1" xfId="0" applyNumberFormat="1" applyFont="1" applyBorder="1"/>
    <xf numFmtId="0" fontId="8" fillId="0" borderId="0" xfId="0" applyFont="1"/>
    <xf numFmtId="9" fontId="0" fillId="0" borderId="0" xfId="0" applyNumberFormat="1"/>
    <xf numFmtId="0" fontId="0" fillId="2" borderId="0" xfId="0" applyFill="1"/>
    <xf numFmtId="0" fontId="7" fillId="2" borderId="0" xfId="0" applyFont="1" applyFill="1"/>
    <xf numFmtId="167" fontId="3" fillId="0" borderId="0" xfId="0" applyNumberFormat="1" applyFont="1"/>
    <xf numFmtId="9" fontId="0" fillId="0" borderId="0" xfId="2" applyFont="1"/>
    <xf numFmtId="165" fontId="3" fillId="0" borderId="0" xfId="1" applyFont="1" applyBorder="1"/>
    <xf numFmtId="0" fontId="10" fillId="0" borderId="0" xfId="0" applyFont="1"/>
    <xf numFmtId="9" fontId="10" fillId="0" borderId="0" xfId="0" applyNumberFormat="1" applyFont="1"/>
    <xf numFmtId="0" fontId="11" fillId="0" borderId="0" xfId="0" applyFont="1"/>
    <xf numFmtId="10" fontId="10" fillId="0" borderId="0" xfId="0" applyNumberFormat="1" applyFont="1"/>
    <xf numFmtId="165" fontId="10" fillId="0" borderId="0" xfId="1" applyFont="1"/>
    <xf numFmtId="167" fontId="10" fillId="0" borderId="0" xfId="1" applyNumberFormat="1" applyFont="1"/>
    <xf numFmtId="0" fontId="12" fillId="0" borderId="0" xfId="0" applyFont="1"/>
    <xf numFmtId="0" fontId="0" fillId="0" borderId="2" xfId="0" applyBorder="1"/>
    <xf numFmtId="0" fontId="7" fillId="0" borderId="3" xfId="0" applyFont="1" applyBorder="1" applyAlignment="1">
      <alignment horizontal="center"/>
    </xf>
    <xf numFmtId="0" fontId="7" fillId="0" borderId="3" xfId="0" applyFont="1" applyBorder="1" applyAlignment="1">
      <alignment horizontal="centerContinuous"/>
    </xf>
    <xf numFmtId="0" fontId="3" fillId="0" borderId="2" xfId="0" applyFont="1" applyBorder="1"/>
    <xf numFmtId="0" fontId="13" fillId="0" borderId="0" xfId="3"/>
    <xf numFmtId="0" fontId="0" fillId="0" borderId="4" xfId="0" applyBorder="1"/>
    <xf numFmtId="0" fontId="0" fillId="0" borderId="4" xfId="0" applyBorder="1" applyAlignment="1">
      <alignment horizontal="center"/>
    </xf>
    <xf numFmtId="0" fontId="15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14" fillId="0" borderId="0" xfId="0" applyFont="1" applyAlignment="1">
      <alignment horizontal="left"/>
    </xf>
    <xf numFmtId="0" fontId="16" fillId="0" borderId="0" xfId="0" applyFont="1" applyAlignment="1">
      <alignment horizontal="left"/>
    </xf>
    <xf numFmtId="171" fontId="0" fillId="0" borderId="0" xfId="0" applyNumberFormat="1" applyAlignment="1">
      <alignment horizontal="left"/>
    </xf>
    <xf numFmtId="10" fontId="0" fillId="0" borderId="0" xfId="0" applyNumberFormat="1" applyAlignment="1">
      <alignment horizontal="left"/>
    </xf>
    <xf numFmtId="10" fontId="17" fillId="0" borderId="0" xfId="0" applyNumberFormat="1" applyFont="1" applyAlignment="1">
      <alignment horizontal="left"/>
    </xf>
    <xf numFmtId="171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166" fontId="3" fillId="0" borderId="1" xfId="0" applyNumberFormat="1" applyFont="1" applyBorder="1"/>
    <xf numFmtId="0" fontId="0" fillId="0" borderId="7" xfId="0" applyBorder="1"/>
    <xf numFmtId="0" fontId="0" fillId="0" borderId="0" xfId="0" applyAlignment="1">
      <alignment horizontal="left" indent="1"/>
    </xf>
    <xf numFmtId="172" fontId="0" fillId="0" borderId="0" xfId="0" applyNumberFormat="1"/>
    <xf numFmtId="173" fontId="0" fillId="0" borderId="0" xfId="0" applyNumberFormat="1"/>
    <xf numFmtId="0" fontId="7" fillId="0" borderId="0" xfId="0" applyFont="1" applyAlignment="1">
      <alignment horizontal="left" indent="1"/>
    </xf>
    <xf numFmtId="9" fontId="7" fillId="0" borderId="7" xfId="0" applyNumberFormat="1" applyFont="1" applyBorder="1"/>
    <xf numFmtId="165" fontId="0" fillId="0" borderId="7" xfId="1" applyFont="1" applyBorder="1"/>
    <xf numFmtId="167" fontId="0" fillId="0" borderId="7" xfId="1" applyNumberFormat="1" applyFont="1" applyBorder="1"/>
    <xf numFmtId="9" fontId="0" fillId="0" borderId="7" xfId="0" applyNumberFormat="1" applyBorder="1"/>
    <xf numFmtId="167" fontId="0" fillId="0" borderId="7" xfId="0" applyNumberFormat="1" applyBorder="1"/>
    <xf numFmtId="167" fontId="7" fillId="0" borderId="8" xfId="1" applyNumberFormat="1" applyFont="1" applyBorder="1"/>
    <xf numFmtId="167" fontId="0" fillId="0" borderId="0" xfId="1" applyNumberFormat="1" applyFont="1" applyFill="1"/>
    <xf numFmtId="9" fontId="0" fillId="0" borderId="7" xfId="2" applyFont="1" applyFill="1" applyBorder="1"/>
    <xf numFmtId="167" fontId="18" fillId="0" borderId="7" xfId="1" applyNumberFormat="1" applyFont="1" applyBorder="1"/>
    <xf numFmtId="174" fontId="0" fillId="0" borderId="0" xfId="1" applyNumberFormat="1" applyFont="1"/>
    <xf numFmtId="174" fontId="3" fillId="0" borderId="0" xfId="1" applyNumberFormat="1" applyFont="1"/>
    <xf numFmtId="167" fontId="18" fillId="0" borderId="0" xfId="1" applyNumberFormat="1" applyFont="1"/>
    <xf numFmtId="0" fontId="2" fillId="0" borderId="0" xfId="0" applyFont="1"/>
    <xf numFmtId="167" fontId="3" fillId="0" borderId="1" xfId="1" applyNumberFormat="1" applyFont="1" applyBorder="1"/>
    <xf numFmtId="168" fontId="7" fillId="0" borderId="0" xfId="2" applyNumberFormat="1" applyFont="1" applyBorder="1"/>
    <xf numFmtId="167" fontId="1" fillId="0" borderId="0" xfId="1" applyNumberFormat="1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0" fillId="0" borderId="9" xfId="0" applyBorder="1"/>
    <xf numFmtId="0" fontId="22" fillId="0" borderId="9" xfId="0" applyFont="1" applyBorder="1"/>
    <xf numFmtId="0" fontId="22" fillId="0" borderId="0" xfId="0" applyFont="1"/>
    <xf numFmtId="10" fontId="0" fillId="0" borderId="0" xfId="0" applyNumberFormat="1"/>
    <xf numFmtId="168" fontId="0" fillId="0" borderId="0" xfId="0" applyNumberFormat="1"/>
    <xf numFmtId="0" fontId="23" fillId="0" borderId="0" xfId="0" applyFont="1"/>
    <xf numFmtId="167" fontId="3" fillId="0" borderId="0" xfId="1" applyNumberFormat="1" applyFont="1"/>
    <xf numFmtId="175" fontId="0" fillId="0" borderId="0" xfId="0" applyNumberFormat="1"/>
    <xf numFmtId="169" fontId="0" fillId="0" borderId="0" xfId="0" applyNumberFormat="1"/>
    <xf numFmtId="10" fontId="3" fillId="0" borderId="0" xfId="0" applyNumberFormat="1" applyFont="1"/>
    <xf numFmtId="167" fontId="3" fillId="0" borderId="0" xfId="1" applyNumberFormat="1" applyFont="1" applyAlignment="1">
      <alignment horizontal="right"/>
    </xf>
    <xf numFmtId="168" fontId="10" fillId="0" borderId="0" xfId="2" applyNumberFormat="1" applyFont="1"/>
    <xf numFmtId="167" fontId="0" fillId="0" borderId="0" xfId="1" applyNumberFormat="1" applyFont="1" applyAlignment="1">
      <alignment horizontal="right"/>
    </xf>
    <xf numFmtId="0" fontId="0" fillId="0" borderId="10" xfId="0" applyBorder="1"/>
    <xf numFmtId="0" fontId="22" fillId="0" borderId="9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7" fillId="0" borderId="0" xfId="0" applyFont="1" applyAlignment="1">
      <alignment horizontal="left"/>
    </xf>
    <xf numFmtId="0" fontId="22" fillId="0" borderId="9" xfId="0" applyFont="1" applyBorder="1" applyAlignment="1">
      <alignment horizontal="left"/>
    </xf>
    <xf numFmtId="0" fontId="22" fillId="0" borderId="0" xfId="0" applyFont="1" applyAlignment="1">
      <alignment horizontal="left"/>
    </xf>
    <xf numFmtId="167" fontId="0" fillId="0" borderId="0" xfId="0" applyNumberFormat="1" applyAlignment="1">
      <alignment horizontal="center" vertical="center"/>
    </xf>
    <xf numFmtId="0" fontId="0" fillId="2" borderId="0" xfId="0" applyFill="1" applyAlignment="1">
      <alignment horizontal="left"/>
    </xf>
    <xf numFmtId="166" fontId="10" fillId="0" borderId="0" xfId="1" applyNumberFormat="1" applyFont="1"/>
    <xf numFmtId="167" fontId="24" fillId="0" borderId="0" xfId="1" applyNumberFormat="1" applyFont="1"/>
    <xf numFmtId="168" fontId="10" fillId="0" borderId="0" xfId="0" applyNumberFormat="1" applyFont="1"/>
    <xf numFmtId="41" fontId="3" fillId="0" borderId="0" xfId="0" applyNumberFormat="1" applyFont="1"/>
    <xf numFmtId="41" fontId="0" fillId="0" borderId="0" xfId="0" applyNumberFormat="1"/>
    <xf numFmtId="0" fontId="0" fillId="0" borderId="11" xfId="0" applyBorder="1" applyAlignment="1">
      <alignment horizontal="left"/>
    </xf>
    <xf numFmtId="0" fontId="0" fillId="0" borderId="12" xfId="0" applyBorder="1"/>
    <xf numFmtId="169" fontId="0" fillId="0" borderId="13" xfId="0" applyNumberFormat="1" applyBorder="1"/>
    <xf numFmtId="0" fontId="25" fillId="0" borderId="0" xfId="0" applyFont="1" applyAlignment="1">
      <alignment horizontal="left"/>
    </xf>
    <xf numFmtId="167" fontId="27" fillId="0" borderId="0" xfId="1" applyNumberFormat="1" applyFont="1"/>
    <xf numFmtId="9" fontId="27" fillId="0" borderId="0" xfId="0" applyNumberFormat="1" applyFont="1"/>
    <xf numFmtId="0" fontId="27" fillId="0" borderId="0" xfId="0" applyFont="1"/>
    <xf numFmtId="10" fontId="27" fillId="0" borderId="0" xfId="0" applyNumberFormat="1" applyFont="1"/>
    <xf numFmtId="165" fontId="27" fillId="0" borderId="0" xfId="1" applyFont="1"/>
    <xf numFmtId="0" fontId="17" fillId="0" borderId="0" xfId="0" applyFont="1"/>
    <xf numFmtId="0" fontId="28" fillId="0" borderId="0" xfId="0" applyFont="1"/>
    <xf numFmtId="0" fontId="17" fillId="0" borderId="0" xfId="0" applyFont="1" applyAlignment="1">
      <alignment horizontal="left" indent="1"/>
    </xf>
    <xf numFmtId="9" fontId="3" fillId="0" borderId="0" xfId="2" applyFont="1"/>
    <xf numFmtId="164" fontId="3" fillId="0" borderId="0" xfId="2" applyNumberFormat="1" applyFont="1"/>
    <xf numFmtId="0" fontId="29" fillId="0" borderId="0" xfId="0" applyFont="1"/>
    <xf numFmtId="3" fontId="10" fillId="0" borderId="0" xfId="1" applyNumberFormat="1" applyFont="1"/>
    <xf numFmtId="3" fontId="1" fillId="0" borderId="0" xfId="1" applyNumberFormat="1" applyFont="1"/>
    <xf numFmtId="3" fontId="3" fillId="0" borderId="0" xfId="0" applyNumberFormat="1" applyFont="1"/>
    <xf numFmtId="3" fontId="10" fillId="0" borderId="0" xfId="0" applyNumberFormat="1" applyFont="1"/>
    <xf numFmtId="3" fontId="0" fillId="0" borderId="0" xfId="0" applyNumberFormat="1"/>
    <xf numFmtId="3" fontId="0" fillId="0" borderId="0" xfId="1" applyNumberFormat="1" applyFont="1"/>
    <xf numFmtId="3" fontId="3" fillId="0" borderId="0" xfId="1" applyNumberFormat="1" applyFont="1"/>
    <xf numFmtId="0" fontId="7" fillId="0" borderId="14" xfId="0" applyFont="1" applyBorder="1"/>
    <xf numFmtId="0" fontId="0" fillId="0" borderId="15" xfId="0" applyBorder="1"/>
    <xf numFmtId="0" fontId="7" fillId="0" borderId="16" xfId="0" applyFont="1" applyBorder="1"/>
    <xf numFmtId="0" fontId="0" fillId="0" borderId="17" xfId="0" applyBorder="1"/>
    <xf numFmtId="0" fontId="0" fillId="0" borderId="16" xfId="0" applyBorder="1"/>
    <xf numFmtId="0" fontId="3" fillId="0" borderId="16" xfId="0" applyFont="1" applyBorder="1"/>
    <xf numFmtId="167" fontId="1" fillId="0" borderId="0" xfId="1" applyNumberFormat="1" applyFont="1" applyBorder="1"/>
    <xf numFmtId="3" fontId="1" fillId="0" borderId="0" xfId="1" applyNumberFormat="1" applyFont="1" applyBorder="1"/>
    <xf numFmtId="3" fontId="1" fillId="0" borderId="17" xfId="1" applyNumberFormat="1" applyFont="1" applyBorder="1"/>
    <xf numFmtId="0" fontId="0" fillId="0" borderId="16" xfId="0" applyBorder="1" applyAlignment="1">
      <alignment horizontal="left" indent="1"/>
    </xf>
    <xf numFmtId="3" fontId="3" fillId="0" borderId="0" xfId="1" applyNumberFormat="1" applyFont="1" applyBorder="1"/>
    <xf numFmtId="3" fontId="3" fillId="0" borderId="17" xfId="1" applyNumberFormat="1" applyFont="1" applyBorder="1"/>
    <xf numFmtId="164" fontId="3" fillId="0" borderId="0" xfId="2" applyNumberFormat="1" applyFont="1" applyBorder="1"/>
    <xf numFmtId="0" fontId="3" fillId="0" borderId="18" xfId="0" applyFont="1" applyBorder="1"/>
    <xf numFmtId="0" fontId="3" fillId="0" borderId="10" xfId="0" applyFont="1" applyBorder="1"/>
    <xf numFmtId="164" fontId="3" fillId="0" borderId="10" xfId="2" applyNumberFormat="1" applyFont="1" applyBorder="1"/>
    <xf numFmtId="167" fontId="3" fillId="0" borderId="10" xfId="0" applyNumberFormat="1" applyFont="1" applyBorder="1"/>
    <xf numFmtId="167" fontId="3" fillId="0" borderId="19" xfId="0" applyNumberFormat="1" applyFont="1" applyBorder="1"/>
    <xf numFmtId="10" fontId="3" fillId="0" borderId="1" xfId="0" applyNumberFormat="1" applyFont="1" applyBorder="1"/>
    <xf numFmtId="0" fontId="23" fillId="0" borderId="1" xfId="0" applyFont="1" applyBorder="1"/>
    <xf numFmtId="9" fontId="30" fillId="0" borderId="0" xfId="2" applyFont="1"/>
    <xf numFmtId="3" fontId="3" fillId="0" borderId="1" xfId="0" applyNumberFormat="1" applyFont="1" applyBorder="1"/>
    <xf numFmtId="3" fontId="3" fillId="0" borderId="1" xfId="1" applyNumberFormat="1" applyFont="1" applyBorder="1"/>
    <xf numFmtId="3" fontId="7" fillId="0" borderId="0" xfId="1" applyNumberFormat="1" applyFont="1" applyBorder="1"/>
    <xf numFmtId="167" fontId="7" fillId="0" borderId="0" xfId="1" applyNumberFormat="1" applyFont="1" applyBorder="1"/>
    <xf numFmtId="165" fontId="1" fillId="0" borderId="0" xfId="1" applyFont="1"/>
    <xf numFmtId="167" fontId="7" fillId="0" borderId="0" xfId="0" applyNumberFormat="1" applyFont="1"/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center"/>
    </xf>
    <xf numFmtId="0" fontId="7" fillId="0" borderId="0" xfId="0" applyFont="1" applyAlignment="1">
      <alignment horizontal="left" vertical="center" indent="1"/>
    </xf>
    <xf numFmtId="167" fontId="7" fillId="0" borderId="0" xfId="0" applyNumberFormat="1" applyFont="1" applyAlignment="1">
      <alignment horizontal="left" indent="1"/>
    </xf>
    <xf numFmtId="0" fontId="3" fillId="0" borderId="1" xfId="0" applyFont="1" applyBorder="1" applyAlignment="1">
      <alignment horizontal="center" vertical="center"/>
    </xf>
    <xf numFmtId="165" fontId="0" fillId="0" borderId="0" xfId="1" applyFont="1" applyAlignment="1"/>
    <xf numFmtId="3" fontId="7" fillId="0" borderId="0" xfId="1" applyNumberFormat="1" applyFont="1" applyAlignment="1"/>
    <xf numFmtId="0" fontId="3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2" fontId="7" fillId="0" borderId="0" xfId="0" applyNumberFormat="1" applyFont="1"/>
    <xf numFmtId="166" fontId="0" fillId="0" borderId="0" xfId="1" applyNumberFormat="1" applyFont="1" applyAlignment="1">
      <alignment horizontal="right"/>
    </xf>
    <xf numFmtId="2" fontId="0" fillId="0" borderId="0" xfId="0" applyNumberFormat="1"/>
    <xf numFmtId="165" fontId="3" fillId="0" borderId="0" xfId="1" applyFont="1"/>
    <xf numFmtId="167" fontId="27" fillId="0" borderId="0" xfId="1" applyNumberFormat="1" applyFont="1" applyBorder="1"/>
    <xf numFmtId="172" fontId="0" fillId="0" borderId="0" xfId="0" applyNumberFormat="1" applyAlignment="1">
      <alignment horizontal="right"/>
    </xf>
    <xf numFmtId="165" fontId="0" fillId="0" borderId="0" xfId="1" applyFont="1" applyAlignment="1">
      <alignment horizontal="right" indent="3"/>
    </xf>
    <xf numFmtId="170" fontId="0" fillId="0" borderId="0" xfId="0" applyNumberFormat="1"/>
    <xf numFmtId="0" fontId="10" fillId="0" borderId="5" xfId="0" applyFont="1" applyBorder="1"/>
    <xf numFmtId="167" fontId="3" fillId="0" borderId="0" xfId="1" applyNumberFormat="1" applyFont="1" applyFill="1"/>
    <xf numFmtId="167" fontId="2" fillId="0" borderId="0" xfId="1" applyNumberFormat="1" applyFont="1" applyBorder="1"/>
    <xf numFmtId="168" fontId="3" fillId="0" borderId="0" xfId="2" applyNumberFormat="1" applyFont="1" applyFill="1"/>
    <xf numFmtId="168" fontId="0" fillId="0" borderId="0" xfId="0" applyNumberFormat="1" applyAlignment="1">
      <alignment horizontal="right"/>
    </xf>
    <xf numFmtId="167" fontId="0" fillId="0" borderId="0" xfId="1" applyNumberFormat="1" applyFont="1" applyBorder="1"/>
    <xf numFmtId="167" fontId="3" fillId="0" borderId="0" xfId="1" applyNumberFormat="1" applyFont="1" applyBorder="1"/>
    <xf numFmtId="3" fontId="0" fillId="0" borderId="0" xfId="1" applyNumberFormat="1" applyFont="1" applyBorder="1"/>
    <xf numFmtId="165" fontId="0" fillId="0" borderId="0" xfId="1" applyFont="1" applyBorder="1"/>
    <xf numFmtId="165" fontId="0" fillId="0" borderId="0" xfId="1" applyFont="1" applyBorder="1" applyAlignment="1">
      <alignment horizontal="right" indent="3"/>
    </xf>
    <xf numFmtId="167" fontId="3" fillId="0" borderId="0" xfId="1" applyNumberFormat="1" applyFont="1" applyBorder="1" applyAlignment="1">
      <alignment horizontal="right"/>
    </xf>
    <xf numFmtId="9" fontId="30" fillId="0" borderId="0" xfId="2" applyFont="1" applyBorder="1"/>
    <xf numFmtId="176" fontId="3" fillId="0" borderId="0" xfId="1" applyNumberFormat="1" applyFont="1"/>
    <xf numFmtId="0" fontId="0" fillId="3" borderId="0" xfId="0" applyFill="1"/>
    <xf numFmtId="0" fontId="20" fillId="3" borderId="0" xfId="0" applyFont="1" applyFill="1"/>
    <xf numFmtId="167" fontId="1" fillId="3" borderId="0" xfId="1" applyNumberFormat="1" applyFont="1" applyFill="1"/>
    <xf numFmtId="167" fontId="0" fillId="3" borderId="0" xfId="1" applyNumberFormat="1" applyFont="1" applyFill="1"/>
    <xf numFmtId="167" fontId="27" fillId="3" borderId="0" xfId="1" applyNumberFormat="1" applyFont="1" applyFill="1"/>
    <xf numFmtId="167" fontId="0" fillId="3" borderId="0" xfId="1" applyNumberFormat="1" applyFont="1" applyFill="1" applyBorder="1"/>
    <xf numFmtId="168" fontId="0" fillId="3" borderId="0" xfId="2" applyNumberFormat="1" applyFont="1" applyFill="1" applyBorder="1"/>
    <xf numFmtId="169" fontId="10" fillId="0" borderId="0" xfId="0" applyNumberFormat="1" applyFont="1"/>
    <xf numFmtId="0" fontId="32" fillId="4" borderId="0" xfId="4" applyFont="1" applyFill="1"/>
    <xf numFmtId="0" fontId="1" fillId="0" borderId="0" xfId="4" applyFont="1"/>
    <xf numFmtId="0" fontId="12" fillId="0" borderId="0" xfId="4" applyFont="1"/>
    <xf numFmtId="0" fontId="31" fillId="0" borderId="0" xfId="4"/>
    <xf numFmtId="0" fontId="32" fillId="5" borderId="0" xfId="4" applyFont="1" applyFill="1"/>
    <xf numFmtId="0" fontId="1" fillId="3" borderId="0" xfId="4" applyFont="1" applyFill="1"/>
    <xf numFmtId="0" fontId="12" fillId="3" borderId="0" xfId="4" applyFont="1" applyFill="1"/>
    <xf numFmtId="0" fontId="31" fillId="3" borderId="0" xfId="4" applyFill="1"/>
    <xf numFmtId="0" fontId="2" fillId="0" borderId="0" xfId="0" quotePrefix="1" applyFont="1"/>
    <xf numFmtId="0" fontId="1" fillId="6" borderId="0" xfId="4" applyFont="1" applyFill="1"/>
    <xf numFmtId="0" fontId="12" fillId="6" borderId="0" xfId="4" applyFont="1" applyFill="1"/>
    <xf numFmtId="0" fontId="31" fillId="6" borderId="0" xfId="4" applyFill="1"/>
    <xf numFmtId="0" fontId="33" fillId="6" borderId="0" xfId="4" quotePrefix="1" applyFont="1" applyFill="1"/>
    <xf numFmtId="168" fontId="27" fillId="0" borderId="0" xfId="2" applyNumberFormat="1" applyFont="1"/>
    <xf numFmtId="9" fontId="27" fillId="0" borderId="6" xfId="0" applyNumberFormat="1" applyFont="1" applyBorder="1"/>
    <xf numFmtId="167" fontId="1" fillId="6" borderId="0" xfId="1" applyNumberFormat="1" applyFont="1" applyFill="1"/>
    <xf numFmtId="9" fontId="26" fillId="0" borderId="0" xfId="2" applyFont="1"/>
    <xf numFmtId="9" fontId="27" fillId="0" borderId="0" xfId="2" applyFont="1"/>
    <xf numFmtId="3" fontId="7" fillId="0" borderId="0" xfId="0" applyNumberFormat="1" applyFont="1"/>
    <xf numFmtId="167" fontId="0" fillId="0" borderId="17" xfId="1" applyNumberFormat="1" applyFont="1" applyBorder="1"/>
    <xf numFmtId="0" fontId="0" fillId="0" borderId="16" xfId="0" applyBorder="1" applyAlignment="1">
      <alignment horizontal="left"/>
    </xf>
    <xf numFmtId="167" fontId="0" fillId="0" borderId="17" xfId="0" applyNumberFormat="1" applyBorder="1"/>
    <xf numFmtId="167" fontId="27" fillId="0" borderId="17" xfId="1" applyNumberFormat="1" applyFont="1" applyBorder="1"/>
    <xf numFmtId="0" fontId="0" fillId="0" borderId="18" xfId="0" applyBorder="1" applyAlignment="1">
      <alignment horizontal="left"/>
    </xf>
    <xf numFmtId="0" fontId="0" fillId="0" borderId="10" xfId="0" applyBorder="1" applyAlignment="1">
      <alignment horizontal="center" vertical="center"/>
    </xf>
    <xf numFmtId="9" fontId="27" fillId="0" borderId="19" xfId="0" applyNumberFormat="1" applyFont="1" applyBorder="1"/>
    <xf numFmtId="0" fontId="8" fillId="0" borderId="16" xfId="0" applyFont="1" applyBorder="1"/>
    <xf numFmtId="0" fontId="8" fillId="0" borderId="16" xfId="0" applyFont="1" applyBorder="1" applyAlignment="1">
      <alignment horizontal="left"/>
    </xf>
    <xf numFmtId="0" fontId="34" fillId="0" borderId="0" xfId="0" applyFont="1"/>
    <xf numFmtId="0" fontId="36" fillId="0" borderId="4" xfId="0" applyFont="1" applyBorder="1"/>
    <xf numFmtId="0" fontId="0" fillId="0" borderId="10" xfId="0" applyBorder="1" applyAlignment="1">
      <alignment horizontal="center"/>
    </xf>
    <xf numFmtId="167" fontId="27" fillId="0" borderId="19" xfId="1" applyNumberFormat="1" applyFont="1" applyBorder="1"/>
    <xf numFmtId="167" fontId="0" fillId="0" borderId="7" xfId="1" applyNumberFormat="1" applyFont="1" applyFill="1" applyBorder="1"/>
    <xf numFmtId="0" fontId="37" fillId="0" borderId="0" xfId="0" applyFont="1"/>
    <xf numFmtId="0" fontId="37" fillId="0" borderId="4" xfId="0" applyFont="1" applyBorder="1"/>
    <xf numFmtId="167" fontId="37" fillId="0" borderId="0" xfId="1" applyNumberFormat="1" applyFont="1"/>
    <xf numFmtId="0" fontId="0" fillId="0" borderId="18" xfId="0" applyBorder="1"/>
    <xf numFmtId="3" fontId="0" fillId="0" borderId="10" xfId="1" applyNumberFormat="1" applyFont="1" applyBorder="1"/>
    <xf numFmtId="3" fontId="0" fillId="0" borderId="19" xfId="1" applyNumberFormat="1" applyFont="1" applyBorder="1"/>
    <xf numFmtId="0" fontId="26" fillId="0" borderId="16" xfId="0" applyFont="1" applyBorder="1"/>
    <xf numFmtId="0" fontId="36" fillId="0" borderId="0" xfId="0" applyFont="1"/>
    <xf numFmtId="3" fontId="0" fillId="0" borderId="17" xfId="1" applyNumberFormat="1" applyFont="1" applyFill="1" applyBorder="1" applyAlignment="1">
      <alignment horizontal="right"/>
    </xf>
    <xf numFmtId="1" fontId="0" fillId="0" borderId="17" xfId="0" applyNumberFormat="1" applyBorder="1"/>
    <xf numFmtId="0" fontId="27" fillId="0" borderId="16" xfId="0" applyFont="1" applyBorder="1"/>
    <xf numFmtId="0" fontId="27" fillId="0" borderId="0" xfId="0" applyFont="1" applyAlignment="1">
      <alignment horizontal="center" vertical="center"/>
    </xf>
    <xf numFmtId="3" fontId="27" fillId="0" borderId="17" xfId="1" applyNumberFormat="1" applyFont="1" applyFill="1" applyBorder="1" applyAlignment="1">
      <alignment horizontal="right"/>
    </xf>
    <xf numFmtId="0" fontId="27" fillId="0" borderId="17" xfId="0" applyFont="1" applyBorder="1"/>
    <xf numFmtId="0" fontId="18" fillId="0" borderId="5" xfId="0" applyFont="1" applyBorder="1" applyAlignment="1">
      <alignment horizontal="left"/>
    </xf>
    <xf numFmtId="0" fontId="18" fillId="0" borderId="0" xfId="0" applyFont="1" applyAlignment="1">
      <alignment horizontal="center"/>
    </xf>
    <xf numFmtId="167" fontId="18" fillId="0" borderId="0" xfId="1" applyNumberFormat="1" applyFont="1" applyBorder="1"/>
    <xf numFmtId="0" fontId="39" fillId="0" borderId="0" xfId="0" applyFont="1" applyAlignment="1">
      <alignment horizontal="center"/>
    </xf>
    <xf numFmtId="171" fontId="0" fillId="0" borderId="0" xfId="0" applyNumberFormat="1"/>
    <xf numFmtId="171" fontId="13" fillId="0" borderId="0" xfId="3" applyNumberFormat="1"/>
    <xf numFmtId="0" fontId="8" fillId="0" borderId="0" xfId="3" applyFont="1"/>
    <xf numFmtId="171" fontId="17" fillId="0" borderId="0" xfId="0" applyNumberFormat="1" applyFont="1"/>
    <xf numFmtId="0" fontId="40" fillId="0" borderId="0" xfId="0" applyFont="1"/>
    <xf numFmtId="3" fontId="40" fillId="0" borderId="0" xfId="0" applyNumberFormat="1" applyFont="1"/>
    <xf numFmtId="0" fontId="41" fillId="0" borderId="0" xfId="0" applyFont="1"/>
    <xf numFmtId="0" fontId="7" fillId="0" borderId="0" xfId="0" applyFont="1" applyAlignment="1">
      <alignment horizontal="center"/>
    </xf>
    <xf numFmtId="0" fontId="42" fillId="0" borderId="0" xfId="0" applyFont="1"/>
    <xf numFmtId="0" fontId="38" fillId="0" borderId="0" xfId="0" applyFont="1"/>
    <xf numFmtId="171" fontId="38" fillId="0" borderId="0" xfId="0" applyNumberFormat="1" applyFont="1"/>
    <xf numFmtId="177" fontId="42" fillId="0" borderId="0" xfId="0" applyNumberFormat="1" applyFont="1"/>
    <xf numFmtId="0" fontId="43" fillId="0" borderId="0" xfId="0" applyFont="1" applyAlignment="1">
      <alignment horizontal="left"/>
    </xf>
    <xf numFmtId="0" fontId="44" fillId="0" borderId="0" xfId="0" applyFont="1"/>
    <xf numFmtId="49" fontId="44" fillId="0" borderId="0" xfId="0" applyNumberFormat="1" applyFont="1" applyAlignment="1">
      <alignment wrapText="1"/>
    </xf>
    <xf numFmtId="0" fontId="42" fillId="0" borderId="5" xfId="0" applyFont="1" applyBorder="1"/>
    <xf numFmtId="0" fontId="45" fillId="0" borderId="0" xfId="0" applyFont="1"/>
    <xf numFmtId="177" fontId="45" fillId="0" borderId="0" xfId="0" applyNumberFormat="1" applyFont="1"/>
    <xf numFmtId="0" fontId="24" fillId="0" borderId="0" xfId="0" applyFont="1"/>
    <xf numFmtId="0" fontId="10" fillId="0" borderId="0" xfId="0" applyFont="1" applyAlignment="1">
      <alignment horizontal="center"/>
    </xf>
    <xf numFmtId="0" fontId="46" fillId="0" borderId="0" xfId="0" applyFont="1"/>
    <xf numFmtId="0" fontId="10" fillId="0" borderId="0" xfId="0" applyFont="1" applyAlignment="1">
      <alignment horizontal="right"/>
    </xf>
    <xf numFmtId="0" fontId="13" fillId="0" borderId="0" xfId="3" applyAlignment="1">
      <alignment horizontal="left"/>
    </xf>
    <xf numFmtId="0" fontId="47" fillId="0" borderId="0" xfId="0" applyFont="1"/>
    <xf numFmtId="171" fontId="0" fillId="0" borderId="0" xfId="0" applyNumberFormat="1" applyAlignment="1">
      <alignment horizontal="right"/>
    </xf>
    <xf numFmtId="171" fontId="13" fillId="0" borderId="0" xfId="3" applyNumberFormat="1" applyAlignment="1">
      <alignment horizontal="left"/>
    </xf>
    <xf numFmtId="0" fontId="48" fillId="0" borderId="0" xfId="0" applyFont="1"/>
    <xf numFmtId="0" fontId="48" fillId="0" borderId="0" xfId="0" applyFont="1" applyAlignment="1">
      <alignment horizontal="right"/>
    </xf>
    <xf numFmtId="170" fontId="17" fillId="0" borderId="0" xfId="0" applyNumberFormat="1" applyFont="1"/>
    <xf numFmtId="165" fontId="10" fillId="0" borderId="0" xfId="0" applyNumberFormat="1" applyFont="1"/>
    <xf numFmtId="167" fontId="10" fillId="0" borderId="0" xfId="0" applyNumberFormat="1" applyFont="1"/>
    <xf numFmtId="166" fontId="10" fillId="0" borderId="0" xfId="0" applyNumberFormat="1" applyFont="1"/>
    <xf numFmtId="0" fontId="50" fillId="0" borderId="0" xfId="0" applyFont="1"/>
    <xf numFmtId="9" fontId="51" fillId="0" borderId="0" xfId="0" applyNumberFormat="1" applyFont="1"/>
    <xf numFmtId="9" fontId="17" fillId="0" borderId="0" xfId="0" applyNumberFormat="1" applyFont="1"/>
    <xf numFmtId="0" fontId="10" fillId="0" borderId="5" xfId="0" applyFont="1" applyBorder="1" applyAlignment="1">
      <alignment horizontal="right"/>
    </xf>
    <xf numFmtId="10" fontId="0" fillId="0" borderId="0" xfId="0" applyNumberFormat="1" applyAlignment="1">
      <alignment horizontal="right"/>
    </xf>
    <xf numFmtId="0" fontId="46" fillId="0" borderId="0" xfId="0" applyFont="1" applyAlignment="1">
      <alignment horizontal="left"/>
    </xf>
    <xf numFmtId="0" fontId="44" fillId="0" borderId="0" xfId="0" applyFont="1" applyAlignment="1">
      <alignment wrapText="1"/>
    </xf>
    <xf numFmtId="0" fontId="46" fillId="0" borderId="0" xfId="0" applyFont="1" applyAlignment="1">
      <alignment horizontal="center"/>
    </xf>
    <xf numFmtId="171" fontId="48" fillId="0" borderId="0" xfId="0" applyNumberFormat="1" applyFont="1" applyAlignment="1">
      <alignment horizontal="right"/>
    </xf>
    <xf numFmtId="0" fontId="17" fillId="0" borderId="0" xfId="0" applyFont="1" applyAlignment="1">
      <alignment horizontal="left"/>
    </xf>
    <xf numFmtId="167" fontId="0" fillId="0" borderId="0" xfId="0" applyNumberFormat="1" applyAlignment="1">
      <alignment horizontal="center"/>
    </xf>
    <xf numFmtId="43" fontId="0" fillId="0" borderId="0" xfId="0" applyNumberFormat="1" applyAlignment="1">
      <alignment horizontal="center"/>
    </xf>
    <xf numFmtId="168" fontId="24" fillId="0" borderId="0" xfId="0" applyNumberFormat="1" applyFont="1"/>
    <xf numFmtId="10" fontId="18" fillId="0" borderId="0" xfId="0" applyNumberFormat="1" applyFont="1"/>
    <xf numFmtId="0" fontId="24" fillId="0" borderId="0" xfId="0" applyFont="1" applyAlignment="1">
      <alignment horizontal="left"/>
    </xf>
    <xf numFmtId="0" fontId="32" fillId="7" borderId="0" xfId="4" applyFont="1" applyFill="1"/>
    <xf numFmtId="171" fontId="18" fillId="0" borderId="0" xfId="0" applyNumberFormat="1" applyFont="1" applyAlignment="1">
      <alignment horizontal="right"/>
    </xf>
    <xf numFmtId="9" fontId="10" fillId="0" borderId="0" xfId="2" applyFont="1" applyAlignment="1">
      <alignment horizontal="right"/>
    </xf>
    <xf numFmtId="171" fontId="10" fillId="0" borderId="0" xfId="0" applyNumberFormat="1" applyFont="1" applyAlignment="1">
      <alignment horizontal="right"/>
    </xf>
    <xf numFmtId="0" fontId="55" fillId="0" borderId="0" xfId="0" applyFont="1"/>
    <xf numFmtId="171" fontId="56" fillId="0" borderId="0" xfId="0" applyNumberFormat="1" applyFont="1"/>
    <xf numFmtId="0" fontId="56" fillId="0" borderId="0" xfId="0" applyFont="1"/>
    <xf numFmtId="10" fontId="48" fillId="0" borderId="0" xfId="0" applyNumberFormat="1" applyFont="1"/>
    <xf numFmtId="0" fontId="17" fillId="0" borderId="0" xfId="0" applyFont="1" applyAlignment="1">
      <alignment horizontal="center"/>
    </xf>
    <xf numFmtId="44" fontId="0" fillId="0" borderId="0" xfId="5" applyFont="1"/>
    <xf numFmtId="49" fontId="55" fillId="0" borderId="0" xfId="0" applyNumberFormat="1" applyFont="1" applyAlignment="1">
      <alignment wrapText="1"/>
    </xf>
    <xf numFmtId="49" fontId="55" fillId="0" borderId="0" xfId="0" applyNumberFormat="1" applyFont="1" applyAlignment="1">
      <alignment horizontal="left" wrapText="1"/>
    </xf>
    <xf numFmtId="10" fontId="48" fillId="0" borderId="0" xfId="2" applyNumberFormat="1" applyFont="1"/>
    <xf numFmtId="44" fontId="0" fillId="0" borderId="0" xfId="0" applyNumberFormat="1"/>
    <xf numFmtId="0" fontId="56" fillId="0" borderId="0" xfId="0" applyFont="1" applyAlignment="1">
      <alignment horizontal="left"/>
    </xf>
    <xf numFmtId="0" fontId="55" fillId="0" borderId="0" xfId="0" applyFont="1" applyAlignment="1">
      <alignment horizontal="left"/>
    </xf>
    <xf numFmtId="0" fontId="44" fillId="0" borderId="0" xfId="0" applyFont="1" applyAlignment="1">
      <alignment horizontal="center"/>
    </xf>
    <xf numFmtId="1" fontId="48" fillId="0" borderId="0" xfId="2" applyNumberFormat="1" applyFont="1"/>
    <xf numFmtId="0" fontId="48" fillId="0" borderId="0" xfId="0" applyFont="1" applyAlignment="1">
      <alignment horizontal="center"/>
    </xf>
    <xf numFmtId="44" fontId="48" fillId="0" borderId="0" xfId="5" applyFont="1"/>
    <xf numFmtId="44" fontId="48" fillId="0" borderId="0" xfId="0" applyNumberFormat="1" applyFont="1"/>
    <xf numFmtId="0" fontId="46" fillId="0" borderId="0" xfId="0" applyFont="1" applyAlignment="1">
      <alignment wrapText="1"/>
    </xf>
    <xf numFmtId="174" fontId="48" fillId="0" borderId="0" xfId="1" applyNumberFormat="1" applyFont="1"/>
    <xf numFmtId="171" fontId="24" fillId="0" borderId="0" xfId="0" applyNumberFormat="1" applyFont="1"/>
    <xf numFmtId="0" fontId="46" fillId="0" borderId="0" xfId="0" quotePrefix="1" applyFont="1"/>
    <xf numFmtId="174" fontId="27" fillId="0" borderId="0" xfId="1" applyNumberFormat="1" applyFont="1"/>
    <xf numFmtId="43" fontId="0" fillId="0" borderId="0" xfId="0" applyNumberFormat="1"/>
    <xf numFmtId="9" fontId="27" fillId="0" borderId="0" xfId="2" applyFont="1" applyAlignment="1">
      <alignment horizontal="right"/>
    </xf>
    <xf numFmtId="178" fontId="48" fillId="0" borderId="0" xfId="0" applyNumberFormat="1" applyFont="1"/>
    <xf numFmtId="170" fontId="0" fillId="0" borderId="0" xfId="0" applyNumberFormat="1" applyAlignment="1">
      <alignment horizontal="center"/>
    </xf>
    <xf numFmtId="10" fontId="2" fillId="0" borderId="0" xfId="2" applyNumberFormat="1" applyFont="1"/>
    <xf numFmtId="0" fontId="2" fillId="0" borderId="0" xfId="0" applyFont="1" applyAlignment="1">
      <alignment horizontal="center"/>
    </xf>
    <xf numFmtId="0" fontId="57" fillId="0" borderId="0" xfId="0" applyFont="1"/>
    <xf numFmtId="0" fontId="44" fillId="0" borderId="0" xfId="0" applyFont="1" applyAlignment="1">
      <alignment horizontal="center" vertical="center"/>
    </xf>
    <xf numFmtId="49" fontId="44" fillId="0" borderId="0" xfId="0" applyNumberFormat="1" applyFont="1" applyAlignment="1">
      <alignment horizontal="center" vertical="center" wrapText="1"/>
    </xf>
    <xf numFmtId="167" fontId="10" fillId="0" borderId="0" xfId="1" applyNumberFormat="1" applyFont="1" applyAlignment="1">
      <alignment horizontal="right"/>
    </xf>
    <xf numFmtId="167" fontId="48" fillId="0" borderId="0" xfId="1" applyNumberFormat="1" applyFont="1"/>
    <xf numFmtId="9" fontId="48" fillId="0" borderId="0" xfId="0" applyNumberFormat="1" applyFont="1"/>
    <xf numFmtId="49" fontId="58" fillId="0" borderId="0" xfId="0" applyNumberFormat="1" applyFont="1" applyAlignment="1">
      <alignment wrapText="1"/>
    </xf>
    <xf numFmtId="165" fontId="0" fillId="0" borderId="0" xfId="1" applyFont="1" applyAlignment="1">
      <alignment horizontal="right"/>
    </xf>
    <xf numFmtId="167" fontId="0" fillId="8" borderId="0" xfId="1" applyNumberFormat="1" applyFont="1" applyFill="1"/>
    <xf numFmtId="0" fontId="59" fillId="0" borderId="0" xfId="0" applyFont="1" applyAlignment="1">
      <alignment horizontal="left" indent="1"/>
    </xf>
    <xf numFmtId="165" fontId="48" fillId="0" borderId="0" xfId="1" applyFont="1"/>
    <xf numFmtId="165" fontId="48" fillId="0" borderId="0" xfId="1" applyFont="1" applyAlignment="1">
      <alignment horizontal="right" vertical="center"/>
    </xf>
    <xf numFmtId="0" fontId="46" fillId="0" borderId="0" xfId="0" applyFont="1" applyAlignment="1">
      <alignment horizontal="center" vertical="center"/>
    </xf>
    <xf numFmtId="167" fontId="48" fillId="0" borderId="0" xfId="1" applyNumberFormat="1" applyFont="1" applyAlignment="1">
      <alignment horizontal="center"/>
    </xf>
    <xf numFmtId="10" fontId="2" fillId="0" borderId="0" xfId="0" applyNumberFormat="1" applyFont="1"/>
    <xf numFmtId="9" fontId="10" fillId="0" borderId="0" xfId="2" applyFont="1"/>
    <xf numFmtId="0" fontId="35" fillId="0" borderId="14" xfId="0" applyFont="1" applyBorder="1" applyAlignment="1">
      <alignment horizontal="center" vertical="center"/>
    </xf>
    <xf numFmtId="0" fontId="35" fillId="0" borderId="9" xfId="0" applyFont="1" applyBorder="1" applyAlignment="1">
      <alignment horizontal="center" vertical="center"/>
    </xf>
    <xf numFmtId="0" fontId="35" fillId="0" borderId="15" xfId="0" applyFont="1" applyBorder="1" applyAlignment="1">
      <alignment horizontal="center" vertical="center"/>
    </xf>
    <xf numFmtId="0" fontId="35" fillId="0" borderId="18" xfId="0" applyFont="1" applyBorder="1" applyAlignment="1">
      <alignment horizontal="center" vertical="center"/>
    </xf>
    <xf numFmtId="0" fontId="35" fillId="0" borderId="10" xfId="0" applyFont="1" applyBorder="1" applyAlignment="1">
      <alignment horizontal="center" vertical="center"/>
    </xf>
    <xf numFmtId="0" fontId="35" fillId="0" borderId="19" xfId="0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</cellXfs>
  <cellStyles count="6">
    <cellStyle name="Comma" xfId="1" builtinId="3"/>
    <cellStyle name="Currency" xfId="5" builtinId="4"/>
    <cellStyle name="Hyperlink" xfId="3" builtinId="8"/>
    <cellStyle name="Normal" xfId="0" builtinId="0"/>
    <cellStyle name="Normal 2" xfId="4" xr:uid="{DF5DB8CB-E326-754D-A4C4-0F11277FB6DA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worksheet" Target="worksheets/sheet8.xml"/><Relationship Id="rId13" Type="http://purl.oclc.org/ooxml/officeDocument/relationships/worksheet" Target="worksheets/sheet13.xml"/><Relationship Id="rId18" Type="http://purl.oclc.org/ooxml/officeDocument/relationships/worksheet" Target="worksheets/sheet18.xml"/><Relationship Id="rId26" Type="http://purl.oclc.org/ooxml/officeDocument/relationships/styles" Target="styles.xml"/><Relationship Id="rId3" Type="http://purl.oclc.org/ooxml/officeDocument/relationships/worksheet" Target="worksheets/sheet3.xml"/><Relationship Id="rId21" Type="http://purl.oclc.org/ooxml/officeDocument/relationships/worksheet" Target="worksheets/sheet21.xml"/><Relationship Id="rId7" Type="http://purl.oclc.org/ooxml/officeDocument/relationships/worksheet" Target="worksheets/sheet7.xml"/><Relationship Id="rId12" Type="http://purl.oclc.org/ooxml/officeDocument/relationships/worksheet" Target="worksheets/sheet12.xml"/><Relationship Id="rId17" Type="http://purl.oclc.org/ooxml/officeDocument/relationships/worksheet" Target="worksheets/sheet17.xml"/><Relationship Id="rId25" Type="http://purl.oclc.org/ooxml/officeDocument/relationships/theme" Target="theme/theme1.xml"/><Relationship Id="rId2" Type="http://purl.oclc.org/ooxml/officeDocument/relationships/worksheet" Target="worksheets/sheet2.xml"/><Relationship Id="rId16" Type="http://purl.oclc.org/ooxml/officeDocument/relationships/worksheet" Target="worksheets/sheet16.xml"/><Relationship Id="rId20" Type="http://purl.oclc.org/ooxml/officeDocument/relationships/worksheet" Target="worksheets/sheet20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worksheet" Target="worksheets/sheet11.xml"/><Relationship Id="rId24" Type="http://purl.oclc.org/ooxml/officeDocument/relationships/worksheet" Target="worksheets/sheet24.xml"/><Relationship Id="rId5" Type="http://purl.oclc.org/ooxml/officeDocument/relationships/worksheet" Target="worksheets/sheet5.xml"/><Relationship Id="rId15" Type="http://purl.oclc.org/ooxml/officeDocument/relationships/worksheet" Target="worksheets/sheet15.xml"/><Relationship Id="rId23" Type="http://purl.oclc.org/ooxml/officeDocument/relationships/worksheet" Target="worksheets/sheet23.xml"/><Relationship Id="rId28" Type="http://purl.oclc.org/ooxml/officeDocument/relationships/calcChain" Target="calcChain.xml"/><Relationship Id="rId10" Type="http://purl.oclc.org/ooxml/officeDocument/relationships/worksheet" Target="worksheets/sheet10.xml"/><Relationship Id="rId19" Type="http://purl.oclc.org/ooxml/officeDocument/relationships/worksheet" Target="worksheets/sheet19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14" Type="http://purl.oclc.org/ooxml/officeDocument/relationships/worksheet" Target="worksheets/sheet14.xml"/><Relationship Id="rId22" Type="http://purl.oclc.org/ooxml/officeDocument/relationships/worksheet" Target="worksheets/sheet22.xml"/><Relationship Id="rId27" Type="http://purl.oclc.org/ooxml/officeDocument/relationships/sharedStrings" Target="sharedStrings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'Grid + solar + CAISO'!$C$2:$C$29</c:f>
              <c:numCache>
                <c:formatCode>General</c:formatCode>
                <c:ptCount val="28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  <c:pt idx="19">
                  <c:v>0.96</c:v>
                </c:pt>
                <c:pt idx="20">
                  <c:v>0.97</c:v>
                </c:pt>
                <c:pt idx="21">
                  <c:v>0.98</c:v>
                </c:pt>
                <c:pt idx="22">
                  <c:v>0.99</c:v>
                </c:pt>
                <c:pt idx="23">
                  <c:v>0.995</c:v>
                </c:pt>
                <c:pt idx="24">
                  <c:v>0.999</c:v>
                </c:pt>
                <c:pt idx="25">
                  <c:v>0.99950000000000006</c:v>
                </c:pt>
                <c:pt idx="26">
                  <c:v>0.99990000000000001</c:v>
                </c:pt>
                <c:pt idx="27">
                  <c:v>0.99999000000000005</c:v>
                </c:pt>
              </c:numCache>
            </c:numRef>
          </c:cat>
          <c:val>
            <c:numRef>
              <c:f>'Grid + solar + CAISO'!$A$2:$A$29</c:f>
              <c:numCache>
                <c:formatCode>General</c:formatCode>
                <c:ptCount val="28"/>
                <c:pt idx="0">
                  <c:v>22.52</c:v>
                </c:pt>
                <c:pt idx="1">
                  <c:v>39.96</c:v>
                </c:pt>
                <c:pt idx="2">
                  <c:v>47.72</c:v>
                </c:pt>
                <c:pt idx="3">
                  <c:v>54.82</c:v>
                </c:pt>
                <c:pt idx="4">
                  <c:v>59.5</c:v>
                </c:pt>
                <c:pt idx="5">
                  <c:v>62.23</c:v>
                </c:pt>
                <c:pt idx="6">
                  <c:v>64.53</c:v>
                </c:pt>
                <c:pt idx="7">
                  <c:v>66.69</c:v>
                </c:pt>
                <c:pt idx="8">
                  <c:v>69.19</c:v>
                </c:pt>
                <c:pt idx="9">
                  <c:v>71.569999999999993</c:v>
                </c:pt>
                <c:pt idx="10">
                  <c:v>74.27</c:v>
                </c:pt>
                <c:pt idx="11">
                  <c:v>77.040000000000006</c:v>
                </c:pt>
                <c:pt idx="12">
                  <c:v>80.39</c:v>
                </c:pt>
                <c:pt idx="13">
                  <c:v>84.08</c:v>
                </c:pt>
                <c:pt idx="14">
                  <c:v>88.48</c:v>
                </c:pt>
                <c:pt idx="15">
                  <c:v>93.26</c:v>
                </c:pt>
                <c:pt idx="16">
                  <c:v>99.74</c:v>
                </c:pt>
                <c:pt idx="17">
                  <c:v>110.02</c:v>
                </c:pt>
                <c:pt idx="18">
                  <c:v>130.76</c:v>
                </c:pt>
                <c:pt idx="19">
                  <c:v>138.22</c:v>
                </c:pt>
                <c:pt idx="20">
                  <c:v>151.41</c:v>
                </c:pt>
                <c:pt idx="21">
                  <c:v>166.79</c:v>
                </c:pt>
                <c:pt idx="22">
                  <c:v>212.19</c:v>
                </c:pt>
                <c:pt idx="23">
                  <c:v>268.26</c:v>
                </c:pt>
                <c:pt idx="24">
                  <c:v>492.12</c:v>
                </c:pt>
                <c:pt idx="25">
                  <c:v>556.32000000000005</c:v>
                </c:pt>
                <c:pt idx="26">
                  <c:v>2000.96</c:v>
                </c:pt>
                <c:pt idx="27">
                  <c:v>2335.21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AA0-5A49-995C-0A4AFDC54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2430158"/>
        <c:axId val="1479828508"/>
      </c:barChart>
      <c:catAx>
        <c:axId val="145243015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R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79828508"/>
        <c:crosses val="autoZero"/>
        <c:auto val="1"/>
        <c:lblAlgn val="ctr"/>
        <c:lblOffset val="100"/>
        <c:noMultiLvlLbl val="1"/>
      </c:catAx>
      <c:valAx>
        <c:axId val="147982850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%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R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5243015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'Grid + solar + CAISO'!$C$2:$C$20</c:f>
              <c:numCache>
                <c:formatCode>General</c:formatCode>
                <c:ptCount val="19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</c:numCache>
            </c:numRef>
          </c:cat>
          <c:val>
            <c:numRef>
              <c:f>'Grid + solar + CAISO'!$L$19</c:f>
              <c:numCache>
                <c:formatCode>General</c:formatCode>
                <c:ptCount val="1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6CB-2743-9024-E0EEAA9F8865}"/>
            </c:ext>
          </c:extLst>
        </c:ser>
        <c:ser>
          <c:idx val="1"/>
          <c:order val="1"/>
          <c:invertIfNegative val="1"/>
          <c:cat>
            <c:numRef>
              <c:f>'Grid + solar + CAISO'!$C$2:$C$20</c:f>
              <c:numCache>
                <c:formatCode>General</c:formatCode>
                <c:ptCount val="19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</c:numCache>
            </c:numRef>
          </c:cat>
          <c:val>
            <c:numRef>
              <c:f>'Grid + solar + CAISO'!$A$2:$A$20</c:f>
              <c:numCache>
                <c:formatCode>General</c:formatCode>
                <c:ptCount val="19"/>
                <c:pt idx="0">
                  <c:v>22.52</c:v>
                </c:pt>
                <c:pt idx="1">
                  <c:v>39.96</c:v>
                </c:pt>
                <c:pt idx="2">
                  <c:v>47.72</c:v>
                </c:pt>
                <c:pt idx="3">
                  <c:v>54.82</c:v>
                </c:pt>
                <c:pt idx="4">
                  <c:v>59.5</c:v>
                </c:pt>
                <c:pt idx="5">
                  <c:v>62.23</c:v>
                </c:pt>
                <c:pt idx="6">
                  <c:v>64.53</c:v>
                </c:pt>
                <c:pt idx="7">
                  <c:v>66.69</c:v>
                </c:pt>
                <c:pt idx="8">
                  <c:v>69.19</c:v>
                </c:pt>
                <c:pt idx="9">
                  <c:v>71.569999999999993</c:v>
                </c:pt>
                <c:pt idx="10">
                  <c:v>74.27</c:v>
                </c:pt>
                <c:pt idx="11">
                  <c:v>77.040000000000006</c:v>
                </c:pt>
                <c:pt idx="12">
                  <c:v>80.39</c:v>
                </c:pt>
                <c:pt idx="13">
                  <c:v>84.08</c:v>
                </c:pt>
                <c:pt idx="14">
                  <c:v>88.48</c:v>
                </c:pt>
                <c:pt idx="15">
                  <c:v>93.26</c:v>
                </c:pt>
                <c:pt idx="16">
                  <c:v>99.74</c:v>
                </c:pt>
                <c:pt idx="17">
                  <c:v>110.02</c:v>
                </c:pt>
                <c:pt idx="18">
                  <c:v>130.76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CB-2743-9024-E0EEAA9F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31412042"/>
        <c:axId val="1946350194"/>
      </c:barChart>
      <c:catAx>
        <c:axId val="203141204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R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46350194"/>
        <c:crosses val="autoZero"/>
        <c:auto val="1"/>
        <c:lblAlgn val="ctr"/>
        <c:lblOffset val="100"/>
        <c:noMultiLvlLbl val="1"/>
      </c:catAx>
      <c:valAx>
        <c:axId val="194635019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%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R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3141204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3.xml.rels><?xml version="1.0" encoding="UTF-8" standalone="yes"?>
<Relationships xmlns="http://schemas.openxmlformats.org/package/2006/relationships"><Relationship Id="rId8" Type="http://purl.oclc.org/ooxml/officeDocument/relationships/image" Target="../media/image8.png"/><Relationship Id="rId3" Type="http://purl.oclc.org/ooxml/officeDocument/relationships/image" Target="../media/image3.png"/><Relationship Id="rId7" Type="http://purl.oclc.org/ooxml/officeDocument/relationships/image" Target="../media/image7.png"/><Relationship Id="rId2" Type="http://purl.oclc.org/ooxml/officeDocument/relationships/image" Target="../media/image2.png"/><Relationship Id="rId1" Type="http://purl.oclc.org/ooxml/officeDocument/relationships/image" Target="../media/image1.png"/><Relationship Id="rId6" Type="http://purl.oclc.org/ooxml/officeDocument/relationships/image" Target="../media/image6.png"/><Relationship Id="rId5" Type="http://purl.oclc.org/ooxml/officeDocument/relationships/image" Target="../media/image5.png"/><Relationship Id="rId4" Type="http://purl.oclc.org/ooxml/officeDocument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purl.oclc.org/ooxml/officeDocument/relationships/chart" Target="../charts/chart2.xml"/><Relationship Id="rId1" Type="http://purl.oclc.org/ooxml/officeDocument/relationships/chart" Target="../charts/chart1.xml"/></Relationships>
</file>

<file path=xl/drawings/drawing1.xml><?xml version="1.0" encoding="utf-8"?>
<xdr:wsDr xmlns:xdr="http://purl.oclc.org/ooxml/drawingml/spreadsheetDrawing" xmlns:a="http://purl.oclc.org/ooxml/drawingml/main">
  <xdr:twoCellAnchor editAs="oneCell">
    <xdr:from>
      <xdr:col>10</xdr:col>
      <xdr:colOff>0</xdr:colOff>
      <xdr:row>4</xdr:row>
      <xdr:rowOff>0</xdr:rowOff>
    </xdr:from>
    <xdr:to>
      <xdr:col>10</xdr:col>
      <xdr:colOff>304800</xdr:colOff>
      <xdr:row>5</xdr:row>
      <xdr:rowOff>101600</xdr:rowOff>
    </xdr:to>
    <xdr:sp macro="" textlink="">
      <xdr:nvSpPr>
        <xdr:cNvPr id="9218" name="AutoShape 2" descr="482 Power Grid Worker Illustrations &amp; Clip Art - iStock">
          <a:extLst>
            <a:ext uri="{FF2B5EF4-FFF2-40B4-BE49-F238E27FC236}">
              <a16:creationId xmlns:a16="http://schemas.microsoft.com/office/drawing/2014/main" id="{B158698A-E5ED-C8E2-D6F5-BD5B90BB9E30}"/>
            </a:ext>
          </a:extLst>
        </xdr:cNvPr>
        <xdr:cNvSpPr>
          <a:spLocks noChangeAspect="1" noChangeArrowheads="1"/>
        </xdr:cNvSpPr>
      </xdr:nvSpPr>
      <xdr:spPr bwMode="auto">
        <a:xfrm>
          <a:off x="13843000" y="20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0</xdr:colOff>
      <xdr:row>8</xdr:row>
      <xdr:rowOff>0</xdr:rowOff>
    </xdr:from>
    <xdr:to>
      <xdr:col>10</xdr:col>
      <xdr:colOff>304800</xdr:colOff>
      <xdr:row>9</xdr:row>
      <xdr:rowOff>101600</xdr:rowOff>
    </xdr:to>
    <xdr:sp macro="" textlink="">
      <xdr:nvSpPr>
        <xdr:cNvPr id="9219" name="AutoShape 3" descr="482 Power Grid Worker Illustrations &amp; Clip Art - iStock">
          <a:extLst>
            <a:ext uri="{FF2B5EF4-FFF2-40B4-BE49-F238E27FC236}">
              <a16:creationId xmlns:a16="http://schemas.microsoft.com/office/drawing/2014/main" id="{1088F72B-C85F-14CA-AC4F-3B91B830D6A4}"/>
            </a:ext>
          </a:extLst>
        </xdr:cNvPr>
        <xdr:cNvSpPr>
          <a:spLocks noChangeAspect="1" noChangeArrowheads="1"/>
        </xdr:cNvSpPr>
      </xdr:nvSpPr>
      <xdr:spPr bwMode="auto">
        <a:xfrm>
          <a:off x="13843000" y="105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304800</xdr:colOff>
      <xdr:row>14</xdr:row>
      <xdr:rowOff>101600</xdr:rowOff>
    </xdr:to>
    <xdr:sp macro="" textlink="">
      <xdr:nvSpPr>
        <xdr:cNvPr id="9225" name="AutoShape 9" descr="238 Hydrogen Storage Illustrations &amp; Clip Art - iStock">
          <a:extLst>
            <a:ext uri="{FF2B5EF4-FFF2-40B4-BE49-F238E27FC236}">
              <a16:creationId xmlns:a16="http://schemas.microsoft.com/office/drawing/2014/main" id="{8B964589-93B7-D209-6DD1-891E142C1644}"/>
            </a:ext>
          </a:extLst>
        </xdr:cNvPr>
        <xdr:cNvSpPr>
          <a:spLocks noChangeAspect="1" noChangeArrowheads="1"/>
        </xdr:cNvSpPr>
      </xdr:nvSpPr>
      <xdr:spPr bwMode="auto">
        <a:xfrm>
          <a:off x="15227300" y="212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304800</xdr:colOff>
      <xdr:row>13</xdr:row>
      <xdr:rowOff>101600</xdr:rowOff>
    </xdr:to>
    <xdr:sp macro="" textlink="">
      <xdr:nvSpPr>
        <xdr:cNvPr id="9226" name="AutoShape 10" descr="238 Hydrogen Storage Illustrations &amp; Clip Art - iStock">
          <a:extLst>
            <a:ext uri="{FF2B5EF4-FFF2-40B4-BE49-F238E27FC236}">
              <a16:creationId xmlns:a16="http://schemas.microsoft.com/office/drawing/2014/main" id="{9D18AD4C-3A46-CB94-A985-486346BD1534}"/>
            </a:ext>
          </a:extLst>
        </xdr:cNvPr>
        <xdr:cNvSpPr>
          <a:spLocks noChangeAspect="1" noChangeArrowheads="1"/>
        </xdr:cNvSpPr>
      </xdr:nvSpPr>
      <xdr:spPr bwMode="auto">
        <a:xfrm>
          <a:off x="2768600" y="168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304800</xdr:colOff>
      <xdr:row>13</xdr:row>
      <xdr:rowOff>101600</xdr:rowOff>
    </xdr:to>
    <xdr:sp macro="" textlink="">
      <xdr:nvSpPr>
        <xdr:cNvPr id="9227" name="AutoShape 11" descr="238 Hydrogen Storage Illustrations &amp; Clip Art - iStock">
          <a:extLst>
            <a:ext uri="{FF2B5EF4-FFF2-40B4-BE49-F238E27FC236}">
              <a16:creationId xmlns:a16="http://schemas.microsoft.com/office/drawing/2014/main" id="{FE089968-907C-95F3-8B14-ADDBE0295975}"/>
            </a:ext>
          </a:extLst>
        </xdr:cNvPr>
        <xdr:cNvSpPr>
          <a:spLocks noChangeAspect="1" noChangeArrowheads="1"/>
        </xdr:cNvSpPr>
      </xdr:nvSpPr>
      <xdr:spPr bwMode="auto">
        <a:xfrm>
          <a:off x="2768600" y="168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304800</xdr:colOff>
      <xdr:row>13</xdr:row>
      <xdr:rowOff>101600</xdr:rowOff>
    </xdr:to>
    <xdr:sp macro="" textlink="">
      <xdr:nvSpPr>
        <xdr:cNvPr id="9228" name="AutoShape 12" descr="238 Hydrogen Storage Illustrations &amp; Clip Art - iStock">
          <a:extLst>
            <a:ext uri="{FF2B5EF4-FFF2-40B4-BE49-F238E27FC236}">
              <a16:creationId xmlns:a16="http://schemas.microsoft.com/office/drawing/2014/main" id="{C9865596-315F-BAE6-14B5-5F9644FAA0BF}"/>
            </a:ext>
          </a:extLst>
        </xdr:cNvPr>
        <xdr:cNvSpPr>
          <a:spLocks noChangeAspect="1" noChangeArrowheads="1"/>
        </xdr:cNvSpPr>
      </xdr:nvSpPr>
      <xdr:spPr bwMode="auto">
        <a:xfrm>
          <a:off x="2768600" y="168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44</xdr:row>
      <xdr:rowOff>0</xdr:rowOff>
    </xdr:from>
    <xdr:to>
      <xdr:col>7</xdr:col>
      <xdr:colOff>304800</xdr:colOff>
      <xdr:row>45</xdr:row>
      <xdr:rowOff>101601</xdr:rowOff>
    </xdr:to>
    <xdr:sp macro="" textlink="">
      <xdr:nvSpPr>
        <xdr:cNvPr id="9229" name="AutoShape 13" descr="238 Hydrogen Storage Illustrations &amp; Clip Art - iStock">
          <a:extLst>
            <a:ext uri="{FF2B5EF4-FFF2-40B4-BE49-F238E27FC236}">
              <a16:creationId xmlns:a16="http://schemas.microsoft.com/office/drawing/2014/main" id="{56262D66-E608-A7BB-0480-25278491B8C8}"/>
            </a:ext>
          </a:extLst>
        </xdr:cNvPr>
        <xdr:cNvSpPr>
          <a:spLocks noChangeAspect="1" noChangeArrowheads="1"/>
        </xdr:cNvSpPr>
      </xdr:nvSpPr>
      <xdr:spPr bwMode="auto">
        <a:xfrm>
          <a:off x="9690100" y="3949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7</xdr:col>
      <xdr:colOff>0</xdr:colOff>
      <xdr:row>61</xdr:row>
      <xdr:rowOff>0</xdr:rowOff>
    </xdr:from>
    <xdr:ext cx="304800" cy="307975"/>
    <xdr:sp macro="" textlink="">
      <xdr:nvSpPr>
        <xdr:cNvPr id="2" name="AutoShape 13" descr="238 Hydrogen Storage Illustrations &amp; Clip Art - iStock">
          <a:extLst>
            <a:ext uri="{FF2B5EF4-FFF2-40B4-BE49-F238E27FC236}">
              <a16:creationId xmlns:a16="http://schemas.microsoft.com/office/drawing/2014/main" id="{18A24ABA-AE61-CD4E-BC7B-724FC2347390}"/>
            </a:ext>
          </a:extLst>
        </xdr:cNvPr>
        <xdr:cNvSpPr>
          <a:spLocks noChangeAspect="1" noChangeArrowheads="1"/>
        </xdr:cNvSpPr>
      </xdr:nvSpPr>
      <xdr:spPr bwMode="auto">
        <a:xfrm>
          <a:off x="18859500" y="7286625"/>
          <a:ext cx="304800" cy="307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74</xdr:row>
      <xdr:rowOff>0</xdr:rowOff>
    </xdr:from>
    <xdr:ext cx="304800" cy="307975"/>
    <xdr:sp macro="" textlink="">
      <xdr:nvSpPr>
        <xdr:cNvPr id="3" name="AutoShape 13" descr="238 Hydrogen Storage Illustrations &amp; Clip Art - iStock">
          <a:extLst>
            <a:ext uri="{FF2B5EF4-FFF2-40B4-BE49-F238E27FC236}">
              <a16:creationId xmlns:a16="http://schemas.microsoft.com/office/drawing/2014/main" id="{59F5416D-B88D-114E-9AFD-7C2BB3C6F69A}"/>
            </a:ext>
          </a:extLst>
        </xdr:cNvPr>
        <xdr:cNvSpPr>
          <a:spLocks noChangeAspect="1" noChangeArrowheads="1"/>
        </xdr:cNvSpPr>
      </xdr:nvSpPr>
      <xdr:spPr bwMode="auto">
        <a:xfrm>
          <a:off x="19387984" y="10610645"/>
          <a:ext cx="304800" cy="307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drawings/drawing2.xml><?xml version="1.0" encoding="utf-8"?>
<xdr:wsDr xmlns:xdr="http://purl.oclc.org/ooxml/drawingml/spreadsheetDrawing" xmlns:a="http://purl.oclc.org/ooxml/drawingml/main">
  <mc:AlternateContent xmlns:mc="http://schemas.openxmlformats.org/markup-compatibility/2006">
    <mc:Choice xmlns:v="urn:schemas-microsoft-com:vml" Requires="v"/>
    <mc:Fallback>
      <xdr:twoCellAnchor editAs="absolute">
        <xdr:from>
          <xdr:col>11</xdr:col>
          <xdr:colOff>139700</xdr:colOff>
          <xdr:row>37</xdr:row>
          <xdr:rowOff>12700</xdr:rowOff>
        </xdr:from>
        <xdr:to>
          <xdr:col>12</xdr:col>
          <xdr:colOff>279400</xdr:colOff>
          <xdr:row>41</xdr:row>
          <xdr:rowOff>76200</xdr:rowOff>
        </xdr:to>
        <xdr:sp macro="" textlink="">
          <xdr:nvSpPr>
            <xdr:cNvPr id="2049" name="Comment 2" hidden="1">
              <a:extLst>
                <a:ext uri="{FF2B5EF4-FFF2-40B4-BE49-F238E27FC236}">
                  <a16:creationId xmlns:a16="http://schemas.microsoft.com/office/drawing/2014/main" id="{3DF625EB-3BE3-00B2-37AD-3C32C1C8D5C5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6446500" y="8178800"/>
              <a:ext cx="1320800" cy="876300"/>
            </a:xfrm>
            <a:prstGeom prst="rect">
              <a:avLst/>
            </a:prstGeom>
            <a:solidFill>
              <a:srgbClr xmlns:a14="http://schemas.microsoft.com/office/drawing/2010/main" val="FFFFE1" mc:Ignorable="a14" a14:legacySpreadsheetColorIndex="80"/>
            </a:solidFill>
            <a:ln w="9525">
              <a:solidFill>
                <a:srgbClr val="000000"/>
              </a:solidFill>
              <a:miter lim="800%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510000"/>
                    </a:outerShdw>
                  </a:effectLst>
                </a14:hiddenEffects>
              </a:ex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pPr algn="l" rtl="0">
                <a:defRPr sz="1000"/>
              </a:pPr>
              <a:r>
                <a:rPr lang="en-US" sz="1000" b="1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Microsoft Office User:</a:t>
              </a:r>
              <a:endParaRPr lang="en-US" sz="10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  <a:p>
              <a:pPr algn="l" rtl="0">
                <a:defRPr sz="1000"/>
              </a:pPr>
              <a:r>
                <a:rPr lang="en-US" sz="1000" b="0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Не понимаю формулу. Почему умножаем на 2?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0</xdr:col>
          <xdr:colOff>1016000</xdr:colOff>
          <xdr:row>38</xdr:row>
          <xdr:rowOff>63500</xdr:rowOff>
        </xdr:from>
        <xdr:to>
          <xdr:col>1</xdr:col>
          <xdr:colOff>203200</xdr:colOff>
          <xdr:row>42</xdr:row>
          <xdr:rowOff>127000</xdr:rowOff>
        </xdr:to>
        <xdr:sp macro="" textlink="">
          <xdr:nvSpPr>
            <xdr:cNvPr id="2050" name="Comment 3" hidden="1">
              <a:extLst>
                <a:ext uri="{FF2B5EF4-FFF2-40B4-BE49-F238E27FC236}">
                  <a16:creationId xmlns:a16="http://schemas.microsoft.com/office/drawing/2014/main" id="{16E4A11C-5789-6459-483D-BEF7EC8BEB52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016000" y="8432800"/>
              <a:ext cx="1320800" cy="876300"/>
            </a:xfrm>
            <a:prstGeom prst="rect">
              <a:avLst/>
            </a:prstGeom>
            <a:solidFill>
              <a:srgbClr xmlns:a14="http://schemas.microsoft.com/office/drawing/2010/main" val="FFFFE1" mc:Ignorable="a14" a14:legacySpreadsheetColorIndex="80"/>
            </a:solidFill>
            <a:ln w="9525">
              <a:solidFill>
                <a:srgbClr val="510000"/>
              </a:solidFill>
              <a:miter lim="800%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510000"/>
                    </a:outerShdw>
                  </a:effectLst>
                </a14:hiddenEffects>
              </a:ex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pPr algn="l" rtl="0">
                <a:defRPr sz="1000"/>
              </a:pPr>
              <a:r>
                <a:rPr lang="en-US" sz="1000" b="1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Microsoft Office User:</a:t>
              </a:r>
              <a:endParaRPr lang="en-US" sz="10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  <a:p>
              <a:pPr algn="l" rtl="0">
                <a:defRPr sz="1000"/>
              </a:pPr>
              <a:r>
                <a:rPr lang="en-US" sz="1000" b="0" i="0" u="none" strike="noStrike" baseline="0%">
                  <a:solidFill>
                    <a:srgbClr val="000000"/>
                  </a:solidFill>
                  <a:latin typeface="Calibri" pitchFamily="2" charset="0"/>
                  <a:cs typeface="Calibri" pitchFamily="2" charset="0"/>
                </a:rPr>
                <a:t>As battery technology matures and expands, battery costs will drop year on year. </a:t>
              </a:r>
            </a:p>
            <a:p>
              <a:pPr algn="l" rtl="0">
                <a:defRPr sz="1000"/>
              </a:pPr>
              <a:endParaRPr lang="en-US" sz="1000" b="0" i="0" u="none" strike="noStrike" baseline="0%">
                <a:solidFill>
                  <a:srgbClr val="000000"/>
                </a:solidFill>
                <a:latin typeface="Calibri" pitchFamily="2" charset="0"/>
                <a:cs typeface="Calibri" pitchFamily="2" charset="0"/>
              </a:endParaRPr>
            </a:p>
          </xdr:txBody>
        </xdr:sp>
        <xdr:clientData/>
      </xdr:twoCellAnchor>
    </mc:Fallback>
  </mc:AlternateContent>
</xdr:wsDr>
</file>

<file path=xl/drawings/drawing3.xml><?xml version="1.0" encoding="utf-8"?>
<xdr:wsDr xmlns:xdr="http://purl.oclc.org/ooxml/drawingml/spreadsheetDrawing" xmlns:a="http://purl.oclc.org/ooxml/drawingml/main">
  <xdr:twoCellAnchor editAs="oneCell">
    <xdr:from>
      <xdr:col>0</xdr:col>
      <xdr:colOff>368300</xdr:colOff>
      <xdr:row>6</xdr:row>
      <xdr:rowOff>0</xdr:rowOff>
    </xdr:from>
    <xdr:to>
      <xdr:col>8</xdr:col>
      <xdr:colOff>406400</xdr:colOff>
      <xdr:row>19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36E697B-D4EC-8C4C-85E0-6CBE9561577C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"/>
        <a:stretch>
          <a:fillRect/>
        </a:stretch>
      </xdr:blipFill>
      <xdr:spPr>
        <a:xfrm>
          <a:off x="368300" y="1219200"/>
          <a:ext cx="6642100" cy="2705100"/>
        </a:xfrm>
        <a:prstGeom prst="rect">
          <a:avLst/>
        </a:prstGeom>
      </xdr:spPr>
    </xdr:pic>
    <xdr:clientData/>
  </xdr:twoCellAnchor>
  <xdr:twoCellAnchor editAs="oneCell">
    <xdr:from>
      <xdr:col>0</xdr:col>
      <xdr:colOff>292100</xdr:colOff>
      <xdr:row>18</xdr:row>
      <xdr:rowOff>139700</xdr:rowOff>
    </xdr:from>
    <xdr:to>
      <xdr:col>8</xdr:col>
      <xdr:colOff>478732</xdr:colOff>
      <xdr:row>32</xdr:row>
      <xdr:rowOff>28956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F8C4FBA-26F7-984B-9C90-68C822892716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/>
        <a:stretch>
          <a:fillRect/>
        </a:stretch>
      </xdr:blipFill>
      <xdr:spPr>
        <a:xfrm>
          <a:off x="292100" y="3797300"/>
          <a:ext cx="6790632" cy="2734056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203200</xdr:colOff>
      <xdr:row>39</xdr:row>
      <xdr:rowOff>25400</xdr:rowOff>
    </xdr:from>
    <xdr:to>
      <xdr:col>8</xdr:col>
      <xdr:colOff>609600</xdr:colOff>
      <xdr:row>51</xdr:row>
      <xdr:rowOff>12700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ED0EF3-03A9-2249-8EAF-3A055757D61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3"/>
        <a:stretch>
          <a:fillRect/>
        </a:stretch>
      </xdr:blipFill>
      <xdr:spPr>
        <a:xfrm>
          <a:off x="203200" y="7950200"/>
          <a:ext cx="7010400" cy="2425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9</xdr:col>
      <xdr:colOff>215900</xdr:colOff>
      <xdr:row>66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4BEB2D8-E84A-0142-84CA-18BC7661ACCA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4"/>
        <a:stretch>
          <a:fillRect/>
        </a:stretch>
      </xdr:blipFill>
      <xdr:spPr>
        <a:xfrm>
          <a:off x="825500" y="10769600"/>
          <a:ext cx="6819900" cy="2755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9</xdr:col>
      <xdr:colOff>1955800</xdr:colOff>
      <xdr:row>86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6B8D208-B761-3141-B265-4E205486A27A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/>
        <a:stretch>
          <a:fillRect/>
        </a:stretch>
      </xdr:blipFill>
      <xdr:spPr>
        <a:xfrm>
          <a:off x="1651000" y="14224000"/>
          <a:ext cx="7734300" cy="3251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87</xdr:row>
      <xdr:rowOff>0</xdr:rowOff>
    </xdr:from>
    <xdr:to>
      <xdr:col>9</xdr:col>
      <xdr:colOff>1485900</xdr:colOff>
      <xdr:row>99</xdr:row>
      <xdr:rowOff>88900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AE2DEC3-7C6E-6047-A364-5131E5AE2774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6"/>
        <a:stretch>
          <a:fillRect/>
        </a:stretch>
      </xdr:blipFill>
      <xdr:spPr>
        <a:xfrm>
          <a:off x="3302000" y="17678400"/>
          <a:ext cx="5613400" cy="2527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9</xdr:col>
      <xdr:colOff>1143000</xdr:colOff>
      <xdr:row>118</xdr:row>
      <xdr:rowOff>190500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37E5F66-09E3-F546-9CEB-BCE4FCC3B541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7"/>
        <a:stretch>
          <a:fillRect/>
        </a:stretch>
      </xdr:blipFill>
      <xdr:spPr>
        <a:xfrm>
          <a:off x="1651000" y="21132800"/>
          <a:ext cx="6921500" cy="3035300"/>
        </a:xfrm>
        <a:prstGeom prst="rect">
          <a:avLst/>
        </a:prstGeom>
      </xdr:spPr>
    </xdr:pic>
    <xdr:clientData/>
  </xdr:twoCellAnchor>
  <xdr:twoCellAnchor editAs="oneCell">
    <xdr:from>
      <xdr:col>9</xdr:col>
      <xdr:colOff>203199</xdr:colOff>
      <xdr:row>30</xdr:row>
      <xdr:rowOff>50799</xdr:rowOff>
    </xdr:from>
    <xdr:to>
      <xdr:col>17</xdr:col>
      <xdr:colOff>139700</xdr:colOff>
      <xdr:row>43</xdr:row>
      <xdr:rowOff>34068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547C0F0-6467-0243-804D-1B0A36BBF34F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8"/>
        <a:stretch>
          <a:fillRect/>
        </a:stretch>
      </xdr:blipFill>
      <xdr:spPr>
        <a:xfrm>
          <a:off x="7632699" y="6146799"/>
          <a:ext cx="13220701" cy="262486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v="urn:schemas-microsoft-com:vml" Requires="v"/>
    <mc:Fallback>
      <xdr:twoCellAnchor editAs="absolute">
        <xdr:from>
          <xdr:col>9</xdr:col>
          <xdr:colOff>1079500</xdr:colOff>
          <xdr:row>23</xdr:row>
          <xdr:rowOff>139700</xdr:rowOff>
        </xdr:from>
        <xdr:to>
          <xdr:col>9</xdr:col>
          <xdr:colOff>2400300</xdr:colOff>
          <xdr:row>28</xdr:row>
          <xdr:rowOff>0</xdr:rowOff>
        </xdr:to>
        <xdr:sp macro="" textlink="">
          <xdr:nvSpPr>
            <xdr:cNvPr id="3073" name="Comment 1" hidden="1">
              <a:extLst>
                <a:ext uri="{FF2B5EF4-FFF2-40B4-BE49-F238E27FC236}">
                  <a16:creationId xmlns:a16="http://schemas.microsoft.com/office/drawing/2014/main" id="{A2E65900-E489-2322-6255-1A76C6C5069D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8509000" y="4813300"/>
              <a:ext cx="1320800" cy="876300"/>
            </a:xfrm>
            <a:prstGeom prst="rect">
              <a:avLst/>
            </a:prstGeom>
            <a:solidFill>
              <a:srgbClr xmlns:a14="http://schemas.microsoft.com/office/drawing/2010/main" val="FFFFE1" mc:Ignorable="a14" a14:legacySpreadsheetColorIndex="80"/>
            </a:solidFill>
            <a:ln w="9525">
              <a:solidFill>
                <a:srgbClr val="510000"/>
              </a:solidFill>
              <a:miter lim="800%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510000"/>
                    </a:outerShdw>
                  </a:effectLst>
                </a14:hiddenEffects>
              </a:ex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pPr algn="l" rtl="0">
                <a:defRPr sz="1000"/>
              </a:pPr>
              <a:r>
                <a:rPr lang="en-US" sz="1000" b="1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Microsoft Office User:</a:t>
              </a:r>
              <a:endParaRPr lang="en-US" sz="10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  <a:p>
              <a:pPr algn="l" rtl="0">
                <a:defRPr sz="1000"/>
              </a:pPr>
              <a:r>
                <a:rPr lang="en-US" sz="1000" b="0" i="0" u="none" strike="noStrike" baseline="0%">
                  <a:solidFill>
                    <a:srgbClr val="000000"/>
                  </a:solidFill>
                  <a:latin typeface="Calibri" pitchFamily="2" charset="0"/>
                  <a:cs typeface="Calibri" pitchFamily="2" charset="0"/>
                </a:rPr>
                <a:t>As battery technology matures and expands, battery costs will drop year on year. </a:t>
              </a:r>
            </a:p>
            <a:p>
              <a:pPr algn="l" rtl="0">
                <a:defRPr sz="1000"/>
              </a:pPr>
              <a:endParaRPr lang="en-US" sz="1000" b="0" i="0" u="none" strike="noStrike" baseline="0%">
                <a:solidFill>
                  <a:srgbClr val="000000"/>
                </a:solidFill>
                <a:latin typeface="Calibri" pitchFamily="2" charset="0"/>
                <a:cs typeface="Calibri" pitchFamily="2" charset="0"/>
              </a:endParaRPr>
            </a:p>
          </xdr:txBody>
        </xdr:sp>
        <xdr:clientData/>
      </xdr:twoCellAnchor>
    </mc:Fallback>
  </mc:AlternateContent>
</xdr:wsDr>
</file>

<file path=xl/drawings/drawing4.xml><?xml version="1.0" encoding="utf-8"?>
<xdr:wsDr xmlns:xdr="http://purl.oclc.org/ooxml/drawingml/spreadsheetDrawing" xmlns:a="http://purl.oclc.org/ooxml/drawingml/main">
  <xdr:oneCellAnchor>
    <xdr:from>
      <xdr:col>11</xdr:col>
      <xdr:colOff>768350</xdr:colOff>
      <xdr:row>20</xdr:row>
      <xdr:rowOff>53975</xdr:rowOff>
    </xdr:from>
    <xdr:ext cx="4648200" cy="286702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93AB2565-8EF3-AD40-BFB3-E2719D76E7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 fLocksWithSheet="0"/>
  </xdr:oneCellAnchor>
  <xdr:oneCellAnchor>
    <xdr:from>
      <xdr:col>6</xdr:col>
      <xdr:colOff>396875</xdr:colOff>
      <xdr:row>20</xdr:row>
      <xdr:rowOff>3175</xdr:rowOff>
    </xdr:from>
    <xdr:ext cx="4705350" cy="2914650"/>
    <xdr:graphicFrame macro="">
      <xdr:nvGraphicFramePr>
        <xdr:cNvPr id="3" name="Chart 2" title="Chart">
          <a:extLst>
            <a:ext uri="{FF2B5EF4-FFF2-40B4-BE49-F238E27FC236}">
              <a16:creationId xmlns:a16="http://schemas.microsoft.com/office/drawing/2014/main" id="{3FB3F445-6408-D741-9C5E-7A4AD765F8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 fLocksWithSheet="0"/>
  </xdr:oneCellAnchor>
</xdr:wsDr>
</file>

<file path=xl/theme/theme1.xml><?xml version="1.0" encoding="utf-8"?>
<a:theme xmlns:a="http://purl.oclc.org/ooxml/drawingml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8" Type="http://purl.oclc.org/ooxml/officeDocument/relationships/hyperlink" Target="https://www.iso-ne.com/static-assets/documents/2020/12/a9_modeling_of_battery_storage_in_economic_studies.pdf" TargetMode="External"/><Relationship Id="rId13" Type="http://purl.oclc.org/ooxml/officeDocument/relationships/hyperlink" Target="https://gulfenergyinfo.com/h2tech/articles/2021/q3-2021/long-duration-h2-storage-in-solution-mined-salt-caverns-part-1" TargetMode="External"/><Relationship Id="rId18" Type="http://purl.oclc.org/ooxml/officeDocument/relationships/hyperlink" Target="https://www.irena.org/-/media/Files/IRENA/Agency/Publication/2020/Dec/IRENA_Green_hydrogen_cost_2020.pdf" TargetMode="External"/><Relationship Id="rId3" Type="http://purl.oclc.org/ooxml/officeDocument/relationships/hyperlink" Target="https://www.nrel.gov/state-local-tribal/blog/posts/stat-faqs-part2-lifetime-of-pv-panels.html" TargetMode="External"/><Relationship Id="rId7" Type="http://purl.oclc.org/ooxml/officeDocument/relationships/hyperlink" Target="https://www.iso-ne.com/static-assets/documents/2020/12/a9_modeling_of_battery_storage_in_economic_studies.pdf" TargetMode="External"/><Relationship Id="rId12" Type="http://purl.oclc.org/ooxml/officeDocument/relationships/hyperlink" Target="https://theicct.org/wp-content/uploads/2021/06/final_icct2020_assessment_of-_hydrogen_production_costs-v2.pdf" TargetMode="External"/><Relationship Id="rId17" Type="http://purl.oclc.org/ooxml/officeDocument/relationships/hyperlink" Target="https://www.irena.org/-/media/Files/IRENA/Agency/Publication/2020/Dec/IRENA_Green_hydrogen_cost_2020.pdf" TargetMode="External"/><Relationship Id="rId2" Type="http://purl.oclc.org/ooxml/officeDocument/relationships/hyperlink" Target="https://news.energysage.com/how-long-do-solar-panels-last/" TargetMode="External"/><Relationship Id="rId16" Type="http://purl.oclc.org/ooxml/officeDocument/relationships/hyperlink" Target="https://blog.modo.energy/battery-degradation-explained" TargetMode="External"/><Relationship Id="rId1" Type="http://purl.oclc.org/ooxml/officeDocument/relationships/hyperlink" Target="https://www.forbes.com/home-improvement/solar/solar-tax-credit-by-state/" TargetMode="External"/><Relationship Id="rId6" Type="http://purl.oclc.org/ooxml/officeDocument/relationships/hyperlink" Target="https://www.sciencedirect.com/science/article/abs/pii/S0306261921007212" TargetMode="External"/><Relationship Id="rId11" Type="http://purl.oclc.org/ooxml/officeDocument/relationships/hyperlink" Target="https://www.bakerbotts.com/thought-leadership/publications/2022/august/clean-hydrogen-and-fuel-cell-incentives-in-the-inflation-reduction-act-of-2022" TargetMode="External"/><Relationship Id="rId5" Type="http://purl.oclc.org/ooxml/officeDocument/relationships/hyperlink" Target="https://blog.modo.energy/battery-degradation-explained" TargetMode="External"/><Relationship Id="rId15" Type="http://purl.oclc.org/ooxml/officeDocument/relationships/hyperlink" Target="https://www.pnnl.gov/sites/default/files/media/file/Hydrogen_Methodology.pdf%20Table%201" TargetMode="External"/><Relationship Id="rId10" Type="http://purl.oclc.org/ooxml/officeDocument/relationships/hyperlink" Target="https://www.eia.gov/electricity/state/" TargetMode="External"/><Relationship Id="rId19" Type="http://purl.oclc.org/ooxml/officeDocument/relationships/drawing" Target="../drawings/drawing1.xml"/><Relationship Id="rId4" Type="http://purl.oclc.org/ooxml/officeDocument/relationships/hyperlink" Target="https://aurorasolar.com/blog/federal-tax-incentive-for-battery-storage/" TargetMode="External"/><Relationship Id="rId9" Type="http://purl.oclc.org/ooxml/officeDocument/relationships/hyperlink" Target="https://ieeexplore.ieee.org/document/9223659" TargetMode="External"/><Relationship Id="rId14" Type="http://purl.oclc.org/ooxml/officeDocument/relationships/hyperlink" Target="https://gulfenergyinfo.com/h2tech/articles/2021/q3-2021/long-duration-h2-storage-in-solution-mined-salt-caverns-part-1" TargetMode="External"/></Relationships>
</file>

<file path=xl/worksheets/_rels/sheet6.xml.rels><?xml version="1.0" encoding="UTF-8" standalone="yes"?>
<Relationships xmlns="http://schemas.openxmlformats.org/package/2006/relationships"><Relationship Id="rId13" Type="http://purl.oclc.org/ooxml/officeDocument/relationships/hyperlink" Target="https://www.eia.gov/electricity/state/idaho" TargetMode="External"/><Relationship Id="rId18" Type="http://purl.oclc.org/ooxml/officeDocument/relationships/hyperlink" Target="https://www.eia.gov/electricity/state/kentucky" TargetMode="External"/><Relationship Id="rId26" Type="http://purl.oclc.org/ooxml/officeDocument/relationships/hyperlink" Target="https://www.eia.gov/electricity/state/missouri" TargetMode="External"/><Relationship Id="rId39" Type="http://purl.oclc.org/ooxml/officeDocument/relationships/hyperlink" Target="https://www.eia.gov/electricity/state/pennsylvania" TargetMode="External"/><Relationship Id="rId21" Type="http://purl.oclc.org/ooxml/officeDocument/relationships/hyperlink" Target="https://www.eia.gov/electricity/state/maryland" TargetMode="External"/><Relationship Id="rId34" Type="http://purl.oclc.org/ooxml/officeDocument/relationships/hyperlink" Target="https://www.eia.gov/electricity/state/northcarolina" TargetMode="External"/><Relationship Id="rId42" Type="http://purl.oclc.org/ooxml/officeDocument/relationships/hyperlink" Target="https://www.eia.gov/electricity/state/southdakota" TargetMode="External"/><Relationship Id="rId47" Type="http://purl.oclc.org/ooxml/officeDocument/relationships/hyperlink" Target="https://www.eia.gov/electricity/state/virginia" TargetMode="External"/><Relationship Id="rId50" Type="http://purl.oclc.org/ooxml/officeDocument/relationships/hyperlink" Target="https://www.eia.gov/electricity/state/wisconsin" TargetMode="External"/><Relationship Id="rId7" Type="http://purl.oclc.org/ooxml/officeDocument/relationships/hyperlink" Target="https://www.eia.gov/electricity/state/connecticut" TargetMode="External"/><Relationship Id="rId2" Type="http://purl.oclc.org/ooxml/officeDocument/relationships/hyperlink" Target="https://www.eia.gov/electricity/state/alaska" TargetMode="External"/><Relationship Id="rId16" Type="http://purl.oclc.org/ooxml/officeDocument/relationships/hyperlink" Target="https://www.eia.gov/electricity/state/iowa" TargetMode="External"/><Relationship Id="rId29" Type="http://purl.oclc.org/ooxml/officeDocument/relationships/hyperlink" Target="https://www.eia.gov/electricity/state/nevada" TargetMode="External"/><Relationship Id="rId11" Type="http://purl.oclc.org/ooxml/officeDocument/relationships/hyperlink" Target="https://www.eia.gov/electricity/state/georgia" TargetMode="External"/><Relationship Id="rId24" Type="http://purl.oclc.org/ooxml/officeDocument/relationships/hyperlink" Target="https://www.eia.gov/electricity/state/minnesota" TargetMode="External"/><Relationship Id="rId32" Type="http://purl.oclc.org/ooxml/officeDocument/relationships/hyperlink" Target="https://www.eia.gov/electricity/state/newmexico" TargetMode="External"/><Relationship Id="rId37" Type="http://purl.oclc.org/ooxml/officeDocument/relationships/hyperlink" Target="https://www.eia.gov/electricity/state/oklahoma" TargetMode="External"/><Relationship Id="rId40" Type="http://purl.oclc.org/ooxml/officeDocument/relationships/hyperlink" Target="https://www.eia.gov/electricity/state/rhodeisland" TargetMode="External"/><Relationship Id="rId45" Type="http://purl.oclc.org/ooxml/officeDocument/relationships/hyperlink" Target="https://www.eia.gov/electricity/state/utah" TargetMode="External"/><Relationship Id="rId5" Type="http://purl.oclc.org/ooxml/officeDocument/relationships/hyperlink" Target="https://www.eia.gov/electricity/state/california" TargetMode="External"/><Relationship Id="rId15" Type="http://purl.oclc.org/ooxml/officeDocument/relationships/hyperlink" Target="https://www.eia.gov/electricity/state/indiana" TargetMode="External"/><Relationship Id="rId23" Type="http://purl.oclc.org/ooxml/officeDocument/relationships/hyperlink" Target="https://www.eia.gov/electricity/state/michigan" TargetMode="External"/><Relationship Id="rId28" Type="http://purl.oclc.org/ooxml/officeDocument/relationships/hyperlink" Target="https://www.eia.gov/electricity/state/nebraska" TargetMode="External"/><Relationship Id="rId36" Type="http://purl.oclc.org/ooxml/officeDocument/relationships/hyperlink" Target="https://www.eia.gov/electricity/state/ohio" TargetMode="External"/><Relationship Id="rId49" Type="http://purl.oclc.org/ooxml/officeDocument/relationships/hyperlink" Target="https://www.eia.gov/electricity/state/westvirginia" TargetMode="External"/><Relationship Id="rId10" Type="http://purl.oclc.org/ooxml/officeDocument/relationships/hyperlink" Target="https://www.eia.gov/electricity/state/florida" TargetMode="External"/><Relationship Id="rId19" Type="http://purl.oclc.org/ooxml/officeDocument/relationships/hyperlink" Target="https://www.eia.gov/electricity/state/louisiana" TargetMode="External"/><Relationship Id="rId31" Type="http://purl.oclc.org/ooxml/officeDocument/relationships/hyperlink" Target="https://www.eia.gov/electricity/state/newjersey" TargetMode="External"/><Relationship Id="rId44" Type="http://purl.oclc.org/ooxml/officeDocument/relationships/hyperlink" Target="https://www.eia.gov/electricity/state/texas" TargetMode="External"/><Relationship Id="rId52" Type="http://purl.oclc.org/ooxml/officeDocument/relationships/hyperlink" Target="https://www.eia.gov/electricity/state/unitedstates" TargetMode="External"/><Relationship Id="rId4" Type="http://purl.oclc.org/ooxml/officeDocument/relationships/hyperlink" Target="https://www.eia.gov/electricity/state/arkansas" TargetMode="External"/><Relationship Id="rId9" Type="http://purl.oclc.org/ooxml/officeDocument/relationships/hyperlink" Target="https://www.eia.gov/electricity/state/districtofcolumbia" TargetMode="External"/><Relationship Id="rId14" Type="http://purl.oclc.org/ooxml/officeDocument/relationships/hyperlink" Target="https://www.eia.gov/electricity/state/illinois" TargetMode="External"/><Relationship Id="rId22" Type="http://purl.oclc.org/ooxml/officeDocument/relationships/hyperlink" Target="https://www.eia.gov/electricity/state/massachusetts" TargetMode="External"/><Relationship Id="rId27" Type="http://purl.oclc.org/ooxml/officeDocument/relationships/hyperlink" Target="https://www.eia.gov/electricity/state/montana" TargetMode="External"/><Relationship Id="rId30" Type="http://purl.oclc.org/ooxml/officeDocument/relationships/hyperlink" Target="https://www.eia.gov/electricity/state/newhampshire" TargetMode="External"/><Relationship Id="rId35" Type="http://purl.oclc.org/ooxml/officeDocument/relationships/hyperlink" Target="https://www.eia.gov/electricity/state/northdakota" TargetMode="External"/><Relationship Id="rId43" Type="http://purl.oclc.org/ooxml/officeDocument/relationships/hyperlink" Target="https://www.eia.gov/electricity/state/tennessee" TargetMode="External"/><Relationship Id="rId48" Type="http://purl.oclc.org/ooxml/officeDocument/relationships/hyperlink" Target="https://www.eia.gov/electricity/state/washington" TargetMode="External"/><Relationship Id="rId8" Type="http://purl.oclc.org/ooxml/officeDocument/relationships/hyperlink" Target="https://www.eia.gov/electricity/state/delaware" TargetMode="External"/><Relationship Id="rId51" Type="http://purl.oclc.org/ooxml/officeDocument/relationships/hyperlink" Target="https://www.eia.gov/electricity/state/wyoming" TargetMode="External"/><Relationship Id="rId3" Type="http://purl.oclc.org/ooxml/officeDocument/relationships/hyperlink" Target="https://www.eia.gov/electricity/state/arizona" TargetMode="External"/><Relationship Id="rId12" Type="http://purl.oclc.org/ooxml/officeDocument/relationships/hyperlink" Target="https://www.eia.gov/electricity/state/hawaii" TargetMode="External"/><Relationship Id="rId17" Type="http://purl.oclc.org/ooxml/officeDocument/relationships/hyperlink" Target="https://www.eia.gov/electricity/state/kansas" TargetMode="External"/><Relationship Id="rId25" Type="http://purl.oclc.org/ooxml/officeDocument/relationships/hyperlink" Target="https://www.eia.gov/electricity/state/mississippi" TargetMode="External"/><Relationship Id="rId33" Type="http://purl.oclc.org/ooxml/officeDocument/relationships/hyperlink" Target="https://www.eia.gov/electricity/state/newyork" TargetMode="External"/><Relationship Id="rId38" Type="http://purl.oclc.org/ooxml/officeDocument/relationships/hyperlink" Target="https://www.eia.gov/electricity/state/oregon" TargetMode="External"/><Relationship Id="rId46" Type="http://purl.oclc.org/ooxml/officeDocument/relationships/hyperlink" Target="https://www.eia.gov/electricity/state/vermont" TargetMode="External"/><Relationship Id="rId20" Type="http://purl.oclc.org/ooxml/officeDocument/relationships/hyperlink" Target="https://www.eia.gov/electricity/state/maine" TargetMode="External"/><Relationship Id="rId41" Type="http://purl.oclc.org/ooxml/officeDocument/relationships/hyperlink" Target="https://www.eia.gov/electricity/state/southcarolina" TargetMode="External"/><Relationship Id="rId1" Type="http://purl.oclc.org/ooxml/officeDocument/relationships/hyperlink" Target="https://www.eia.gov/electricity/state/alabama" TargetMode="External"/><Relationship Id="rId6" Type="http://purl.oclc.org/ooxml/officeDocument/relationships/hyperlink" Target="https://www.eia.gov/electricity/state/colorado" TargetMode="External"/></Relationships>
</file>

<file path=xl/worksheets/_rels/sheet7.xml.rels><?xml version="1.0" encoding="UTF-8" standalone="yes"?>
<Relationships xmlns="http://schemas.openxmlformats.org/package/2006/relationships"><Relationship Id="rId8" Type="http://purl.oclc.org/ooxml/officeDocument/relationships/hyperlink" Target="https://www.nrel.gov/docs/fy21osti/77324.pdf%20table%2017" TargetMode="External"/><Relationship Id="rId3" Type="http://purl.oclc.org/ooxml/officeDocument/relationships/hyperlink" Target="https://www.nrel.gov/docs/fy21osti/77324.pdf%20table%2017" TargetMode="External"/><Relationship Id="rId7" Type="http://purl.oclc.org/ooxml/officeDocument/relationships/hyperlink" Target="https://www.nrel.gov/docs/fy21osti/77324.pdf%20table%2017" TargetMode="External"/><Relationship Id="rId2" Type="http://purl.oclc.org/ooxml/officeDocument/relationships/hyperlink" Target="https://www.electriccarpartscompany.com/163ah-calb-batteries-l173f163b" TargetMode="External"/><Relationship Id="rId1" Type="http://purl.oclc.org/ooxml/officeDocument/relationships/hyperlink" Target="https://www.nrel.gov/docs/fy14osti/58564.pdf%20page%20IV" TargetMode="External"/><Relationship Id="rId6" Type="http://purl.oclc.org/ooxml/officeDocument/relationships/hyperlink" Target="https://www.nrel.gov/docs/fy21osti/77324.pdf%20table%2017" TargetMode="External"/><Relationship Id="rId11" Type="http://purl.oclc.org/ooxml/officeDocument/relationships/hyperlink" Target="https://www.nrel.gov/docs/fy21osti/77324.pdf" TargetMode="External"/><Relationship Id="rId5" Type="http://purl.oclc.org/ooxml/officeDocument/relationships/hyperlink" Target="https://www.nrel.gov/docs/fy21osti/77324.pdf%20table%2017" TargetMode="External"/><Relationship Id="rId10" Type="http://purl.oclc.org/ooxml/officeDocument/relationships/hyperlink" Target="https://www.nrel.gov/docs/fy21osti/77324.pdf" TargetMode="External"/><Relationship Id="rId4" Type="http://purl.oclc.org/ooxml/officeDocument/relationships/hyperlink" Target="https://www.nrel.gov/docs/fy21osti/77324.pdf%20table%2017" TargetMode="External"/><Relationship Id="rId9" Type="http://purl.oclc.org/ooxml/officeDocument/relationships/hyperlink" Target="https://www.nrel.gov/docs/fy21osti/77324.pdf%20table%2017" TargetMode="External"/></Relationships>
</file>

<file path=xl/worksheets/_rels/sheet8.xml.rels><?xml version="1.0" encoding="UTF-8" standalone="yes"?>
<Relationships xmlns="http://schemas.openxmlformats.org/package/2006/relationships"><Relationship Id="rId3" Type="http://purl.oclc.org/ooxml/officeDocument/relationships/comments" Target="../comments1.xml"/><Relationship Id="rId2" Type="http://schemas.openxmlformats.org/officeDocument/2006/relationships/vmlDrawing" Target="../drawings/vmlDrawing1.vml"/><Relationship Id="rId1" Type="http://purl.oclc.org/ooxml/officeDocument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26" Type="http://purl.oclc.org/ooxml/officeDocument/relationships/hyperlink" Target="https://www.eia.gov/electricity/state/mississippi" TargetMode="External"/><Relationship Id="rId21" Type="http://purl.oclc.org/ooxml/officeDocument/relationships/hyperlink" Target="https://www.eia.gov/electricity/state/maine" TargetMode="External"/><Relationship Id="rId42" Type="http://purl.oclc.org/ooxml/officeDocument/relationships/hyperlink" Target="https://www.eia.gov/electricity/state/southcarolina" TargetMode="External"/><Relationship Id="rId47" Type="http://purl.oclc.org/ooxml/officeDocument/relationships/hyperlink" Target="https://www.eia.gov/electricity/state/vermont" TargetMode="External"/><Relationship Id="rId63" Type="http://purl.oclc.org/ooxml/officeDocument/relationships/hyperlink" Target="https://www.eia.gov/electricity/state/michigan" TargetMode="External"/><Relationship Id="rId68" Type="http://purl.oclc.org/ooxml/officeDocument/relationships/hyperlink" Target="https://www.eia.gov/electricity/state/pennsylvania" TargetMode="External"/><Relationship Id="rId16" Type="http://purl.oclc.org/ooxml/officeDocument/relationships/hyperlink" Target="https://www.eia.gov/electricity/state/indiana" TargetMode="External"/><Relationship Id="rId11" Type="http://purl.oclc.org/ooxml/officeDocument/relationships/hyperlink" Target="https://www.eia.gov/electricity/state/florida" TargetMode="External"/><Relationship Id="rId24" Type="http://purl.oclc.org/ooxml/officeDocument/relationships/hyperlink" Target="https://www.eia.gov/electricity/state/michigan" TargetMode="External"/><Relationship Id="rId32" Type="http://purl.oclc.org/ooxml/officeDocument/relationships/hyperlink" Target="https://www.eia.gov/electricity/state/newjersey" TargetMode="External"/><Relationship Id="rId37" Type="http://purl.oclc.org/ooxml/officeDocument/relationships/hyperlink" Target="https://www.eia.gov/electricity/state/ohio" TargetMode="External"/><Relationship Id="rId40" Type="http://purl.oclc.org/ooxml/officeDocument/relationships/hyperlink" Target="https://www.eia.gov/electricity/state/pennsylvania" TargetMode="External"/><Relationship Id="rId45" Type="http://purl.oclc.org/ooxml/officeDocument/relationships/hyperlink" Target="https://www.eia.gov/electricity/state/texas" TargetMode="External"/><Relationship Id="rId53" Type="http://purl.oclc.org/ooxml/officeDocument/relationships/hyperlink" Target="https://www.eia.gov/electricity/state/alaska" TargetMode="External"/><Relationship Id="rId58" Type="http://purl.oclc.org/ooxml/officeDocument/relationships/hyperlink" Target="https://www.eia.gov/electricity/state/georgia" TargetMode="External"/><Relationship Id="rId66" Type="http://purl.oclc.org/ooxml/officeDocument/relationships/hyperlink" Target="https://www.eia.gov/electricity/state/texas" TargetMode="External"/><Relationship Id="rId74" Type="http://purl.oclc.org/ooxml/officeDocument/relationships/hyperlink" Target="https://www.eia.gov/electricity/state/nebraska" TargetMode="External"/><Relationship Id="rId5" Type="http://purl.oclc.org/ooxml/officeDocument/relationships/hyperlink" Target="https://www.eia.gov/electricity/state/alaska" TargetMode="External"/><Relationship Id="rId61" Type="http://purl.oclc.org/ooxml/officeDocument/relationships/hyperlink" Target="https://www.eia.gov/electricity/state/louisiana" TargetMode="External"/><Relationship Id="rId19" Type="http://purl.oclc.org/ooxml/officeDocument/relationships/hyperlink" Target="https://www.eia.gov/electricity/state/kentucky" TargetMode="External"/><Relationship Id="rId14" Type="http://purl.oclc.org/ooxml/officeDocument/relationships/hyperlink" Target="https://www.eia.gov/electricity/state/idaho" TargetMode="External"/><Relationship Id="rId22" Type="http://purl.oclc.org/ooxml/officeDocument/relationships/hyperlink" Target="https://www.eia.gov/electricity/state/maryland" TargetMode="External"/><Relationship Id="rId27" Type="http://purl.oclc.org/ooxml/officeDocument/relationships/hyperlink" Target="https://www.eia.gov/electricity/state/missouri" TargetMode="External"/><Relationship Id="rId30" Type="http://purl.oclc.org/ooxml/officeDocument/relationships/hyperlink" Target="https://www.eia.gov/electricity/state/nevada" TargetMode="External"/><Relationship Id="rId35" Type="http://purl.oclc.org/ooxml/officeDocument/relationships/hyperlink" Target="https://www.eia.gov/electricity/state/northcarolina" TargetMode="External"/><Relationship Id="rId43" Type="http://purl.oclc.org/ooxml/officeDocument/relationships/hyperlink" Target="https://www.eia.gov/electricity/state/southdakota" TargetMode="External"/><Relationship Id="rId48" Type="http://purl.oclc.org/ooxml/officeDocument/relationships/hyperlink" Target="https://www.eia.gov/electricity/state/virginia" TargetMode="External"/><Relationship Id="rId56" Type="http://purl.oclc.org/ooxml/officeDocument/relationships/hyperlink" Target="https://www.eia.gov/electricity/state/colorado" TargetMode="External"/><Relationship Id="rId64" Type="http://purl.oclc.org/ooxml/officeDocument/relationships/hyperlink" Target="https://www.eia.gov/electricity/state/washington" TargetMode="External"/><Relationship Id="rId69" Type="http://purl.oclc.org/ooxml/officeDocument/relationships/hyperlink" Target="https://www.eia.gov/electricity/state/oregon" TargetMode="External"/><Relationship Id="rId77" Type="http://purl.oclc.org/ooxml/officeDocument/relationships/hyperlink" Target="https://www.eia.gov/electricity/state/missouri" TargetMode="External"/><Relationship Id="rId8" Type="http://purl.oclc.org/ooxml/officeDocument/relationships/hyperlink" Target="https://www.eia.gov/electricity/state/connecticut" TargetMode="External"/><Relationship Id="rId51" Type="http://purl.oclc.org/ooxml/officeDocument/relationships/hyperlink" Target="https://www.eia.gov/electricity/state/wisconsin" TargetMode="External"/><Relationship Id="rId72" Type="http://purl.oclc.org/ooxml/officeDocument/relationships/hyperlink" Target="https://www.eia.gov/electricity/state/newyork" TargetMode="External"/><Relationship Id="rId3" Type="http://purl.oclc.org/ooxml/officeDocument/relationships/hyperlink" Target="https://data.ca.gov/dataset/california-counties/resource/8302d20a-3bab-4687-9a32-b2c84b6ee603" TargetMode="External"/><Relationship Id="rId12" Type="http://purl.oclc.org/ooxml/officeDocument/relationships/hyperlink" Target="https://www.eia.gov/electricity/state/georgia" TargetMode="External"/><Relationship Id="rId17" Type="http://purl.oclc.org/ooxml/officeDocument/relationships/hyperlink" Target="https://www.eia.gov/electricity/state/iowa" TargetMode="External"/><Relationship Id="rId25" Type="http://purl.oclc.org/ooxml/officeDocument/relationships/hyperlink" Target="https://www.eia.gov/electricity/state/minnesota" TargetMode="External"/><Relationship Id="rId33" Type="http://purl.oclc.org/ooxml/officeDocument/relationships/hyperlink" Target="https://www.eia.gov/electricity/state/newmexico" TargetMode="External"/><Relationship Id="rId38" Type="http://purl.oclc.org/ooxml/officeDocument/relationships/hyperlink" Target="https://www.eia.gov/electricity/state/oklahoma" TargetMode="External"/><Relationship Id="rId46" Type="http://purl.oclc.org/ooxml/officeDocument/relationships/hyperlink" Target="https://www.eia.gov/electricity/state/utah" TargetMode="External"/><Relationship Id="rId59" Type="http://purl.oclc.org/ooxml/officeDocument/relationships/hyperlink" Target="https://www.eia.gov/electricity/state/idaho" TargetMode="External"/><Relationship Id="rId67" Type="http://purl.oclc.org/ooxml/officeDocument/relationships/hyperlink" Target="https://www.eia.gov/electricity/state/tennessee" TargetMode="External"/><Relationship Id="rId20" Type="http://purl.oclc.org/ooxml/officeDocument/relationships/hyperlink" Target="https://www.eia.gov/electricity/state/louisiana" TargetMode="External"/><Relationship Id="rId41" Type="http://purl.oclc.org/ooxml/officeDocument/relationships/hyperlink" Target="https://www.eia.gov/electricity/state/rhodeisland" TargetMode="External"/><Relationship Id="rId54" Type="http://purl.oclc.org/ooxml/officeDocument/relationships/hyperlink" Target="https://www.eia.gov/electricity/state/arizona" TargetMode="External"/><Relationship Id="rId62" Type="http://purl.oclc.org/ooxml/officeDocument/relationships/hyperlink" Target="https://www.eia.gov/electricity/state/massachusetts" TargetMode="External"/><Relationship Id="rId70" Type="http://purl.oclc.org/ooxml/officeDocument/relationships/hyperlink" Target="https://www.eia.gov/electricity/state/oklahoma" TargetMode="External"/><Relationship Id="rId75" Type="http://purl.oclc.org/ooxml/officeDocument/relationships/hyperlink" Target="https://www.eia.gov/electricity/state/northcarolina" TargetMode="External"/><Relationship Id="rId1" Type="http://purl.oclc.org/ooxml/officeDocument/relationships/hyperlink" Target="https://ww2.energy.ca.gov/almanac/renewables_data/solar/index_cms.php" TargetMode="External"/><Relationship Id="rId6" Type="http://purl.oclc.org/ooxml/officeDocument/relationships/hyperlink" Target="https://www.eia.gov/electricity/state/arkansas" TargetMode="External"/><Relationship Id="rId15" Type="http://purl.oclc.org/ooxml/officeDocument/relationships/hyperlink" Target="https://www.eia.gov/electricity/state/illinois" TargetMode="External"/><Relationship Id="rId23" Type="http://purl.oclc.org/ooxml/officeDocument/relationships/hyperlink" Target="https://www.eia.gov/electricity/state/massachusetts" TargetMode="External"/><Relationship Id="rId28" Type="http://purl.oclc.org/ooxml/officeDocument/relationships/hyperlink" Target="https://www.eia.gov/electricity/state/montana" TargetMode="External"/><Relationship Id="rId36" Type="http://purl.oclc.org/ooxml/officeDocument/relationships/hyperlink" Target="https://www.eia.gov/electricity/state/northdakota" TargetMode="External"/><Relationship Id="rId49" Type="http://purl.oclc.org/ooxml/officeDocument/relationships/hyperlink" Target="https://www.eia.gov/electricity/state/washington" TargetMode="External"/><Relationship Id="rId57" Type="http://purl.oclc.org/ooxml/officeDocument/relationships/hyperlink" Target="https://www.eia.gov/electricity/state/florida" TargetMode="External"/><Relationship Id="rId10" Type="http://purl.oclc.org/ooxml/officeDocument/relationships/hyperlink" Target="https://www.eia.gov/electricity/state/districtofcolumbia" TargetMode="External"/><Relationship Id="rId31" Type="http://purl.oclc.org/ooxml/officeDocument/relationships/hyperlink" Target="https://www.eia.gov/electricity/state/newhampshire" TargetMode="External"/><Relationship Id="rId44" Type="http://purl.oclc.org/ooxml/officeDocument/relationships/hyperlink" Target="https://www.eia.gov/electricity/state/tennessee" TargetMode="External"/><Relationship Id="rId52" Type="http://purl.oclc.org/ooxml/officeDocument/relationships/hyperlink" Target="https://www.eia.gov/electricity/state/wyoming" TargetMode="External"/><Relationship Id="rId60" Type="http://purl.oclc.org/ooxml/officeDocument/relationships/hyperlink" Target="https://www.eia.gov/electricity/state/kansas" TargetMode="External"/><Relationship Id="rId65" Type="http://purl.oclc.org/ooxml/officeDocument/relationships/hyperlink" Target="https://www.eia.gov/electricity/state/utah" TargetMode="External"/><Relationship Id="rId73" Type="http://purl.oclc.org/ooxml/officeDocument/relationships/hyperlink" Target="https://www.eia.gov/electricity/state/nevada" TargetMode="External"/><Relationship Id="rId78" Type="http://purl.oclc.org/ooxml/officeDocument/relationships/hyperlink" Target="https://www.eia.gov/electricity/state/maine" TargetMode="External"/><Relationship Id="rId4" Type="http://purl.oclc.org/ooxml/officeDocument/relationships/hyperlink" Target="https://www.eia.gov/electricity/state/alabama" TargetMode="External"/><Relationship Id="rId9" Type="http://purl.oclc.org/ooxml/officeDocument/relationships/hyperlink" Target="https://www.eia.gov/electricity/state/delaware" TargetMode="External"/><Relationship Id="rId13" Type="http://purl.oclc.org/ooxml/officeDocument/relationships/hyperlink" Target="https://www.eia.gov/electricity/state/hawaii" TargetMode="External"/><Relationship Id="rId18" Type="http://purl.oclc.org/ooxml/officeDocument/relationships/hyperlink" Target="https://www.eia.gov/electricity/state/kansas" TargetMode="External"/><Relationship Id="rId39" Type="http://purl.oclc.org/ooxml/officeDocument/relationships/hyperlink" Target="https://www.eia.gov/electricity/state/oregon" TargetMode="External"/><Relationship Id="rId34" Type="http://purl.oclc.org/ooxml/officeDocument/relationships/hyperlink" Target="https://www.eia.gov/electricity/state/newyork" TargetMode="External"/><Relationship Id="rId50" Type="http://purl.oclc.org/ooxml/officeDocument/relationships/hyperlink" Target="https://www.eia.gov/electricity/state/westvirginia" TargetMode="External"/><Relationship Id="rId55" Type="http://purl.oclc.org/ooxml/officeDocument/relationships/hyperlink" Target="https://www.eia.gov/electricity/state/california" TargetMode="External"/><Relationship Id="rId76" Type="http://purl.oclc.org/ooxml/officeDocument/relationships/hyperlink" Target="https://www.eia.gov/electricity/state/montana" TargetMode="External"/><Relationship Id="rId7" Type="http://purl.oclc.org/ooxml/officeDocument/relationships/hyperlink" Target="https://www.eia.gov/electricity/state/colorado" TargetMode="External"/><Relationship Id="rId71" Type="http://purl.oclc.org/ooxml/officeDocument/relationships/hyperlink" Target="https://www.eia.gov/electricity/state/ohio" TargetMode="External"/><Relationship Id="rId2" Type="http://purl.oclc.org/ooxml/officeDocument/relationships/hyperlink" Target="https://www.solardirect.com/archives/pv/systems/gts/gts-sizing-sun-hours.html" TargetMode="External"/><Relationship Id="rId29" Type="http://purl.oclc.org/ooxml/officeDocument/relationships/hyperlink" Target="https://www.eia.gov/electricity/state/nebraska" TargetMode="External"/></Relationships>
</file>

<file path=xl/worksheets/_rels/sheet12.xml.rels><?xml version="1.0" encoding="UTF-8" standalone="yes"?>
<Relationships xmlns="http://schemas.openxmlformats.org/package/2006/relationships"><Relationship Id="rId3" Type="http://purl.oclc.org/ooxml/officeDocument/relationships/hyperlink" Target="https://docs.google.com/spreadsheets/d/10w5yXdQtlQjTTS3BxPP233CiiBScIXecUp2OQuvJ_JI/edit" TargetMode="External"/><Relationship Id="rId2" Type="http://purl.oclc.org/ooxml/officeDocument/relationships/hyperlink" Target="https://medium.com/batterybits/comparison-of-open-datasets-for-lithium-ion-battery-testing-fd0de091ca2" TargetMode="External"/><Relationship Id="rId1" Type="http://purl.oclc.org/ooxml/officeDocument/relationships/hyperlink" Target="https://www.nrel.gov/transportation/battery-control-algorithms.html" TargetMode="External"/><Relationship Id="rId6" Type="http://purl.oclc.org/ooxml/officeDocument/relationships/hyperlink" Target="https://iopscience.iop.org/article/10.1149/1945-7111/abae37" TargetMode="External"/><Relationship Id="rId5" Type="http://purl.oclc.org/ooxml/officeDocument/relationships/hyperlink" Target="https://www.sandia.gov/energystoragesafety-ssl/research-development/research-data-repository/" TargetMode="External"/><Relationship Id="rId4" Type="http://purl.oclc.org/ooxml/officeDocument/relationships/hyperlink" Target="https://batteryuniversity.com/article/bu-413-charging-with-solar-turbine" TargetMode="External"/></Relationships>
</file>

<file path=xl/worksheets/_rels/sheet16.xml.rels><?xml version="1.0" encoding="UTF-8" standalone="yes"?>
<Relationships xmlns="http://schemas.openxmlformats.org/package/2006/relationships"><Relationship Id="rId3" Type="http://purl.oclc.org/ooxml/officeDocument/relationships/comments" Target="../comments2.xml"/><Relationship Id="rId2" Type="http://schemas.openxmlformats.org/officeDocument/2006/relationships/vmlDrawing" Target="../drawings/vmlDrawing2.vml"/><Relationship Id="rId1" Type="http://purl.oclc.org/ooxml/officeDocument/relationships/drawing" Target="../drawings/drawing3.xml"/></Relationships>
</file>

<file path=xl/worksheets/_rels/sheet24.xml.rels><?xml version="1.0" encoding="UTF-8" standalone="yes"?>
<Relationships xmlns="http://schemas.openxmlformats.org/package/2006/relationships"><Relationship Id="rId1" Type="http://purl.oclc.org/ooxml/officeDocument/relationships/drawing" Target="../drawings/drawing4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26AAF-6F33-7242-AF79-20A0C6645033}">
  <dimension ref="B2:B5"/>
  <sheetViews>
    <sheetView showGridLines="0" workbookViewId="0">
      <selection activeCell="B4" sqref="B4"/>
    </sheetView>
  </sheetViews>
  <sheetFormatPr baseColWidth="10" defaultRowHeight="16"/>
  <sheetData>
    <row r="2" spans="2:2">
      <c r="B2" s="15" t="s">
        <v>238</v>
      </c>
    </row>
    <row r="3" spans="2:2">
      <c r="B3" s="15" t="s">
        <v>239</v>
      </c>
    </row>
    <row r="4" spans="2:2">
      <c r="B4" s="15" t="s">
        <v>270</v>
      </c>
    </row>
    <row r="5" spans="2:2">
      <c r="B5" s="15" t="s">
        <v>271</v>
      </c>
    </row>
  </sheetData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2704E-7865-6943-AA58-9EFA04961EC6}">
  <dimension ref="B2"/>
  <sheetViews>
    <sheetView showGridLines="0" workbookViewId="0">
      <selection activeCell="B2" sqref="B2"/>
    </sheetView>
  </sheetViews>
  <sheetFormatPr baseColWidth="10" defaultRowHeight="16"/>
  <cols>
    <col min="1" max="1" width="6.33203125" customWidth="1"/>
  </cols>
  <sheetData>
    <row r="2" spans="2:2">
      <c r="B2" t="s">
        <v>1200</v>
      </c>
    </row>
  </sheetData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9CDC4-04B2-3B44-A73B-B43F1431ACD7}">
  <sheetPr codeName="Sheet7"/>
  <dimension ref="A1:H91"/>
  <sheetViews>
    <sheetView showGridLines="0" tabSelected="1" topLeftCell="C61" zoomScaleNormal="100" workbookViewId="0">
      <selection activeCell="F88" sqref="F88"/>
    </sheetView>
  </sheetViews>
  <sheetFormatPr baseColWidth="10" defaultColWidth="18.1640625" defaultRowHeight="16"/>
  <cols>
    <col min="1" max="1" width="51.5" style="41" bestFit="1" customWidth="1"/>
    <col min="2" max="2" width="28.33203125" style="41" bestFit="1" customWidth="1"/>
    <col min="3" max="3" width="36.1640625" style="41" customWidth="1"/>
    <col min="4" max="4" width="51" style="41" bestFit="1" customWidth="1"/>
    <col min="5" max="5" width="25.33203125" style="41" customWidth="1"/>
    <col min="6" max="6" width="72.1640625" style="41" customWidth="1"/>
    <col min="7" max="16384" width="18.1640625" style="41"/>
  </cols>
  <sheetData>
    <row r="1" spans="1:8">
      <c r="A1" s="304" t="s">
        <v>756</v>
      </c>
      <c r="F1" s="304" t="s">
        <v>320</v>
      </c>
      <c r="H1" s="44" t="s">
        <v>515</v>
      </c>
    </row>
    <row r="2" spans="1:8">
      <c r="A2" s="278" t="s">
        <v>772</v>
      </c>
      <c r="B2" s="42" t="s">
        <v>774</v>
      </c>
      <c r="F2" s="261" t="s">
        <v>862</v>
      </c>
      <c r="G2" s="29">
        <f>MAX(IF($B$11=2022,26%, 0%), IF($B$11=2023,22%, 0%))</f>
        <v>0.26</v>
      </c>
      <c r="H2" s="263" t="s">
        <v>729</v>
      </c>
    </row>
    <row r="3" spans="1:8">
      <c r="A3" s="42" t="s">
        <v>775</v>
      </c>
      <c r="B3" s="42" t="s">
        <v>773</v>
      </c>
      <c r="F3" s="261" t="s">
        <v>728</v>
      </c>
      <c r="G3" s="26">
        <v>25</v>
      </c>
      <c r="H3" s="263" t="s">
        <v>730</v>
      </c>
    </row>
    <row r="4" spans="1:8">
      <c r="F4" s="261" t="s">
        <v>759</v>
      </c>
      <c r="G4" s="29">
        <v>5.0000000000000001E-3</v>
      </c>
      <c r="H4" s="263" t="s">
        <v>731</v>
      </c>
    </row>
    <row r="5" spans="1:8">
      <c r="F5" s="261" t="s">
        <v>933</v>
      </c>
      <c r="G5" s="29">
        <v>0.02</v>
      </c>
      <c r="H5" s="42" t="s">
        <v>752</v>
      </c>
    </row>
    <row r="6" spans="1:8">
      <c r="A6" s="304" t="s">
        <v>725</v>
      </c>
      <c r="F6" s="261" t="s">
        <v>864</v>
      </c>
      <c r="G6" s="29">
        <v>0.1023</v>
      </c>
      <c r="H6" s="42" t="s">
        <v>875</v>
      </c>
    </row>
    <row r="7" spans="1:8">
      <c r="A7" s="261" t="s">
        <v>726</v>
      </c>
      <c r="B7" s="323">
        <v>8000</v>
      </c>
      <c r="F7" s="261" t="s">
        <v>935</v>
      </c>
      <c r="G7" s="291">
        <v>100000</v>
      </c>
      <c r="H7" s="42" t="s">
        <v>936</v>
      </c>
    </row>
    <row r="8" spans="1:8">
      <c r="A8" s="261" t="s">
        <v>19</v>
      </c>
      <c r="B8" s="29">
        <v>0.12</v>
      </c>
      <c r="F8" s="261"/>
    </row>
    <row r="9" spans="1:8">
      <c r="A9" s="261" t="s">
        <v>734</v>
      </c>
      <c r="B9" s="262">
        <v>20</v>
      </c>
      <c r="F9" s="261" t="s">
        <v>869</v>
      </c>
      <c r="G9" s="281">
        <f>ROUND(CapEx!$C$117,2)</f>
        <v>881000</v>
      </c>
      <c r="H9" s="42" t="s">
        <v>874</v>
      </c>
    </row>
    <row r="10" spans="1:8">
      <c r="A10" s="261" t="s">
        <v>760</v>
      </c>
      <c r="B10" s="262">
        <v>350</v>
      </c>
      <c r="F10" s="261" t="s">
        <v>868</v>
      </c>
      <c r="G10" s="281">
        <f>ROUND(CapEx!$D$117,2)</f>
        <v>0</v>
      </c>
      <c r="H10" s="42" t="s">
        <v>874</v>
      </c>
    </row>
    <row r="11" spans="1:8">
      <c r="A11" s="261" t="s">
        <v>865</v>
      </c>
      <c r="B11" s="262">
        <v>2022</v>
      </c>
      <c r="F11" s="261" t="s">
        <v>867</v>
      </c>
      <c r="G11" s="281">
        <f>ROUND(CapEx!$E$117,2)</f>
        <v>0</v>
      </c>
      <c r="H11" s="42" t="s">
        <v>874</v>
      </c>
    </row>
    <row r="12" spans="1:8">
      <c r="A12" s="261" t="s">
        <v>878</v>
      </c>
      <c r="B12" s="29">
        <v>2.92E-2</v>
      </c>
      <c r="C12" s="42" t="s">
        <v>879</v>
      </c>
      <c r="F12" s="261" t="s">
        <v>866</v>
      </c>
      <c r="G12" s="281">
        <f>ROUND(CapEx!$F$117,2)</f>
        <v>0</v>
      </c>
      <c r="H12" s="42" t="s">
        <v>874</v>
      </c>
    </row>
    <row r="14" spans="1:8">
      <c r="A14" s="304" t="s">
        <v>768</v>
      </c>
      <c r="B14" s="280" t="s">
        <v>733</v>
      </c>
      <c r="C14" s="280" t="s">
        <v>834</v>
      </c>
    </row>
    <row r="15" spans="1:8">
      <c r="A15" s="261" t="s">
        <v>733</v>
      </c>
      <c r="B15" s="260" t="s">
        <v>585</v>
      </c>
      <c r="C15" s="41" t="str">
        <f>INDEX('LCOE -- Solar'!$B$76:'LCOE -- Solar'!$B$200,MATCH($B$15,'LCOE -- Solar'!$A$76:'LCOE -- Solar'!$A$200,0))</f>
        <v>Arizona</v>
      </c>
      <c r="D15" s="319" t="s">
        <v>1127</v>
      </c>
      <c r="F15" s="304" t="s">
        <v>737</v>
      </c>
    </row>
    <row r="16" spans="1:8">
      <c r="A16" s="264" t="s">
        <v>1035</v>
      </c>
      <c r="B16" s="317">
        <f>ROUND(INDEX('LCOE -- Solar'!$I$76:'LCOE -- Solar'!$I$200,MATCH($B$15,'LCOE -- Solar'!$A$76:'LCOE -- Solar'!$A$200,0)),2)</f>
        <v>33.590000000000003</v>
      </c>
      <c r="F16" s="261" t="s">
        <v>880</v>
      </c>
      <c r="G16" s="281">
        <f>IF($B$18="Distribution SO", ROUND(CapEx!$C$43,2), IF($B$18="Transmission SO", ROUND(CapEx!$C$39,2), ROUND(CapEx!$C$55,2)))</f>
        <v>20000</v>
      </c>
      <c r="H16" s="42" t="s">
        <v>874</v>
      </c>
    </row>
    <row r="17" spans="1:8">
      <c r="A17" s="264" t="s">
        <v>736</v>
      </c>
      <c r="B17" s="41">
        <f>INDEX('LCOE -- Solar'!$E$76:'LCOE -- Solar'!$E$200,MATCH($B$15,'LCOE -- Solar'!$A$76:'LCOE -- Solar'!$A$200,0))</f>
        <v>6.58</v>
      </c>
      <c r="F17" s="261" t="s">
        <v>881</v>
      </c>
      <c r="G17" s="281">
        <f>IF($B$18="Distribution SO", ROUND(CapEx!$D$43,2), IF($B$18="Transmission SO", ROUND(CapEx!$D$39,2), ROUND(CapEx!$D$55,2)))</f>
        <v>0</v>
      </c>
      <c r="H17" s="42" t="s">
        <v>874</v>
      </c>
    </row>
    <row r="18" spans="1:8">
      <c r="A18" s="261" t="s">
        <v>735</v>
      </c>
      <c r="B18" s="260" t="s">
        <v>745</v>
      </c>
      <c r="F18" s="261" t="s">
        <v>882</v>
      </c>
      <c r="G18" s="281">
        <f>IF($B$18="Distribution SO", ROUND(CapEx!$E$43,2), IF($B$18="Transmission SO", ROUND(CapEx!$E$39,2), ROUND(CapEx!$E$55,2)))</f>
        <v>0</v>
      </c>
      <c r="H18" s="42" t="s">
        <v>874</v>
      </c>
    </row>
    <row r="19" spans="1:8">
      <c r="A19" s="261" t="s">
        <v>861</v>
      </c>
      <c r="B19" s="41">
        <f>INDEX('Electricity Rates'!$F$5:'Electricity Rates'!$F$55,MATCH($C$15,'Electricity Rates'!$A$5:'Electricity Rates'!$A$55,0))</f>
        <v>0.55000000000000004</v>
      </c>
      <c r="C19" s="263" t="s">
        <v>776</v>
      </c>
      <c r="F19" s="261" t="s">
        <v>883</v>
      </c>
      <c r="G19" s="281">
        <f>IF($B$18="Distribution SO", ROUND(CapEx!$F$43,2), IF($B$18="Transmission SO", ROUND(CapEx!$F$39,2), ROUND(CapEx!$F$55,2)))</f>
        <v>21280</v>
      </c>
      <c r="H19" s="42" t="s">
        <v>874</v>
      </c>
    </row>
    <row r="20" spans="1:8">
      <c r="A20" s="261"/>
      <c r="C20" s="263"/>
      <c r="F20" s="261" t="s">
        <v>1019</v>
      </c>
      <c r="G20" s="315">
        <v>0.06</v>
      </c>
      <c r="H20" s="42" t="s">
        <v>1112</v>
      </c>
    </row>
    <row r="21" spans="1:8" ht="19">
      <c r="A21" s="261"/>
      <c r="B21" s="45"/>
    </row>
    <row r="22" spans="1:8">
      <c r="A22" s="304" t="s">
        <v>769</v>
      </c>
      <c r="B22" s="42"/>
      <c r="F22" s="261" t="s">
        <v>998</v>
      </c>
      <c r="G22" s="289">
        <f>202*1.3</f>
        <v>262.60000000000002</v>
      </c>
      <c r="H22" s="42" t="s">
        <v>923</v>
      </c>
    </row>
    <row r="23" spans="1:8">
      <c r="A23" s="261" t="s">
        <v>31</v>
      </c>
      <c r="B23" s="27">
        <v>0.2</v>
      </c>
      <c r="F23" s="261" t="s">
        <v>999</v>
      </c>
      <c r="G23" s="289">
        <f>ROUND((1000*(28.04 + 3.13)/12)/$B$39,2)</f>
        <v>324.69</v>
      </c>
      <c r="H23" s="42" t="s">
        <v>922</v>
      </c>
    </row>
    <row r="24" spans="1:8">
      <c r="A24" s="261" t="s">
        <v>36</v>
      </c>
      <c r="B24" s="27">
        <v>0.08</v>
      </c>
      <c r="D24" s="112"/>
      <c r="F24" s="261" t="s">
        <v>997</v>
      </c>
      <c r="G24" s="281">
        <f>'Grid + solar + CAISO'!B19</f>
        <v>55.01</v>
      </c>
      <c r="H24" s="42" t="s">
        <v>925</v>
      </c>
    </row>
    <row r="25" spans="1:8">
      <c r="A25" s="261" t="s">
        <v>35</v>
      </c>
      <c r="B25" s="27">
        <v>0.8</v>
      </c>
      <c r="C25" s="43"/>
      <c r="D25" s="112"/>
      <c r="E25" s="26"/>
      <c r="F25" s="261"/>
    </row>
    <row r="26" spans="1:8">
      <c r="A26" s="261" t="s">
        <v>37</v>
      </c>
      <c r="B26" s="274">
        <v>0.12</v>
      </c>
      <c r="D26" s="112"/>
      <c r="E26" s="100"/>
      <c r="F26" s="261" t="s">
        <v>930</v>
      </c>
      <c r="G26" s="265">
        <f>IF($B$18=CapEx!D3,G22+G23,G24)</f>
        <v>587.29</v>
      </c>
      <c r="H26" s="319" t="s">
        <v>1121</v>
      </c>
    </row>
    <row r="27" spans="1:8">
      <c r="A27" s="261" t="s">
        <v>38</v>
      </c>
      <c r="B27" s="275">
        <v>0.11</v>
      </c>
      <c r="D27" s="112"/>
      <c r="E27" s="26"/>
      <c r="F27" s="261" t="s">
        <v>931</v>
      </c>
      <c r="G27" s="265">
        <f>G26*B19</f>
        <v>323.0095</v>
      </c>
    </row>
    <row r="28" spans="1:8">
      <c r="D28" s="112"/>
      <c r="E28" s="269"/>
    </row>
    <row r="29" spans="1:8">
      <c r="A29" s="304" t="s">
        <v>771</v>
      </c>
      <c r="D29" s="112"/>
      <c r="E29" s="270"/>
      <c r="F29" s="304" t="s">
        <v>101</v>
      </c>
      <c r="H29" s="44" t="s">
        <v>515</v>
      </c>
    </row>
    <row r="30" spans="1:8" ht="17" thickBot="1">
      <c r="A30" s="261" t="s">
        <v>34</v>
      </c>
      <c r="B30" s="271">
        <v>20</v>
      </c>
      <c r="D30" s="112"/>
      <c r="E30" s="271"/>
      <c r="F30" s="261" t="s">
        <v>863</v>
      </c>
      <c r="G30" s="29">
        <f>MAX(IF($B$11=2022,26%, 0%), IF($B$11=2023,22%, 0%))</f>
        <v>0.26</v>
      </c>
      <c r="H30" s="263" t="s">
        <v>732</v>
      </c>
    </row>
    <row r="31" spans="1:8" ht="17" thickBot="1">
      <c r="A31" s="261" t="s">
        <v>33</v>
      </c>
      <c r="B31" s="276" t="s">
        <v>114</v>
      </c>
      <c r="C31" s="47"/>
      <c r="D31" s="112"/>
      <c r="E31" s="272"/>
      <c r="F31" s="261" t="s">
        <v>742</v>
      </c>
      <c r="G31" s="262">
        <f>ROUND(80/150.9,2)</f>
        <v>0.53</v>
      </c>
      <c r="H31" s="266" t="s">
        <v>741</v>
      </c>
    </row>
    <row r="32" spans="1:8">
      <c r="A32" s="261" t="s">
        <v>32</v>
      </c>
      <c r="B32" s="26">
        <v>10</v>
      </c>
      <c r="C32" s="47"/>
      <c r="D32" s="112"/>
      <c r="E32" s="112"/>
      <c r="F32" s="261" t="s">
        <v>758</v>
      </c>
      <c r="G32" s="29">
        <v>0.02</v>
      </c>
      <c r="H32" s="263" t="s">
        <v>751</v>
      </c>
    </row>
    <row r="33" spans="1:8">
      <c r="A33" s="261" t="s">
        <v>39</v>
      </c>
      <c r="B33" s="27">
        <v>0.21</v>
      </c>
      <c r="C33" s="47"/>
      <c r="D33" s="273"/>
      <c r="E33" s="112"/>
      <c r="F33" s="261" t="s">
        <v>750</v>
      </c>
      <c r="G33" s="29">
        <v>0.96</v>
      </c>
      <c r="H33" s="42" t="s">
        <v>753</v>
      </c>
    </row>
    <row r="34" spans="1:8">
      <c r="A34"/>
      <c r="B34" s="51"/>
      <c r="C34" s="47"/>
      <c r="D34" s="273"/>
      <c r="E34" s="112"/>
      <c r="F34" s="261" t="s">
        <v>754</v>
      </c>
      <c r="G34" s="29">
        <v>0.1</v>
      </c>
      <c r="H34" s="42" t="s">
        <v>763</v>
      </c>
    </row>
    <row r="35" spans="1:8">
      <c r="A35"/>
      <c r="B35" s="51"/>
      <c r="C35" s="47"/>
      <c r="D35" s="112"/>
      <c r="E35" s="112"/>
      <c r="F35" s="261" t="s">
        <v>755</v>
      </c>
      <c r="G35" s="29">
        <v>0.9</v>
      </c>
      <c r="H35" s="42" t="s">
        <v>763</v>
      </c>
    </row>
    <row r="36" spans="1:8">
      <c r="A36" s="304" t="s">
        <v>911</v>
      </c>
      <c r="F36" s="261" t="s">
        <v>764</v>
      </c>
      <c r="G36" s="277">
        <f>G35-G34</f>
        <v>0.8</v>
      </c>
    </row>
    <row r="37" spans="1:8">
      <c r="A37" s="261" t="s">
        <v>913</v>
      </c>
      <c r="B37" s="260" t="s">
        <v>921</v>
      </c>
      <c r="C37" s="42" t="s">
        <v>912</v>
      </c>
      <c r="F37" s="261" t="s">
        <v>761</v>
      </c>
      <c r="G37" s="29">
        <v>0.7</v>
      </c>
      <c r="H37" s="42" t="s">
        <v>762</v>
      </c>
    </row>
    <row r="38" spans="1:8">
      <c r="A38" s="261" t="s">
        <v>914</v>
      </c>
      <c r="B38" s="265">
        <f>-IF($B$37=B40, 3, IF($B$37=B41, 1, IF($B$37=B42, 0.75, IF($B$37=B43, 0.6, 0))))</f>
        <v>0</v>
      </c>
      <c r="F38" s="261" t="s">
        <v>766</v>
      </c>
      <c r="G38" s="51">
        <f>ROUND(1/G37,2)</f>
        <v>1.43</v>
      </c>
    </row>
    <row r="39" spans="1:8">
      <c r="A39" s="261" t="s">
        <v>919</v>
      </c>
      <c r="B39" s="268">
        <f>'Final Numerics'!C6</f>
        <v>8</v>
      </c>
      <c r="C39" s="47" t="s">
        <v>920</v>
      </c>
      <c r="F39" s="261" t="s">
        <v>765</v>
      </c>
      <c r="G39" s="26">
        <v>1</v>
      </c>
      <c r="H39" s="42" t="s">
        <v>860</v>
      </c>
    </row>
    <row r="40" spans="1:8">
      <c r="A40"/>
      <c r="B40" s="51" t="s">
        <v>916</v>
      </c>
      <c r="F40" s="261" t="s">
        <v>767</v>
      </c>
      <c r="G40" s="26">
        <v>8</v>
      </c>
      <c r="H40" s="42" t="s">
        <v>858</v>
      </c>
    </row>
    <row r="41" spans="1:8">
      <c r="B41" s="51" t="s">
        <v>915</v>
      </c>
      <c r="F41" s="261" t="s">
        <v>770</v>
      </c>
      <c r="G41" s="26">
        <v>0.9</v>
      </c>
      <c r="H41" s="42" t="s">
        <v>859</v>
      </c>
    </row>
    <row r="42" spans="1:8">
      <c r="B42" s="51" t="s">
        <v>917</v>
      </c>
      <c r="D42" s="112"/>
      <c r="E42" s="275"/>
      <c r="F42" s="261" t="s">
        <v>877</v>
      </c>
      <c r="G42" s="29">
        <v>6.5600000000000006E-2</v>
      </c>
      <c r="H42" s="42" t="s">
        <v>876</v>
      </c>
    </row>
    <row r="43" spans="1:8">
      <c r="B43" s="51" t="s">
        <v>918</v>
      </c>
      <c r="F43" s="261" t="s">
        <v>974</v>
      </c>
      <c r="G43" s="26">
        <v>10</v>
      </c>
      <c r="H43" s="263" t="s">
        <v>738</v>
      </c>
    </row>
    <row r="44" spans="1:8">
      <c r="B44" s="51" t="s">
        <v>921</v>
      </c>
    </row>
    <row r="45" spans="1:8">
      <c r="B45" s="42"/>
      <c r="C45" s="42"/>
      <c r="F45" s="261" t="s">
        <v>872</v>
      </c>
      <c r="G45" s="281">
        <f>ROUND(CapEx!$C$104,2)</f>
        <v>810868.89</v>
      </c>
      <c r="H45" s="282" t="s">
        <v>874</v>
      </c>
    </row>
    <row r="46" spans="1:8">
      <c r="A46" s="304" t="s">
        <v>29</v>
      </c>
      <c r="B46" s="254" t="s">
        <v>517</v>
      </c>
      <c r="C46" s="254" t="s">
        <v>515</v>
      </c>
      <c r="F46" s="261" t="s">
        <v>873</v>
      </c>
      <c r="G46" s="281">
        <f>ROUND(CapEx!$D$104,2)</f>
        <v>0</v>
      </c>
      <c r="H46" s="282" t="s">
        <v>874</v>
      </c>
    </row>
    <row r="47" spans="1:8">
      <c r="A47" s="261" t="s">
        <v>739</v>
      </c>
      <c r="B47" s="261" t="s">
        <v>740</v>
      </c>
      <c r="C47" s="263" t="s">
        <v>738</v>
      </c>
      <c r="D47" s="42"/>
      <c r="E47" s="42"/>
      <c r="F47" s="261" t="s">
        <v>870</v>
      </c>
      <c r="G47" s="281">
        <f>ROUND(CapEx!$E$104,2)</f>
        <v>57277.48</v>
      </c>
      <c r="H47" s="282" t="s">
        <v>874</v>
      </c>
    </row>
    <row r="48" spans="1:8">
      <c r="A48" s="261" t="s">
        <v>747</v>
      </c>
      <c r="B48" s="261"/>
      <c r="C48" s="263" t="s">
        <v>749</v>
      </c>
      <c r="D48" s="42"/>
      <c r="E48" s="42"/>
      <c r="F48" s="261" t="s">
        <v>871</v>
      </c>
      <c r="G48" s="281">
        <f>ROUND(CapEx!$F$104,2)</f>
        <v>250000</v>
      </c>
      <c r="H48" s="282" t="s">
        <v>874</v>
      </c>
    </row>
    <row r="49" spans="1:8">
      <c r="A49" s="261" t="s">
        <v>748</v>
      </c>
      <c r="B49" s="261"/>
      <c r="C49" s="266" t="s">
        <v>749</v>
      </c>
      <c r="D49" s="46"/>
      <c r="E49" s="42"/>
      <c r="F49" s="42"/>
      <c r="G49" s="42"/>
      <c r="H49" s="42"/>
    </row>
    <row r="50" spans="1:8">
      <c r="A50" s="261"/>
      <c r="B50" s="261"/>
      <c r="C50" s="266"/>
      <c r="D50" s="46"/>
      <c r="E50" s="42"/>
      <c r="F50" s="261" t="s">
        <v>1039</v>
      </c>
      <c r="G50" s="268">
        <f>'Final Numerics'!C25</f>
        <v>111.04</v>
      </c>
      <c r="H50" s="42"/>
    </row>
    <row r="51" spans="1:8">
      <c r="A51" s="261"/>
      <c r="B51" s="261"/>
      <c r="C51" s="266"/>
      <c r="D51" s="46"/>
      <c r="E51" s="42"/>
      <c r="F51" s="312" t="s">
        <v>1040</v>
      </c>
      <c r="G51" s="42"/>
      <c r="H51" s="42"/>
    </row>
    <row r="52" spans="1:8" s="240" customFormat="1" ht="19" customHeight="1">
      <c r="F52" s="304" t="s">
        <v>104</v>
      </c>
      <c r="G52" s="42"/>
      <c r="H52" s="42"/>
    </row>
    <row r="53" spans="1:8" s="42" customFormat="1">
      <c r="A53" s="304" t="s">
        <v>889</v>
      </c>
      <c r="F53" s="261" t="s">
        <v>900</v>
      </c>
      <c r="G53" s="26">
        <v>70000</v>
      </c>
      <c r="H53" s="42" t="s">
        <v>884</v>
      </c>
    </row>
    <row r="54" spans="1:8">
      <c r="A54" s="261" t="s">
        <v>228</v>
      </c>
      <c r="B54" s="3">
        <v>33.6</v>
      </c>
      <c r="F54" s="261" t="s">
        <v>901</v>
      </c>
      <c r="G54" s="286">
        <v>0.8</v>
      </c>
      <c r="H54" s="42" t="s">
        <v>890</v>
      </c>
    </row>
    <row r="55" spans="1:8">
      <c r="F55" s="261" t="s">
        <v>885</v>
      </c>
      <c r="G55" s="284">
        <f>ROUND(G53/(B10*24*G54),0)</f>
        <v>10</v>
      </c>
    </row>
    <row r="56" spans="1:8">
      <c r="F56" s="261" t="s">
        <v>886</v>
      </c>
      <c r="G56" s="29">
        <v>0.3</v>
      </c>
      <c r="H56" s="263" t="s">
        <v>887</v>
      </c>
    </row>
    <row r="57" spans="1:8">
      <c r="F57" s="261" t="s">
        <v>893</v>
      </c>
      <c r="G57" s="29">
        <v>0.6</v>
      </c>
      <c r="H57" s="263" t="s">
        <v>891</v>
      </c>
    </row>
    <row r="58" spans="1:8" ht="21">
      <c r="F58" s="261" t="s">
        <v>902</v>
      </c>
      <c r="G58" s="4">
        <f>B54/G57</f>
        <v>56.000000000000007</v>
      </c>
      <c r="H58" s="240"/>
    </row>
    <row r="59" spans="1:8">
      <c r="F59" s="261" t="s">
        <v>1105</v>
      </c>
      <c r="G59" s="285">
        <f>(1-G54)/G55</f>
        <v>1.9999999999999997E-2</v>
      </c>
      <c r="H59" s="287" t="s">
        <v>892</v>
      </c>
    </row>
    <row r="60" spans="1:8">
      <c r="A60" s="304" t="s">
        <v>987</v>
      </c>
      <c r="F60" s="261" t="s">
        <v>926</v>
      </c>
      <c r="G60" s="290">
        <v>0.01</v>
      </c>
      <c r="H60" s="42" t="s">
        <v>1016</v>
      </c>
    </row>
    <row r="61" spans="1:8">
      <c r="A61" s="302" t="s">
        <v>990</v>
      </c>
      <c r="B61" s="260">
        <v>1</v>
      </c>
      <c r="F61" s="261" t="s">
        <v>1100</v>
      </c>
      <c r="G61" s="290">
        <v>0.06</v>
      </c>
      <c r="H61" s="37" t="s">
        <v>1106</v>
      </c>
    </row>
    <row r="62" spans="1:8">
      <c r="A62" s="302" t="s">
        <v>989</v>
      </c>
      <c r="B62" s="260">
        <v>1</v>
      </c>
      <c r="F62" s="261" t="s">
        <v>898</v>
      </c>
      <c r="G62" s="281">
        <f>ROUND(CapEx!$C$85,2)</f>
        <v>1587501.8</v>
      </c>
      <c r="H62" s="282" t="s">
        <v>874</v>
      </c>
    </row>
    <row r="63" spans="1:8">
      <c r="A63" s="302" t="s">
        <v>988</v>
      </c>
      <c r="B63" s="260">
        <v>1</v>
      </c>
      <c r="F63" s="261" t="s">
        <v>899</v>
      </c>
      <c r="G63" s="281">
        <f>ROUND(CapEx!$D$85,2)</f>
        <v>1081500</v>
      </c>
      <c r="H63" s="282" t="s">
        <v>874</v>
      </c>
    </row>
    <row r="64" spans="1:8">
      <c r="A64" s="302" t="s">
        <v>991</v>
      </c>
      <c r="B64" s="260">
        <v>1</v>
      </c>
      <c r="F64" s="261" t="s">
        <v>894</v>
      </c>
      <c r="G64" s="281">
        <f>ROUND(CapEx!$E$85,2)</f>
        <v>48530.97</v>
      </c>
      <c r="H64" s="282" t="s">
        <v>874</v>
      </c>
    </row>
    <row r="65" spans="6:8">
      <c r="F65" s="261" t="s">
        <v>895</v>
      </c>
      <c r="G65" s="281">
        <f>ROUND(CapEx!$F$85,2)</f>
        <v>848686.4</v>
      </c>
      <c r="H65" s="282" t="s">
        <v>874</v>
      </c>
    </row>
    <row r="66" spans="6:8">
      <c r="F66" s="261" t="s">
        <v>1103</v>
      </c>
      <c r="G66" s="290">
        <v>0.12</v>
      </c>
      <c r="H66" s="37" t="s">
        <v>1104</v>
      </c>
    </row>
    <row r="68" spans="6:8">
      <c r="F68" s="261"/>
      <c r="G68" s="75"/>
      <c r="H68" s="24"/>
    </row>
    <row r="69" spans="6:8">
      <c r="F69" s="304" t="s">
        <v>888</v>
      </c>
    </row>
    <row r="70" spans="6:8">
      <c r="F70" s="261" t="s">
        <v>896</v>
      </c>
      <c r="G70" s="29">
        <v>0</v>
      </c>
      <c r="H70" s="263" t="s">
        <v>904</v>
      </c>
    </row>
    <row r="71" spans="6:8">
      <c r="F71" s="261" t="s">
        <v>897</v>
      </c>
      <c r="G71" s="283">
        <f>B30</f>
        <v>20</v>
      </c>
      <c r="H71" s="282" t="s">
        <v>932</v>
      </c>
    </row>
    <row r="72" spans="6:8">
      <c r="F72" s="261" t="s">
        <v>903</v>
      </c>
      <c r="G72" s="29">
        <v>0.82499999999999996</v>
      </c>
      <c r="H72" s="263" t="s">
        <v>904</v>
      </c>
    </row>
    <row r="73" spans="6:8">
      <c r="F73" s="261" t="s">
        <v>928</v>
      </c>
      <c r="G73" s="29">
        <v>0.02</v>
      </c>
      <c r="H73" s="263" t="s">
        <v>929</v>
      </c>
    </row>
    <row r="74" spans="6:8">
      <c r="F74" s="261"/>
    </row>
    <row r="75" spans="6:8">
      <c r="F75" s="261" t="s">
        <v>909</v>
      </c>
      <c r="G75" s="281">
        <f>ROUND(CapEx!$C$122,2)/$B$7</f>
        <v>490.57008000000002</v>
      </c>
      <c r="H75" s="282" t="s">
        <v>874</v>
      </c>
    </row>
    <row r="76" spans="6:8">
      <c r="F76" s="261" t="s">
        <v>910</v>
      </c>
      <c r="G76" s="281">
        <f>ROUND(CapEx!$D$122,2)/$B$7</f>
        <v>0</v>
      </c>
      <c r="H76" s="282" t="s">
        <v>874</v>
      </c>
    </row>
    <row r="77" spans="6:8">
      <c r="F77" s="261" t="s">
        <v>905</v>
      </c>
      <c r="G77" s="281">
        <f>ROUND(CapEx!$E$122,2)/$B$7</f>
        <v>0</v>
      </c>
      <c r="H77" s="282" t="s">
        <v>874</v>
      </c>
    </row>
    <row r="78" spans="6:8">
      <c r="F78" s="261" t="s">
        <v>906</v>
      </c>
      <c r="G78" s="281">
        <f>ROUND(CapEx!$F$122,2)/$B$7</f>
        <v>0</v>
      </c>
      <c r="H78" s="282" t="s">
        <v>874</v>
      </c>
    </row>
    <row r="81" spans="1:7">
      <c r="A81" s="254" t="s">
        <v>757</v>
      </c>
      <c r="B81" s="254" t="s">
        <v>0</v>
      </c>
      <c r="C81" s="254" t="s">
        <v>1</v>
      </c>
      <c r="D81" s="254" t="s">
        <v>108</v>
      </c>
      <c r="E81" s="254" t="s">
        <v>109</v>
      </c>
      <c r="F81" s="254" t="s">
        <v>110</v>
      </c>
      <c r="G81" s="254" t="s">
        <v>111</v>
      </c>
    </row>
    <row r="82" spans="1:7">
      <c r="A82" s="261" t="s">
        <v>107</v>
      </c>
      <c r="B82" s="48">
        <v>0.2</v>
      </c>
      <c r="C82" s="48">
        <v>0.32</v>
      </c>
      <c r="D82" s="49">
        <v>0.192</v>
      </c>
      <c r="E82" s="49">
        <v>0.115</v>
      </c>
      <c r="F82" s="49">
        <v>0.115</v>
      </c>
      <c r="G82" s="49">
        <v>5.8000000000000003E-2</v>
      </c>
    </row>
    <row r="83" spans="1:7">
      <c r="A83" s="261" t="s">
        <v>104</v>
      </c>
      <c r="B83" s="48">
        <v>0.2</v>
      </c>
      <c r="C83" s="48">
        <v>0.32</v>
      </c>
      <c r="D83" s="49">
        <v>0.192</v>
      </c>
      <c r="E83" s="49">
        <v>0.115</v>
      </c>
      <c r="F83" s="49">
        <v>0.115</v>
      </c>
      <c r="G83" s="49">
        <v>5.8000000000000003E-2</v>
      </c>
    </row>
    <row r="84" spans="1:7">
      <c r="A84" s="261" t="s">
        <v>112</v>
      </c>
      <c r="B84" s="48">
        <v>0.2</v>
      </c>
      <c r="C84" s="48">
        <v>0.32</v>
      </c>
      <c r="D84" s="49">
        <v>0.192</v>
      </c>
      <c r="E84" s="49">
        <v>0.115</v>
      </c>
      <c r="F84" s="49">
        <v>0.115</v>
      </c>
      <c r="G84" s="49">
        <v>5.8000000000000003E-2</v>
      </c>
    </row>
    <row r="85" spans="1:7">
      <c r="A85" s="261" t="s">
        <v>113</v>
      </c>
      <c r="B85" s="48">
        <v>0.2</v>
      </c>
      <c r="C85" s="48">
        <v>0.32</v>
      </c>
      <c r="D85" s="49">
        <v>0.192</v>
      </c>
      <c r="E85" s="49">
        <v>0.115</v>
      </c>
      <c r="F85" s="49">
        <v>0.115</v>
      </c>
      <c r="G85" s="49">
        <v>5.8000000000000003E-2</v>
      </c>
    </row>
    <row r="86" spans="1:7">
      <c r="A86" s="261" t="s">
        <v>105</v>
      </c>
      <c r="B86" s="48">
        <v>0.2</v>
      </c>
      <c r="C86" s="48">
        <v>0.32</v>
      </c>
      <c r="D86" s="49">
        <v>0.192</v>
      </c>
      <c r="E86" s="49">
        <v>0.115</v>
      </c>
      <c r="F86" s="49">
        <v>0.115</v>
      </c>
      <c r="G86" s="49">
        <v>5.8000000000000003E-2</v>
      </c>
    </row>
    <row r="87" spans="1:7">
      <c r="A87" s="261" t="s">
        <v>101</v>
      </c>
      <c r="B87" s="48">
        <v>0.2</v>
      </c>
      <c r="C87" s="48">
        <v>0.32</v>
      </c>
      <c r="D87" s="49">
        <v>0.192</v>
      </c>
      <c r="E87" s="49">
        <v>0.115</v>
      </c>
      <c r="F87" s="49">
        <v>0.115</v>
      </c>
      <c r="G87" s="49">
        <v>5.8000000000000003E-2</v>
      </c>
    </row>
    <row r="91" spans="1:7">
      <c r="B91" s="303" t="s">
        <v>994</v>
      </c>
      <c r="C91" s="303" t="s">
        <v>995</v>
      </c>
      <c r="D91" s="303" t="s">
        <v>990</v>
      </c>
      <c r="E91" s="303" t="s">
        <v>989</v>
      </c>
      <c r="F91" s="303" t="s">
        <v>988</v>
      </c>
      <c r="G91" s="303" t="s">
        <v>991</v>
      </c>
    </row>
  </sheetData>
  <dataValidations count="1">
    <dataValidation type="list" allowBlank="1" showInputMessage="1" showErrorMessage="1" sqref="B37" xr:uid="{2E2C6532-FE9D-1244-8FCD-21C16B4B0901}">
      <formula1>$B$40:$B$44</formula1>
    </dataValidation>
  </dataValidations>
  <hyperlinks>
    <hyperlink ref="H2" r:id="rId1" xr:uid="{4289CA9F-239A-954E-A06E-1DC69A743FCC}"/>
    <hyperlink ref="H3" r:id="rId2" xr:uid="{99466229-D502-DF40-995A-286CB6B3AA37}"/>
    <hyperlink ref="H4" r:id="rId3" xr:uid="{09A0E617-EEDD-3843-9D8E-3BF74E94EEFE}"/>
    <hyperlink ref="H30" r:id="rId4" xr:uid="{F687004C-2AB8-B242-9D07-0D57C905A18F}"/>
    <hyperlink ref="C47" r:id="rId5" xr:uid="{CBE07E9F-57B6-3C43-BC06-567ED88529CB}"/>
    <hyperlink ref="H31" r:id="rId6" xr:uid="{4C36987F-3030-984E-92F9-2B5339F4C4AD}"/>
    <hyperlink ref="C49" r:id="rId7" xr:uid="{70B12207-6158-6843-9FBA-9C2010DCB057}"/>
    <hyperlink ref="C48" r:id="rId8" xr:uid="{67EEF3A0-7DF5-D14A-AC86-F85D0436EBC1}"/>
    <hyperlink ref="H32" r:id="rId9" xr:uid="{23A377BC-1736-564B-8618-250B95E1A45F}"/>
    <hyperlink ref="C19" r:id="rId10" xr:uid="{9AACFD38-3638-4E4C-8829-A50F13D48A8B}"/>
    <hyperlink ref="H56" r:id="rId11" xr:uid="{2E5C085A-C89C-0044-8203-9E613AA4ED32}"/>
    <hyperlink ref="H57" r:id="rId12" display="https://theicct.org/wp-content/uploads/2021/06/final_icct2020_assessment_of-_hydrogen_production_costs-v2.pdf" xr:uid="{791405F0-A0DA-2F4F-9293-BF1B73E2BF5C}"/>
    <hyperlink ref="H70" r:id="rId13" location=":~:text=H2%20in%20storage%20does,energy%20efficiency%20remains%20constant%20indefinitely. " xr:uid="{4453C745-9D14-C045-BC97-530E183B1F17}"/>
    <hyperlink ref="H72" r:id="rId14" location=":~:text=H2%20in%20storage%20does,energy%20efficiency%20remains%20constant%20indefinitely. " xr:uid="{062C4EFA-4E70-8945-94DA-1E7A24705591}"/>
    <hyperlink ref="H73" r:id="rId15" xr:uid="{95B5D3B7-B1E4-604E-A7AA-5539E012B816}"/>
    <hyperlink ref="H43" r:id="rId16" xr:uid="{80CC784B-7A9F-4447-89FB-BA2DC8307364}"/>
    <hyperlink ref="H66" r:id="rId17" xr:uid="{4A2F781A-D206-894F-8603-3E7D9B3D75B2}"/>
    <hyperlink ref="H61" r:id="rId18" display="https://www.irena.org/-/media/Files/IRENA/Agency/Publication/2020/Dec/IRENA_Green_hydrogen_cost_2020.pdf" xr:uid="{3B14A670-5809-C04C-B331-51B0BFEAB0FF}"/>
  </hyperlinks>
  <pageMargins left="0.7" right="0.7" top="0.75" bottom="0.75" header="0.3" footer="0.3"/>
  <drawing r:id="rId19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A2925AF-7FF4-2A48-846D-7C43E6BC1B25}">
          <x14:formula1>
            <xm:f>'LCOE -- Solar'!$A$76:$A$200</xm:f>
          </x14:formula1>
          <xm:sqref>B15</xm:sqref>
        </x14:dataValidation>
        <x14:dataValidation type="list" allowBlank="1" showInputMessage="1" showErrorMessage="1" promptTitle="Distribution SO" xr:uid="{C8FE6D6E-16AC-4D4F-9F5C-361E30D39941}">
          <x14:formula1>
            <xm:f>CapEx!$C$3:$E$3</xm:f>
          </x14:formula1>
          <xm:sqref>B18</xm:sqref>
        </x14:dataValidation>
      </x14:dataValidations>
    </ext>
  </extLst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40838-FF3B-334B-89A1-D1F48182A188}">
  <sheetPr>
    <tabColor rgb="FF00B0F0"/>
  </sheetPr>
  <dimension ref="A1:X157"/>
  <sheetViews>
    <sheetView showGridLines="0" workbookViewId="0">
      <pane xSplit="4" ySplit="1" topLeftCell="E146" activePane="bottomRight" state="frozen"/>
      <selection pane="topRight" activeCell="E1" sqref="E1"/>
      <selection pane="bottomLeft" activeCell="A2" sqref="A2"/>
      <selection pane="bottomRight" activeCell="C149" sqref="C149"/>
    </sheetView>
  </sheetViews>
  <sheetFormatPr baseColWidth="10" defaultRowHeight="16"/>
  <cols>
    <col min="1" max="1" width="40.1640625" bestFit="1" customWidth="1"/>
    <col min="2" max="2" width="10.83203125" style="1"/>
    <col min="3" max="3" width="17.33203125" bestFit="1" customWidth="1"/>
    <col min="4" max="4" width="3.1640625" customWidth="1"/>
    <col min="5" max="6" width="16.1640625" bestFit="1" customWidth="1"/>
    <col min="7" max="14" width="14" bestFit="1" customWidth="1"/>
    <col min="15" max="18" width="13" bestFit="1" customWidth="1"/>
    <col min="19" max="19" width="11.83203125" bestFit="1" customWidth="1"/>
    <col min="20" max="22" width="13" bestFit="1" customWidth="1"/>
    <col min="23" max="24" width="14" bestFit="1" customWidth="1"/>
  </cols>
  <sheetData>
    <row r="1" spans="1:24">
      <c r="A1" t="s">
        <v>1161</v>
      </c>
      <c r="E1">
        <v>1</v>
      </c>
      <c r="F1">
        <f>E1+1</f>
        <v>2</v>
      </c>
      <c r="G1">
        <f t="shared" ref="G1:X1" si="0">F1+1</f>
        <v>3</v>
      </c>
      <c r="H1">
        <f t="shared" si="0"/>
        <v>4</v>
      </c>
      <c r="I1">
        <f t="shared" si="0"/>
        <v>5</v>
      </c>
      <c r="J1">
        <f t="shared" si="0"/>
        <v>6</v>
      </c>
      <c r="K1">
        <f t="shared" si="0"/>
        <v>7</v>
      </c>
      <c r="L1">
        <f t="shared" si="0"/>
        <v>8</v>
      </c>
      <c r="M1">
        <f t="shared" si="0"/>
        <v>9</v>
      </c>
      <c r="N1">
        <f t="shared" si="0"/>
        <v>10</v>
      </c>
      <c r="O1">
        <f t="shared" si="0"/>
        <v>11</v>
      </c>
      <c r="P1">
        <f t="shared" si="0"/>
        <v>12</v>
      </c>
      <c r="Q1">
        <f t="shared" si="0"/>
        <v>13</v>
      </c>
      <c r="R1">
        <f t="shared" si="0"/>
        <v>14</v>
      </c>
      <c r="S1">
        <f t="shared" si="0"/>
        <v>15</v>
      </c>
      <c r="T1">
        <f t="shared" si="0"/>
        <v>16</v>
      </c>
      <c r="U1">
        <f t="shared" si="0"/>
        <v>17</v>
      </c>
      <c r="V1">
        <f t="shared" si="0"/>
        <v>18</v>
      </c>
      <c r="W1">
        <f t="shared" si="0"/>
        <v>19</v>
      </c>
      <c r="X1">
        <f t="shared" si="0"/>
        <v>20</v>
      </c>
    </row>
    <row r="2" spans="1:24">
      <c r="A2" t="s">
        <v>1136</v>
      </c>
      <c r="B2" s="1" t="s">
        <v>160</v>
      </c>
      <c r="C2" s="51" t="s">
        <v>1045</v>
      </c>
    </row>
    <row r="4" spans="1:24">
      <c r="A4" s="79" t="s">
        <v>1143</v>
      </c>
    </row>
    <row r="6" spans="1:24">
      <c r="A6" s="261" t="s">
        <v>1141</v>
      </c>
      <c r="B6" s="1" t="s">
        <v>1142</v>
      </c>
      <c r="C6" s="324">
        <f>'Model and Assumptions'!B7</f>
        <v>8000</v>
      </c>
      <c r="D6" s="324"/>
    </row>
    <row r="7" spans="1:24">
      <c r="A7" s="261" t="s">
        <v>1140</v>
      </c>
      <c r="B7" s="1" t="s">
        <v>170</v>
      </c>
      <c r="C7" s="324">
        <f>'Model and Assumptions'!B7*'Model and Assumptions'!B54/1000</f>
        <v>268.8</v>
      </c>
      <c r="D7" s="324"/>
    </row>
    <row r="8" spans="1:24">
      <c r="A8" s="261" t="s">
        <v>1090</v>
      </c>
      <c r="B8" s="1" t="s">
        <v>167</v>
      </c>
      <c r="C8" s="325">
        <f>'Model and Assumptions'!G57</f>
        <v>0.6</v>
      </c>
      <c r="D8" s="325"/>
    </row>
    <row r="9" spans="1:24">
      <c r="A9" s="261" t="s">
        <v>1139</v>
      </c>
      <c r="B9" s="1" t="s">
        <v>1138</v>
      </c>
      <c r="C9" s="267">
        <f>C7/(C8+'Model and Assumptions'!G60*('Model and Assumptions'!B11-2022))</f>
        <v>448.00000000000006</v>
      </c>
      <c r="D9" s="267"/>
      <c r="E9" s="4"/>
    </row>
    <row r="10" spans="1:24">
      <c r="A10" s="261" t="s">
        <v>1041</v>
      </c>
      <c r="B10" s="1" t="s">
        <v>1137</v>
      </c>
      <c r="C10" s="313">
        <v>8</v>
      </c>
      <c r="D10" s="313"/>
    </row>
    <row r="11" spans="1:24">
      <c r="A11" s="261" t="s">
        <v>1153</v>
      </c>
      <c r="B11" s="1" t="s">
        <v>1154</v>
      </c>
      <c r="C11">
        <f>C9/C10</f>
        <v>56.000000000000007</v>
      </c>
    </row>
    <row r="13" spans="1:24">
      <c r="A13" s="79" t="s">
        <v>1144</v>
      </c>
    </row>
    <row r="14" spans="1:24">
      <c r="A14" s="79"/>
    </row>
    <row r="15" spans="1:24">
      <c r="A15" s="261" t="s">
        <v>1066</v>
      </c>
      <c r="B15" s="1" t="s">
        <v>167</v>
      </c>
      <c r="C15" s="295">
        <f>'Model and Assumptions'!B8</f>
        <v>0.12</v>
      </c>
      <c r="D15" s="295"/>
    </row>
    <row r="16" spans="1:24">
      <c r="A16" s="261" t="s">
        <v>1067</v>
      </c>
      <c r="B16" s="1" t="s">
        <v>225</v>
      </c>
      <c r="C16" s="267">
        <f>'Model and Assumptions'!B9</f>
        <v>20</v>
      </c>
      <c r="D16" s="267"/>
    </row>
    <row r="17" spans="1:4">
      <c r="A17" s="261" t="s">
        <v>1068</v>
      </c>
      <c r="B17" s="1" t="s">
        <v>177</v>
      </c>
      <c r="C17" s="267">
        <f>'Model and Assumptions'!B10</f>
        <v>350</v>
      </c>
      <c r="D17" s="267"/>
    </row>
    <row r="18" spans="1:4">
      <c r="A18" s="261" t="s">
        <v>1160</v>
      </c>
      <c r="B18" s="1" t="s">
        <v>167</v>
      </c>
      <c r="C18" s="295">
        <f>'Model and Assumptions'!B12</f>
        <v>2.92E-2</v>
      </c>
    </row>
    <row r="20" spans="1:4">
      <c r="A20" s="79" t="s">
        <v>733</v>
      </c>
    </row>
    <row r="22" spans="1:4">
      <c r="A22" s="261" t="s">
        <v>716</v>
      </c>
      <c r="B22" s="332"/>
      <c r="C22" s="268" t="str">
        <f>'Model and Assumptions'!B15</f>
        <v>AZ, Phoenix</v>
      </c>
      <c r="D22" s="268"/>
    </row>
    <row r="23" spans="1:4">
      <c r="A23" s="261" t="s">
        <v>834</v>
      </c>
      <c r="B23" s="332"/>
      <c r="C23" s="268" t="str">
        <f>'Model and Assumptions'!C15</f>
        <v>Arizona</v>
      </c>
      <c r="D23" s="268"/>
    </row>
    <row r="24" spans="1:4">
      <c r="A24" s="261" t="s">
        <v>1084</v>
      </c>
      <c r="B24" s="1" t="s">
        <v>1137</v>
      </c>
      <c r="C24" s="267">
        <f>'Model and Assumptions'!B17</f>
        <v>6.58</v>
      </c>
      <c r="D24" s="267"/>
    </row>
    <row r="25" spans="1:4">
      <c r="A25" s="261"/>
    </row>
    <row r="26" spans="1:4">
      <c r="A26" s="79" t="s">
        <v>1145</v>
      </c>
    </row>
    <row r="27" spans="1:4">
      <c r="A27" s="261"/>
    </row>
    <row r="28" spans="1:4">
      <c r="A28" s="261" t="s">
        <v>1146</v>
      </c>
      <c r="B28" s="1" t="s">
        <v>206</v>
      </c>
      <c r="C28" s="313">
        <v>75</v>
      </c>
      <c r="D28" s="313"/>
    </row>
    <row r="29" spans="1:4">
      <c r="A29" s="261" t="s">
        <v>1051</v>
      </c>
      <c r="B29" s="1" t="s">
        <v>167</v>
      </c>
      <c r="C29" s="295">
        <f>1-'Model and Assumptions'!G5</f>
        <v>0.98</v>
      </c>
      <c r="D29" s="295"/>
    </row>
    <row r="30" spans="1:4">
      <c r="A30" s="261" t="s">
        <v>1147</v>
      </c>
      <c r="B30" s="1" t="s">
        <v>1138</v>
      </c>
      <c r="C30">
        <f>ROUND(C28*C29*C24,2)</f>
        <v>483.63</v>
      </c>
    </row>
    <row r="31" spans="1:4">
      <c r="A31" s="261" t="s">
        <v>1148</v>
      </c>
      <c r="B31" s="1" t="s">
        <v>196</v>
      </c>
      <c r="C31" s="267">
        <f>'Model and Assumptions'!B16</f>
        <v>33.590000000000003</v>
      </c>
      <c r="D31" s="267"/>
    </row>
    <row r="32" spans="1:4">
      <c r="A32" s="261" t="s">
        <v>1209</v>
      </c>
      <c r="B32" s="1" t="s">
        <v>167</v>
      </c>
      <c r="C32" s="295">
        <v>5.0000000000000001E-3</v>
      </c>
      <c r="D32" s="267"/>
    </row>
    <row r="33" spans="1:24">
      <c r="A33" s="261" t="s">
        <v>1210</v>
      </c>
      <c r="B33" s="1" t="s">
        <v>167</v>
      </c>
      <c r="C33" s="334">
        <v>0.06</v>
      </c>
      <c r="D33" s="267"/>
    </row>
    <row r="34" spans="1:24">
      <c r="A34" s="261"/>
      <c r="C34" s="295"/>
      <c r="D34" s="267"/>
    </row>
    <row r="35" spans="1:24" ht="17">
      <c r="A35" s="326" t="s">
        <v>1206</v>
      </c>
      <c r="C35" s="295"/>
      <c r="D35" s="267"/>
    </row>
    <row r="36" spans="1:24">
      <c r="A36" s="261" t="s">
        <v>1207</v>
      </c>
      <c r="B36" s="1" t="s">
        <v>1208</v>
      </c>
      <c r="C36" s="324">
        <f>C30 * C17</f>
        <v>169270.5</v>
      </c>
      <c r="D36" s="267"/>
      <c r="E36" s="4">
        <f>$C$36 * (1 - $C$32)^E$1</f>
        <v>168424.14749999999</v>
      </c>
      <c r="F36" s="4">
        <f t="shared" ref="F36:X36" si="1">$C$36 * (1 - $C$32)^F$1</f>
        <v>167582.0267625</v>
      </c>
      <c r="G36" s="4">
        <f t="shared" si="1"/>
        <v>166744.11662868751</v>
      </c>
      <c r="H36" s="4">
        <f t="shared" si="1"/>
        <v>165910.39604554407</v>
      </c>
      <c r="I36" s="4">
        <f t="shared" si="1"/>
        <v>165080.84406531637</v>
      </c>
      <c r="J36" s="4">
        <f t="shared" si="1"/>
        <v>164255.43984498977</v>
      </c>
      <c r="K36" s="4">
        <f t="shared" si="1"/>
        <v>163434.16264576482</v>
      </c>
      <c r="L36" s="4">
        <f t="shared" si="1"/>
        <v>162616.991832536</v>
      </c>
      <c r="M36" s="4">
        <f t="shared" si="1"/>
        <v>161803.90687337331</v>
      </c>
      <c r="N36" s="4">
        <f t="shared" si="1"/>
        <v>160994.88733900647</v>
      </c>
      <c r="O36" s="4">
        <f t="shared" si="1"/>
        <v>160189.91290231142</v>
      </c>
      <c r="P36" s="4">
        <f t="shared" si="1"/>
        <v>159388.96333779988</v>
      </c>
      <c r="Q36" s="4">
        <f t="shared" si="1"/>
        <v>158592.01852111088</v>
      </c>
      <c r="R36" s="4">
        <f t="shared" si="1"/>
        <v>157799.05842850532</v>
      </c>
      <c r="S36" s="4">
        <f t="shared" si="1"/>
        <v>157010.06313636279</v>
      </c>
      <c r="T36" s="4">
        <f t="shared" si="1"/>
        <v>156225.01282068097</v>
      </c>
      <c r="U36" s="4">
        <f t="shared" si="1"/>
        <v>155443.88775657758</v>
      </c>
      <c r="V36" s="4">
        <f t="shared" si="1"/>
        <v>154666.66831779468</v>
      </c>
      <c r="W36" s="4">
        <f t="shared" si="1"/>
        <v>153893.33497620572</v>
      </c>
      <c r="X36" s="4">
        <f t="shared" si="1"/>
        <v>153123.86830132469</v>
      </c>
    </row>
    <row r="37" spans="1:24">
      <c r="A37" s="261"/>
    </row>
    <row r="38" spans="1:24">
      <c r="A38" s="79" t="s">
        <v>1149</v>
      </c>
    </row>
    <row r="39" spans="1:24">
      <c r="A39" s="261"/>
    </row>
    <row r="40" spans="1:24">
      <c r="A40" s="261" t="s">
        <v>1151</v>
      </c>
      <c r="B40" s="1" t="s">
        <v>170</v>
      </c>
      <c r="C40">
        <f>(C28-C11)*'Model and Assumptions'!B17</f>
        <v>125.01999999999995</v>
      </c>
    </row>
    <row r="41" spans="1:24">
      <c r="A41" s="261" t="s">
        <v>1054</v>
      </c>
      <c r="B41" s="1" t="s">
        <v>167</v>
      </c>
      <c r="C41" s="295">
        <f>'Model and Assumptions'!G36</f>
        <v>0.8</v>
      </c>
      <c r="D41" s="295"/>
    </row>
    <row r="42" spans="1:24">
      <c r="A42" s="261" t="s">
        <v>1150</v>
      </c>
      <c r="B42" s="1" t="s">
        <v>1138</v>
      </c>
      <c r="C42" s="163">
        <f>C40 / C41</f>
        <v>156.27499999999992</v>
      </c>
    </row>
    <row r="43" spans="1:24">
      <c r="A43" s="261" t="s">
        <v>1053</v>
      </c>
      <c r="B43" s="1" t="s">
        <v>167</v>
      </c>
      <c r="C43" s="295">
        <f>'Model and Assumptions'!G33</f>
        <v>0.96</v>
      </c>
      <c r="D43" s="295"/>
    </row>
    <row r="44" spans="1:24">
      <c r="A44" s="261" t="s">
        <v>1152</v>
      </c>
      <c r="B44" s="1" t="s">
        <v>170</v>
      </c>
      <c r="C44" s="2">
        <f>C40 * C43</f>
        <v>120.01919999999996</v>
      </c>
      <c r="D44" s="2"/>
    </row>
    <row r="45" spans="1:24">
      <c r="A45" s="261" t="s">
        <v>877</v>
      </c>
      <c r="B45" s="1" t="s">
        <v>167</v>
      </c>
      <c r="C45" s="295">
        <f>'Model and Assumptions'!G42</f>
        <v>6.5600000000000006E-2</v>
      </c>
      <c r="D45" s="2"/>
    </row>
    <row r="46" spans="1:24">
      <c r="A46" s="261" t="s">
        <v>1158</v>
      </c>
      <c r="B46" s="1" t="s">
        <v>167</v>
      </c>
      <c r="C46" s="295">
        <f>'Model and Assumptions'!G32</f>
        <v>0.02</v>
      </c>
      <c r="D46" s="2"/>
    </row>
    <row r="47" spans="1:24">
      <c r="A47" s="261" t="s">
        <v>964</v>
      </c>
      <c r="B47" s="1" t="s">
        <v>167</v>
      </c>
      <c r="C47" s="295">
        <f>'Model and Assumptions'!G31</f>
        <v>0.53</v>
      </c>
      <c r="D47" s="2"/>
    </row>
    <row r="48" spans="1:24">
      <c r="A48" s="261" t="s">
        <v>1159</v>
      </c>
      <c r="B48" s="1" t="s">
        <v>225</v>
      </c>
      <c r="C48" s="267">
        <f>'Model and Assumptions'!G43</f>
        <v>10</v>
      </c>
      <c r="D48" s="2"/>
    </row>
    <row r="49" spans="1:24">
      <c r="A49" s="261"/>
      <c r="C49" s="267"/>
      <c r="D49" s="2"/>
      <c r="E49" s="4"/>
      <c r="F49" s="4"/>
    </row>
    <row r="50" spans="1:24">
      <c r="A50" s="261" t="s">
        <v>1211</v>
      </c>
      <c r="B50" s="1" t="s">
        <v>1212</v>
      </c>
      <c r="C50" s="267"/>
      <c r="D50" s="2"/>
      <c r="E50" s="5">
        <f>(E36 - $C$11 * $C$17 * $C$10) * 'Model and Assumptions'!$B$17</f>
        <v>76486.890549999749</v>
      </c>
      <c r="F50" s="5">
        <f>(F36 - $C$11 * $C$17 * $C$10) * 'Model and Assumptions'!$B$17</f>
        <v>70945.736097249799</v>
      </c>
      <c r="G50" s="5">
        <f>(G36 - $C$11 * $C$17 * $C$10) * 'Model and Assumptions'!$B$17</f>
        <v>65432.287416763618</v>
      </c>
      <c r="H50" s="5">
        <f>(H36 - $C$11 * $C$17 * $C$10) * 'Model and Assumptions'!$B$17</f>
        <v>59946.405979679781</v>
      </c>
      <c r="I50" s="5">
        <f>(I36 - $C$11 * $C$17 * $C$10) * 'Model and Assumptions'!$B$17</f>
        <v>54487.953949781528</v>
      </c>
      <c r="J50" s="5">
        <f>(J36 - $C$11 * $C$17 * $C$10) * 'Model and Assumptions'!$B$17</f>
        <v>49056.794180032499</v>
      </c>
      <c r="K50" s="5">
        <f>(K36 - $C$11 * $C$17 * $C$10) * 'Model and Assumptions'!$B$17</f>
        <v>43652.790209132349</v>
      </c>
      <c r="L50" s="5">
        <f>(L36 - $C$11 * $C$17 * $C$10) * 'Model and Assumptions'!$B$17</f>
        <v>38275.806258086719</v>
      </c>
      <c r="M50" s="5">
        <f>(M36 - $C$11 * $C$17 * $C$10) * 'Model and Assumptions'!$B$17</f>
        <v>32925.707226796221</v>
      </c>
      <c r="N50" s="5">
        <f>(N36 - $C$11 * $C$17 * $C$10) * 'Model and Assumptions'!$B$17</f>
        <v>27602.358690662375</v>
      </c>
      <c r="O50" s="5">
        <f>(O36 - $C$11 * $C$17 * $C$10) * 'Model and Assumptions'!$B$17</f>
        <v>22305.626897208964</v>
      </c>
      <c r="P50" s="5">
        <f>(P36 - $C$11 * $C$17 * $C$10) * 'Model and Assumptions'!$B$17</f>
        <v>17035.378762723041</v>
      </c>
      <c r="Q50" s="5">
        <f>(Q36 - $C$11 * $C$17 * $C$10) * 'Model and Assumptions'!$B$17</f>
        <v>11791.481868909375</v>
      </c>
      <c r="R50" s="5">
        <f>(R36 - $C$11 * $C$17 * $C$10) * 'Model and Assumptions'!$B$17</f>
        <v>6573.8044595648089</v>
      </c>
      <c r="S50" s="5">
        <f>(S36 - $C$11 * $C$17 * $C$10) * 'Model and Assumptions'!$B$17</f>
        <v>1382.2154372669722</v>
      </c>
      <c r="T50" s="5">
        <f>(T36 - $C$11 * $C$17 * $C$10) * 'Model and Assumptions'!$B$17</f>
        <v>-3783.4156399193762</v>
      </c>
      <c r="U50" s="5">
        <f>(U36 - $C$11 * $C$17 * $C$10) * 'Model and Assumptions'!$B$17</f>
        <v>-8923.2185617197374</v>
      </c>
      <c r="V50" s="5">
        <f>(V36 - $C$11 * $C$17 * $C$10) * 'Model and Assumptions'!$B$17</f>
        <v>-14037.322468911176</v>
      </c>
      <c r="W50" s="5">
        <f>(W36 - $C$11 * $C$17 * $C$10) * 'Model and Assumptions'!$B$17</f>
        <v>-19125.855856566563</v>
      </c>
      <c r="X50" s="5">
        <f>(X36 - $C$11 * $C$17 * $C$10) * 'Model and Assumptions'!$B$17</f>
        <v>-24188.946577283721</v>
      </c>
    </row>
    <row r="51" spans="1:24">
      <c r="A51" s="261"/>
      <c r="C51" s="267"/>
      <c r="D51" s="2"/>
    </row>
    <row r="52" spans="1:24">
      <c r="A52" s="79" t="s">
        <v>1169</v>
      </c>
    </row>
    <row r="53" spans="1:24">
      <c r="A53" s="79"/>
    </row>
    <row r="54" spans="1:24" ht="17">
      <c r="A54" s="326" t="s">
        <v>967</v>
      </c>
      <c r="C54" s="2"/>
    </row>
    <row r="55" spans="1:24">
      <c r="A55" s="261" t="s">
        <v>972</v>
      </c>
      <c r="B55" s="1" t="s">
        <v>196</v>
      </c>
      <c r="C55" s="333">
        <f>'Model and Assumptions'!G45</f>
        <v>810868.89</v>
      </c>
    </row>
    <row r="56" spans="1:24">
      <c r="A56" s="15" t="s">
        <v>975</v>
      </c>
      <c r="B56" s="1" t="s">
        <v>196</v>
      </c>
      <c r="C56" s="4">
        <f>N56 * (1+IRR)^-$N$1</f>
        <v>132464.25749522675</v>
      </c>
      <c r="E56" s="4" t="str">
        <f t="shared" ref="E56:X56" si="2">IF(E$1&lt;&gt;$C$48,"",$C$55*(1-$C$45)^E$1)</f>
        <v/>
      </c>
      <c r="F56" s="4" t="str">
        <f t="shared" si="2"/>
        <v/>
      </c>
      <c r="G56" s="4" t="str">
        <f t="shared" si="2"/>
        <v/>
      </c>
      <c r="H56" s="4" t="str">
        <f t="shared" si="2"/>
        <v/>
      </c>
      <c r="I56" s="4" t="str">
        <f t="shared" si="2"/>
        <v/>
      </c>
      <c r="J56" s="4" t="str">
        <f t="shared" si="2"/>
        <v/>
      </c>
      <c r="K56" s="4" t="str">
        <f t="shared" si="2"/>
        <v/>
      </c>
      <c r="L56" s="4" t="str">
        <f t="shared" si="2"/>
        <v/>
      </c>
      <c r="M56" s="4" t="str">
        <f t="shared" si="2"/>
        <v/>
      </c>
      <c r="N56" s="4">
        <f t="shared" si="2"/>
        <v>411413.87681119627</v>
      </c>
      <c r="O56" s="4" t="str">
        <f t="shared" si="2"/>
        <v/>
      </c>
      <c r="P56" s="4" t="str">
        <f t="shared" si="2"/>
        <v/>
      </c>
      <c r="Q56" s="4" t="str">
        <f t="shared" si="2"/>
        <v/>
      </c>
      <c r="R56" s="4" t="str">
        <f t="shared" si="2"/>
        <v/>
      </c>
      <c r="S56" s="4" t="str">
        <f t="shared" si="2"/>
        <v/>
      </c>
      <c r="T56" s="4" t="str">
        <f t="shared" si="2"/>
        <v/>
      </c>
      <c r="U56" s="4" t="str">
        <f t="shared" si="2"/>
        <v/>
      </c>
      <c r="V56" s="4" t="str">
        <f t="shared" si="2"/>
        <v/>
      </c>
      <c r="W56" s="4" t="str">
        <f t="shared" si="2"/>
        <v/>
      </c>
      <c r="X56" s="4" t="str">
        <f t="shared" si="2"/>
        <v/>
      </c>
    </row>
    <row r="57" spans="1:24" ht="17">
      <c r="A57" s="326" t="s">
        <v>969</v>
      </c>
      <c r="C57" s="2"/>
    </row>
    <row r="58" spans="1:24">
      <c r="A58" s="261" t="s">
        <v>972</v>
      </c>
      <c r="B58" s="1" t="s">
        <v>174</v>
      </c>
      <c r="C58" s="330">
        <f>'Model and Assumptions'!G47</f>
        <v>57277.48</v>
      </c>
    </row>
    <row r="59" spans="1:24">
      <c r="A59" s="15" t="s">
        <v>975</v>
      </c>
      <c r="B59" s="1" t="s">
        <v>174</v>
      </c>
      <c r="C59" s="5">
        <f>N59 * (1+IRR)^-$N$1</f>
        <v>24592.430404575494</v>
      </c>
      <c r="E59" s="4" t="str">
        <f t="shared" ref="E59:X59" si="3">IF(E$1&lt;&gt;$C$48,"",$C$58*(1+$C$18)^E$1)</f>
        <v/>
      </c>
      <c r="F59" s="4" t="str">
        <f t="shared" si="3"/>
        <v/>
      </c>
      <c r="G59" s="4" t="str">
        <f t="shared" si="3"/>
        <v/>
      </c>
      <c r="H59" s="4" t="str">
        <f t="shared" si="3"/>
        <v/>
      </c>
      <c r="I59" s="4" t="str">
        <f t="shared" si="3"/>
        <v/>
      </c>
      <c r="J59" s="4" t="str">
        <f t="shared" si="3"/>
        <v/>
      </c>
      <c r="K59" s="4" t="str">
        <f t="shared" si="3"/>
        <v/>
      </c>
      <c r="L59" s="4" t="str">
        <f t="shared" si="3"/>
        <v/>
      </c>
      <c r="M59" s="4" t="str">
        <f t="shared" si="3"/>
        <v/>
      </c>
      <c r="N59" s="4">
        <f t="shared" si="3"/>
        <v>76380.355910880506</v>
      </c>
      <c r="O59" s="4" t="str">
        <f t="shared" si="3"/>
        <v/>
      </c>
      <c r="P59" s="4" t="str">
        <f t="shared" si="3"/>
        <v/>
      </c>
      <c r="Q59" s="4" t="str">
        <f t="shared" si="3"/>
        <v/>
      </c>
      <c r="R59" s="4" t="str">
        <f t="shared" si="3"/>
        <v/>
      </c>
      <c r="S59" s="4" t="str">
        <f t="shared" si="3"/>
        <v/>
      </c>
      <c r="T59" s="4" t="str">
        <f t="shared" si="3"/>
        <v/>
      </c>
      <c r="U59" s="4" t="str">
        <f t="shared" si="3"/>
        <v/>
      </c>
      <c r="V59" s="4" t="str">
        <f t="shared" si="3"/>
        <v/>
      </c>
      <c r="W59" s="4" t="str">
        <f t="shared" si="3"/>
        <v/>
      </c>
      <c r="X59" s="4" t="str">
        <f t="shared" si="3"/>
        <v/>
      </c>
    </row>
    <row r="60" spans="1:24" ht="17">
      <c r="A60" s="326" t="s">
        <v>970</v>
      </c>
      <c r="F60" s="55"/>
    </row>
    <row r="61" spans="1:24">
      <c r="A61" s="261" t="s">
        <v>972</v>
      </c>
      <c r="B61" s="1" t="s">
        <v>174</v>
      </c>
      <c r="C61" s="324">
        <f>'Model and Assumptions'!G48</f>
        <v>250000</v>
      </c>
      <c r="E61" s="4">
        <f t="shared" ref="E61:X61" si="4">$C$61 * (1+ $C$18)^E$1</f>
        <v>257299.99999999997</v>
      </c>
      <c r="F61" s="4">
        <f t="shared" si="4"/>
        <v>264813.15999999992</v>
      </c>
      <c r="G61" s="4">
        <f t="shared" si="4"/>
        <v>272545.70427199994</v>
      </c>
      <c r="H61" s="4">
        <f t="shared" si="4"/>
        <v>280504.03883674223</v>
      </c>
      <c r="I61" s="4">
        <f t="shared" si="4"/>
        <v>288694.75677077513</v>
      </c>
      <c r="J61" s="4">
        <f t="shared" si="4"/>
        <v>297124.64366848167</v>
      </c>
      <c r="K61" s="4">
        <f t="shared" si="4"/>
        <v>305800.68326360133</v>
      </c>
      <c r="L61" s="4">
        <f t="shared" si="4"/>
        <v>314730.0632148984</v>
      </c>
      <c r="M61" s="4">
        <f t="shared" si="4"/>
        <v>323920.18106077338</v>
      </c>
      <c r="N61" s="4">
        <f t="shared" si="4"/>
        <v>333378.65034774796</v>
      </c>
      <c r="O61" s="4">
        <f t="shared" si="4"/>
        <v>343113.30693790218</v>
      </c>
      <c r="P61" s="4">
        <f t="shared" si="4"/>
        <v>353132.21550048876</v>
      </c>
      <c r="Q61" s="4">
        <f t="shared" si="4"/>
        <v>363443.67619310302</v>
      </c>
      <c r="R61" s="4">
        <f t="shared" si="4"/>
        <v>374056.23153794161</v>
      </c>
      <c r="S61" s="4">
        <f t="shared" si="4"/>
        <v>384978.67349884944</v>
      </c>
      <c r="T61" s="4">
        <f t="shared" si="4"/>
        <v>396220.05076501571</v>
      </c>
      <c r="U61" s="4">
        <f t="shared" si="4"/>
        <v>407789.67624735413</v>
      </c>
      <c r="V61" s="4">
        <f t="shared" si="4"/>
        <v>419697.13479377679</v>
      </c>
      <c r="W61" s="4">
        <f t="shared" si="4"/>
        <v>431952.29112975509</v>
      </c>
      <c r="X61" s="4">
        <f t="shared" si="4"/>
        <v>444565.29803074378</v>
      </c>
    </row>
    <row r="62" spans="1:24">
      <c r="A62" s="15"/>
    </row>
    <row r="63" spans="1:24" ht="17">
      <c r="A63" s="326" t="s">
        <v>1163</v>
      </c>
      <c r="E63" s="261"/>
      <c r="F63" s="261"/>
      <c r="G63" s="261"/>
      <c r="H63" s="261"/>
      <c r="I63" s="261"/>
      <c r="J63" s="261"/>
      <c r="K63" s="261"/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</row>
    <row r="64" spans="1:24">
      <c r="A64" s="261" t="s">
        <v>1164</v>
      </c>
      <c r="B64" s="1" t="s">
        <v>174</v>
      </c>
      <c r="C64" s="5">
        <f>N64 * (1+IRR)^-$N$1</f>
        <v>57363.45962246682</v>
      </c>
      <c r="E64" s="4" t="str">
        <f t="shared" ref="E64:M64" si="5">IF(E$1&lt;&gt;$C$48,"",$C$56 * $C$47 * (1-$C$46)^E$1)</f>
        <v/>
      </c>
      <c r="F64" s="4" t="str">
        <f t="shared" si="5"/>
        <v/>
      </c>
      <c r="G64" s="4" t="str">
        <f t="shared" si="5"/>
        <v/>
      </c>
      <c r="H64" s="4" t="str">
        <f t="shared" si="5"/>
        <v/>
      </c>
      <c r="I64" s="4" t="str">
        <f t="shared" si="5"/>
        <v/>
      </c>
      <c r="J64" s="4" t="str">
        <f t="shared" si="5"/>
        <v/>
      </c>
      <c r="K64" s="4" t="str">
        <f t="shared" si="5"/>
        <v/>
      </c>
      <c r="L64" s="4" t="str">
        <f t="shared" si="5"/>
        <v/>
      </c>
      <c r="M64" s="4" t="str">
        <f t="shared" si="5"/>
        <v/>
      </c>
      <c r="N64" s="4">
        <f>IF(N$1&lt;&gt;$C$48,"",$N$56 * $C$47 * (1-$C$46)^N$1)</f>
        <v>178162.19829286408</v>
      </c>
      <c r="O64" s="4" t="str">
        <f t="shared" ref="O64:X64" si="6">IF(O$1&lt;&gt;$C$48,"",$C$56 * $C$47 * (1-$C$46)^O$1)</f>
        <v/>
      </c>
      <c r="P64" s="4" t="str">
        <f t="shared" si="6"/>
        <v/>
      </c>
      <c r="Q64" s="4" t="str">
        <f t="shared" si="6"/>
        <v/>
      </c>
      <c r="R64" s="4" t="str">
        <f t="shared" si="6"/>
        <v/>
      </c>
      <c r="S64" s="4" t="str">
        <f t="shared" si="6"/>
        <v/>
      </c>
      <c r="T64" s="4" t="str">
        <f t="shared" si="6"/>
        <v/>
      </c>
      <c r="U64" s="4" t="str">
        <f t="shared" si="6"/>
        <v/>
      </c>
      <c r="V64" s="4" t="str">
        <f t="shared" si="6"/>
        <v/>
      </c>
      <c r="W64" s="4" t="str">
        <f t="shared" si="6"/>
        <v/>
      </c>
      <c r="X64" s="4" t="str">
        <f t="shared" si="6"/>
        <v/>
      </c>
    </row>
    <row r="65" spans="1:24">
      <c r="A65" s="15" t="s">
        <v>1165</v>
      </c>
      <c r="B65" s="1" t="s">
        <v>174</v>
      </c>
      <c r="C65" s="5">
        <f>X65 * (1+IRR)^-$X$1</f>
        <v>6535.1038402704862</v>
      </c>
      <c r="E65" s="4" t="str">
        <f t="shared" ref="E65:X65" si="7">IF(E$1&lt;&gt;$C$16,"",$N$64 * $C$47 * (1-$C$46)^E$1)</f>
        <v/>
      </c>
      <c r="F65" s="4" t="str">
        <f t="shared" si="7"/>
        <v/>
      </c>
      <c r="G65" s="4" t="str">
        <f t="shared" si="7"/>
        <v/>
      </c>
      <c r="H65" s="4" t="str">
        <f t="shared" si="7"/>
        <v/>
      </c>
      <c r="I65" s="4" t="str">
        <f t="shared" si="7"/>
        <v/>
      </c>
      <c r="J65" s="4" t="str">
        <f t="shared" si="7"/>
        <v/>
      </c>
      <c r="K65" s="4" t="str">
        <f t="shared" si="7"/>
        <v/>
      </c>
      <c r="L65" s="4" t="str">
        <f t="shared" si="7"/>
        <v/>
      </c>
      <c r="M65" s="4" t="str">
        <f t="shared" si="7"/>
        <v/>
      </c>
      <c r="N65" s="4" t="str">
        <f t="shared" si="7"/>
        <v/>
      </c>
      <c r="O65" s="4" t="str">
        <f t="shared" si="7"/>
        <v/>
      </c>
      <c r="P65" s="4" t="str">
        <f t="shared" si="7"/>
        <v/>
      </c>
      <c r="Q65" s="4" t="str">
        <f t="shared" si="7"/>
        <v/>
      </c>
      <c r="R65" s="4" t="str">
        <f t="shared" si="7"/>
        <v/>
      </c>
      <c r="S65" s="4" t="str">
        <f t="shared" si="7"/>
        <v/>
      </c>
      <c r="T65" s="4" t="str">
        <f t="shared" si="7"/>
        <v/>
      </c>
      <c r="U65" s="4" t="str">
        <f t="shared" si="7"/>
        <v/>
      </c>
      <c r="V65" s="4" t="str">
        <f t="shared" si="7"/>
        <v/>
      </c>
      <c r="W65" s="4" t="str">
        <f t="shared" si="7"/>
        <v/>
      </c>
      <c r="X65" s="4">
        <f t="shared" si="7"/>
        <v>63039.527038235778</v>
      </c>
    </row>
    <row r="67" spans="1:24">
      <c r="A67" s="261" t="s">
        <v>1162</v>
      </c>
      <c r="B67" s="1" t="s">
        <v>196</v>
      </c>
      <c r="C67" s="327">
        <f>(C58 + C59 + C55 * C42 + C56 * C42 - C64 * C42 - C65 * C42) / C42</f>
        <v>879958.46763770201</v>
      </c>
      <c r="D67" s="261"/>
    </row>
    <row r="68" spans="1:24">
      <c r="A68" s="261" t="s">
        <v>1166</v>
      </c>
      <c r="B68" s="1" t="s">
        <v>196</v>
      </c>
      <c r="C68" s="5">
        <f>SUM(E68:X68)</f>
        <v>2311317.4406789872</v>
      </c>
      <c r="D68" s="2"/>
      <c r="E68" s="4">
        <f t="shared" ref="E68:X68" si="8">E61 * (1 + IRR)^-E$1</f>
        <v>229732.14285714281</v>
      </c>
      <c r="F68" s="4">
        <f t="shared" si="8"/>
        <v>211107.4298469387</v>
      </c>
      <c r="G68" s="4">
        <f t="shared" si="8"/>
        <v>193992.64892720472</v>
      </c>
      <c r="H68" s="4">
        <f t="shared" si="8"/>
        <v>178265.38774632057</v>
      </c>
      <c r="I68" s="4">
        <f t="shared" si="8"/>
        <v>163813.15809688671</v>
      </c>
      <c r="J68" s="4">
        <f t="shared" si="8"/>
        <v>150532.59135117478</v>
      </c>
      <c r="K68" s="4">
        <f t="shared" si="8"/>
        <v>138328.69912377594</v>
      </c>
      <c r="L68" s="4">
        <f t="shared" si="8"/>
        <v>127114.19387338407</v>
      </c>
      <c r="M68" s="4">
        <f t="shared" si="8"/>
        <v>116808.86458436327</v>
      </c>
      <c r="N68" s="4">
        <f t="shared" si="8"/>
        <v>107339.00306270237</v>
      </c>
      <c r="O68" s="4">
        <f t="shared" si="8"/>
        <v>98636.876742976121</v>
      </c>
      <c r="P68" s="4">
        <f t="shared" si="8"/>
        <v>90640.244235599108</v>
      </c>
      <c r="Q68" s="4">
        <f t="shared" si="8"/>
        <v>83291.91014935587</v>
      </c>
      <c r="R68" s="4">
        <f t="shared" si="8"/>
        <v>76539.316005104498</v>
      </c>
      <c r="S68" s="4">
        <f t="shared" si="8"/>
        <v>70334.164314690672</v>
      </c>
      <c r="T68" s="4">
        <f t="shared" si="8"/>
        <v>64632.073136321065</v>
      </c>
      <c r="U68" s="4">
        <f t="shared" si="8"/>
        <v>59392.258635626466</v>
      </c>
      <c r="V68" s="4">
        <f t="shared" si="8"/>
        <v>54577.243381952445</v>
      </c>
      <c r="W68" s="4">
        <f t="shared" si="8"/>
        <v>50152.58829348701</v>
      </c>
      <c r="X68" s="4">
        <f t="shared" si="8"/>
        <v>46086.646313979298</v>
      </c>
    </row>
    <row r="69" spans="1:24">
      <c r="A69" s="261"/>
    </row>
    <row r="71" spans="1:24">
      <c r="A71" s="261" t="s">
        <v>1167</v>
      </c>
      <c r="B71" s="1" t="s">
        <v>170</v>
      </c>
      <c r="C71" s="4">
        <f>C44 * C17</f>
        <v>42006.719999999987</v>
      </c>
    </row>
    <row r="72" spans="1:24" ht="31">
      <c r="A72" s="309" t="s">
        <v>1168</v>
      </c>
      <c r="B72" s="1" t="s">
        <v>170</v>
      </c>
      <c r="C72" s="5">
        <f>SUM(E72:X72)</f>
        <v>760732.96676461352</v>
      </c>
      <c r="E72" s="4">
        <f t="shared" ref="E72:N72" si="9">IF(E$1&lt;&gt;$C$48,$C$71 * (1-$C$46)^E$1,$C$71)</f>
        <v>41166.585599999984</v>
      </c>
      <c r="F72" s="4">
        <f t="shared" si="9"/>
        <v>40343.253887999985</v>
      </c>
      <c r="G72" s="4">
        <f t="shared" si="9"/>
        <v>39536.388810239987</v>
      </c>
      <c r="H72" s="4">
        <f t="shared" si="9"/>
        <v>38745.661034035184</v>
      </c>
      <c r="I72" s="4">
        <f t="shared" si="9"/>
        <v>37970.747813354479</v>
      </c>
      <c r="J72" s="4">
        <f t="shared" si="9"/>
        <v>37211.332857087385</v>
      </c>
      <c r="K72" s="4">
        <f t="shared" si="9"/>
        <v>36467.106199945636</v>
      </c>
      <c r="L72" s="4">
        <f t="shared" si="9"/>
        <v>35737.764075946725</v>
      </c>
      <c r="M72" s="4">
        <f t="shared" si="9"/>
        <v>35023.008794427791</v>
      </c>
      <c r="N72" s="4">
        <f t="shared" si="9"/>
        <v>42006.719999999987</v>
      </c>
      <c r="O72" s="328">
        <f t="shared" ref="O72:X72" si="10">IF(O$1&lt;&gt;$C$48,$C$71 * (1-$C$46)^(O1 - $N$1),$C$71)</f>
        <v>41166.585599999984</v>
      </c>
      <c r="P72" s="4">
        <f t="shared" si="10"/>
        <v>40343.253887999985</v>
      </c>
      <c r="Q72" s="4">
        <f t="shared" si="10"/>
        <v>39536.388810239987</v>
      </c>
      <c r="R72" s="4">
        <f t="shared" si="10"/>
        <v>38745.661034035184</v>
      </c>
      <c r="S72" s="4">
        <f t="shared" si="10"/>
        <v>37970.747813354479</v>
      </c>
      <c r="T72" s="4">
        <f t="shared" si="10"/>
        <v>37211.332857087385</v>
      </c>
      <c r="U72" s="4">
        <f t="shared" si="10"/>
        <v>36467.106199945636</v>
      </c>
      <c r="V72" s="4">
        <f t="shared" si="10"/>
        <v>35737.764075946725</v>
      </c>
      <c r="W72" s="4">
        <f t="shared" si="10"/>
        <v>35023.008794427791</v>
      </c>
      <c r="X72" s="4">
        <f t="shared" si="10"/>
        <v>34322.548618539229</v>
      </c>
    </row>
    <row r="74" spans="1:24">
      <c r="A74" s="261" t="s">
        <v>1156</v>
      </c>
      <c r="B74" s="1" t="s">
        <v>1155</v>
      </c>
      <c r="C74" s="2">
        <f>SUM(C67:C68) / C72</f>
        <v>4.1950014627197509</v>
      </c>
    </row>
    <row r="75" spans="1:24">
      <c r="A75" s="261" t="s">
        <v>1157</v>
      </c>
      <c r="B75" s="1" t="s">
        <v>1155</v>
      </c>
      <c r="C75" s="2">
        <f>C74 * C42/C40</f>
        <v>5.243751828399688</v>
      </c>
    </row>
    <row r="77" spans="1:24">
      <c r="A77" s="79" t="s">
        <v>1170</v>
      </c>
    </row>
    <row r="78" spans="1:24">
      <c r="A78" s="79"/>
    </row>
    <row r="79" spans="1:24">
      <c r="A79" s="261" t="s">
        <v>1173</v>
      </c>
      <c r="B79" s="1" t="s">
        <v>225</v>
      </c>
      <c r="C79" s="26">
        <v>10</v>
      </c>
    </row>
    <row r="80" spans="1:24">
      <c r="A80" s="261" t="s">
        <v>1174</v>
      </c>
      <c r="B80" s="1" t="s">
        <v>167</v>
      </c>
      <c r="C80" s="295">
        <f>'Model and Assumptions'!G61</f>
        <v>0.06</v>
      </c>
    </row>
    <row r="81" spans="1:24">
      <c r="A81" s="261" t="s">
        <v>1204</v>
      </c>
      <c r="B81" s="1" t="s">
        <v>1155</v>
      </c>
      <c r="C81" s="4">
        <f>(CapEx!E85*C91+CapEx!F85) / C91</f>
        <v>57624.040571428581</v>
      </c>
      <c r="E81" s="5">
        <f t="shared" ref="E81:X81" si="11">IF(E$1&lt;$C$79,$C$81 * (1 + $C$18) ^ E$1,"")</f>
        <v>59306.662556114286</v>
      </c>
      <c r="F81" s="5">
        <f t="shared" si="11"/>
        <v>61038.417102752821</v>
      </c>
      <c r="G81" s="5">
        <f t="shared" si="11"/>
        <v>62820.7388821532</v>
      </c>
      <c r="H81" s="5">
        <f t="shared" si="11"/>
        <v>64655.104457512054</v>
      </c>
      <c r="I81" s="5">
        <f t="shared" si="11"/>
        <v>66543.033507671396</v>
      </c>
      <c r="J81" s="5">
        <f t="shared" si="11"/>
        <v>68486.090086095399</v>
      </c>
      <c r="K81" s="5">
        <f t="shared" si="11"/>
        <v>70485.883916609382</v>
      </c>
      <c r="L81" s="5">
        <f t="shared" si="11"/>
        <v>72544.071726974347</v>
      </c>
      <c r="M81" s="5">
        <f t="shared" si="11"/>
        <v>74662.358621401989</v>
      </c>
      <c r="N81" s="5" t="str">
        <f t="shared" si="11"/>
        <v/>
      </c>
      <c r="O81" s="5" t="str">
        <f t="shared" si="11"/>
        <v/>
      </c>
      <c r="P81" s="5" t="str">
        <f t="shared" si="11"/>
        <v/>
      </c>
      <c r="Q81" s="5" t="str">
        <f t="shared" si="11"/>
        <v/>
      </c>
      <c r="R81" s="5" t="str">
        <f t="shared" si="11"/>
        <v/>
      </c>
      <c r="S81" s="5" t="str">
        <f t="shared" si="11"/>
        <v/>
      </c>
      <c r="T81" s="5" t="str">
        <f t="shared" si="11"/>
        <v/>
      </c>
      <c r="U81" s="5" t="str">
        <f t="shared" si="11"/>
        <v/>
      </c>
      <c r="V81" s="5" t="str">
        <f t="shared" si="11"/>
        <v/>
      </c>
      <c r="W81" s="5" t="str">
        <f t="shared" si="11"/>
        <v/>
      </c>
      <c r="X81" s="5" t="str">
        <f t="shared" si="11"/>
        <v/>
      </c>
    </row>
    <row r="82" spans="1:24">
      <c r="A82" s="261" t="s">
        <v>1205</v>
      </c>
      <c r="B82" s="1" t="s">
        <v>1155</v>
      </c>
      <c r="C82" s="4">
        <f>(CapEx!E85*C97+CapEx!F85) / C97</f>
        <v>59139.552000000003</v>
      </c>
      <c r="E82" s="5" t="str">
        <f t="shared" ref="E82:X82" si="12">IF(E$1&gt;=$C$79,$C$82*(1+$C$18)^E$1,"")</f>
        <v/>
      </c>
      <c r="F82" s="5" t="str">
        <f t="shared" si="12"/>
        <v/>
      </c>
      <c r="G82" s="5" t="str">
        <f t="shared" si="12"/>
        <v/>
      </c>
      <c r="H82" s="5" t="str">
        <f t="shared" si="12"/>
        <v/>
      </c>
      <c r="I82" s="5" t="str">
        <f t="shared" si="12"/>
        <v/>
      </c>
      <c r="J82" s="5" t="str">
        <f t="shared" si="12"/>
        <v/>
      </c>
      <c r="K82" s="5" t="str">
        <f t="shared" si="12"/>
        <v/>
      </c>
      <c r="L82" s="5" t="str">
        <f t="shared" si="12"/>
        <v/>
      </c>
      <c r="M82" s="5" t="str">
        <f t="shared" si="12"/>
        <v/>
      </c>
      <c r="N82" s="5">
        <f t="shared" si="12"/>
        <v>78863.45611172184</v>
      </c>
      <c r="O82" s="5">
        <f t="shared" si="12"/>
        <v>81166.269030184107</v>
      </c>
      <c r="P82" s="5">
        <f t="shared" si="12"/>
        <v>83536.324085865461</v>
      </c>
      <c r="Q82" s="5">
        <f t="shared" si="12"/>
        <v>85975.584749172718</v>
      </c>
      <c r="R82" s="5">
        <f t="shared" si="12"/>
        <v>88486.071823848557</v>
      </c>
      <c r="S82" s="5">
        <f t="shared" si="12"/>
        <v>91069.865121104929</v>
      </c>
      <c r="T82" s="5">
        <f t="shared" si="12"/>
        <v>93729.105182641157</v>
      </c>
      <c r="U82" s="5">
        <f t="shared" si="12"/>
        <v>96465.995053974257</v>
      </c>
      <c r="V82" s="5">
        <f t="shared" si="12"/>
        <v>99282.802109550292</v>
      </c>
      <c r="W82" s="5">
        <f t="shared" si="12"/>
        <v>102181.85993114917</v>
      </c>
      <c r="X82" s="5">
        <f t="shared" si="12"/>
        <v>105165.57024113869</v>
      </c>
    </row>
    <row r="83" spans="1:24">
      <c r="A83" s="329" t="s">
        <v>1177</v>
      </c>
      <c r="B83" s="1" t="s">
        <v>1155</v>
      </c>
      <c r="C83" s="4">
        <f>SUM(E83:X83)</f>
        <v>537609.27107587317</v>
      </c>
      <c r="E83" s="5">
        <f t="shared" ref="E83:X83" si="13">SUM(E81:E82) *  (1 + IRR)^-E$1</f>
        <v>52952.377282244895</v>
      </c>
      <c r="F83" s="5">
        <f t="shared" si="13"/>
        <v>48659.452409720041</v>
      </c>
      <c r="G83" s="5">
        <f t="shared" si="13"/>
        <v>44714.561089360584</v>
      </c>
      <c r="H83" s="5">
        <f t="shared" si="13"/>
        <v>41089.4877439017</v>
      </c>
      <c r="I83" s="5">
        <f t="shared" si="13"/>
        <v>37758.304273235372</v>
      </c>
      <c r="J83" s="5">
        <f t="shared" si="13"/>
        <v>34697.184605369497</v>
      </c>
      <c r="K83" s="5">
        <f t="shared" si="13"/>
        <v>31884.234282005611</v>
      </c>
      <c r="L83" s="5">
        <f t="shared" si="13"/>
        <v>29299.333859857285</v>
      </c>
      <c r="M83" s="5">
        <f t="shared" si="13"/>
        <v>26923.995007647423</v>
      </c>
      <c r="N83" s="5">
        <f t="shared" si="13"/>
        <v>25391.922213019385</v>
      </c>
      <c r="O83" s="5">
        <f t="shared" si="13"/>
        <v>23333.362805035307</v>
      </c>
      <c r="P83" s="5">
        <f t="shared" si="13"/>
        <v>21441.693749055659</v>
      </c>
      <c r="Q83" s="5">
        <f t="shared" si="13"/>
        <v>19703.385005828637</v>
      </c>
      <c r="R83" s="5">
        <f t="shared" si="13"/>
        <v>18106.003435713243</v>
      </c>
      <c r="S83" s="5">
        <f t="shared" si="13"/>
        <v>16638.123871460775</v>
      </c>
      <c r="T83" s="5">
        <f t="shared" si="13"/>
        <v>15289.247400453052</v>
      </c>
      <c r="U83" s="5">
        <f t="shared" si="13"/>
        <v>14049.726271916321</v>
      </c>
      <c r="V83" s="5">
        <f t="shared" si="13"/>
        <v>12910.69489201453</v>
      </c>
      <c r="W83" s="5">
        <f t="shared" si="13"/>
        <v>11864.006413269066</v>
      </c>
      <c r="X83" s="5">
        <f t="shared" si="13"/>
        <v>10902.174464764748</v>
      </c>
    </row>
    <row r="84" spans="1:24">
      <c r="A84" s="329"/>
      <c r="C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>
      <c r="A85" s="261" t="s">
        <v>1214</v>
      </c>
      <c r="B85" s="1" t="s">
        <v>174</v>
      </c>
      <c r="C85" s="4"/>
      <c r="E85" s="5">
        <f t="shared" ref="E85:X85" si="14">IF(E1&lt;$C$79,E81 * $C$91,"")</f>
        <v>5535288.5052373344</v>
      </c>
      <c r="F85" s="5">
        <f t="shared" si="14"/>
        <v>5696918.9295902634</v>
      </c>
      <c r="G85" s="5">
        <f t="shared" si="14"/>
        <v>5863268.9623342995</v>
      </c>
      <c r="H85" s="5">
        <f t="shared" si="14"/>
        <v>6034476.4160344591</v>
      </c>
      <c r="I85" s="5">
        <f t="shared" si="14"/>
        <v>6210683.127382664</v>
      </c>
      <c r="J85" s="5">
        <f t="shared" si="14"/>
        <v>6392035.0747022377</v>
      </c>
      <c r="K85" s="5">
        <f t="shared" si="14"/>
        <v>6578682.4988835426</v>
      </c>
      <c r="L85" s="5">
        <f t="shared" si="14"/>
        <v>6770780.0278509399</v>
      </c>
      <c r="M85" s="5">
        <f t="shared" si="14"/>
        <v>6968486.8046641862</v>
      </c>
      <c r="N85" s="5" t="str">
        <f t="shared" si="14"/>
        <v/>
      </c>
      <c r="O85" s="5" t="str">
        <f t="shared" si="14"/>
        <v/>
      </c>
      <c r="P85" s="5" t="str">
        <f t="shared" si="14"/>
        <v/>
      </c>
      <c r="Q85" s="5" t="str">
        <f t="shared" si="14"/>
        <v/>
      </c>
      <c r="R85" s="5" t="str">
        <f t="shared" si="14"/>
        <v/>
      </c>
      <c r="S85" s="5" t="str">
        <f t="shared" si="14"/>
        <v/>
      </c>
      <c r="T85" s="5" t="str">
        <f t="shared" si="14"/>
        <v/>
      </c>
      <c r="U85" s="5" t="str">
        <f t="shared" si="14"/>
        <v/>
      </c>
      <c r="V85" s="5" t="str">
        <f t="shared" si="14"/>
        <v/>
      </c>
      <c r="W85" s="5" t="str">
        <f t="shared" si="14"/>
        <v/>
      </c>
      <c r="X85" s="5" t="str">
        <f t="shared" si="14"/>
        <v/>
      </c>
    </row>
    <row r="86" spans="1:24">
      <c r="A86" s="261" t="s">
        <v>1215</v>
      </c>
      <c r="B86" s="1" t="s">
        <v>174</v>
      </c>
      <c r="C86" s="4"/>
      <c r="E86" s="5" t="str">
        <f t="shared" ref="E86:X86" si="15">IF(E1&gt;=$C$79,E82 * $C$97,"")</f>
        <v/>
      </c>
      <c r="F86" s="5" t="str">
        <f t="shared" si="15"/>
        <v/>
      </c>
      <c r="G86" s="5" t="str">
        <f t="shared" si="15"/>
        <v/>
      </c>
      <c r="H86" s="5" t="str">
        <f t="shared" si="15"/>
        <v/>
      </c>
      <c r="I86" s="5" t="str">
        <f t="shared" si="15"/>
        <v/>
      </c>
      <c r="J86" s="5" t="str">
        <f t="shared" si="15"/>
        <v/>
      </c>
      <c r="K86" s="5" t="str">
        <f t="shared" si="15"/>
        <v/>
      </c>
      <c r="L86" s="5" t="str">
        <f t="shared" si="15"/>
        <v/>
      </c>
      <c r="M86" s="5" t="str">
        <f t="shared" si="15"/>
        <v/>
      </c>
      <c r="N86" s="5">
        <f t="shared" si="15"/>
        <v>6309076.4889377486</v>
      </c>
      <c r="O86" s="5">
        <f t="shared" si="15"/>
        <v>6493301.5224147299</v>
      </c>
      <c r="P86" s="5">
        <f t="shared" si="15"/>
        <v>6682905.9268692378</v>
      </c>
      <c r="Q86" s="5">
        <f t="shared" si="15"/>
        <v>6878046.7799338186</v>
      </c>
      <c r="R86" s="5">
        <f t="shared" si="15"/>
        <v>7078885.745907886</v>
      </c>
      <c r="S86" s="5">
        <f t="shared" si="15"/>
        <v>7285589.2096883953</v>
      </c>
      <c r="T86" s="5">
        <f t="shared" si="15"/>
        <v>7498328.4146112939</v>
      </c>
      <c r="U86" s="5">
        <f t="shared" si="15"/>
        <v>7717279.6043179417</v>
      </c>
      <c r="V86" s="5">
        <f t="shared" si="15"/>
        <v>7942624.168764025</v>
      </c>
      <c r="W86" s="5">
        <f t="shared" si="15"/>
        <v>8174548.7944919355</v>
      </c>
      <c r="X86" s="5">
        <f t="shared" si="15"/>
        <v>8413245.6192910969</v>
      </c>
    </row>
    <row r="87" spans="1:24">
      <c r="A87" s="329" t="s">
        <v>1216</v>
      </c>
      <c r="B87" s="1" t="s">
        <v>174</v>
      </c>
      <c r="C87" s="4">
        <f>SUM(E87:X87)</f>
        <v>47648460.760114424</v>
      </c>
      <c r="E87" s="5">
        <f t="shared" ref="E87:X87" si="16">SUM(E85:E86) *  (1 + IRR)^-E$1</f>
        <v>4942221.8796761911</v>
      </c>
      <c r="F87" s="5">
        <f t="shared" si="16"/>
        <v>4541548.8915738706</v>
      </c>
      <c r="G87" s="5">
        <f t="shared" si="16"/>
        <v>4173359.0350069879</v>
      </c>
      <c r="H87" s="5">
        <f t="shared" si="16"/>
        <v>3835018.8560974924</v>
      </c>
      <c r="I87" s="5">
        <f t="shared" si="16"/>
        <v>3524108.3988353014</v>
      </c>
      <c r="J87" s="5">
        <f t="shared" si="16"/>
        <v>3238403.8965011532</v>
      </c>
      <c r="K87" s="5">
        <f t="shared" si="16"/>
        <v>2975861.8663205239</v>
      </c>
      <c r="L87" s="5">
        <f t="shared" si="16"/>
        <v>2734604.4935866804</v>
      </c>
      <c r="M87" s="5">
        <f t="shared" si="16"/>
        <v>2512906.2007137598</v>
      </c>
      <c r="N87" s="5">
        <f t="shared" si="16"/>
        <v>2031353.7770415512</v>
      </c>
      <c r="O87" s="5">
        <f t="shared" si="16"/>
        <v>1866669.0244028252</v>
      </c>
      <c r="P87" s="5">
        <f t="shared" si="16"/>
        <v>1715335.499924453</v>
      </c>
      <c r="Q87" s="5">
        <f t="shared" si="16"/>
        <v>1576270.8004662911</v>
      </c>
      <c r="R87" s="5">
        <f t="shared" si="16"/>
        <v>1448480.2748570596</v>
      </c>
      <c r="S87" s="5">
        <f t="shared" si="16"/>
        <v>1331049.9097168623</v>
      </c>
      <c r="T87" s="5">
        <f t="shared" si="16"/>
        <v>1223139.7920362444</v>
      </c>
      <c r="U87" s="5">
        <f t="shared" si="16"/>
        <v>1123978.1017533059</v>
      </c>
      <c r="V87" s="5">
        <f t="shared" si="16"/>
        <v>1032855.5913611626</v>
      </c>
      <c r="W87" s="5">
        <f t="shared" si="16"/>
        <v>949120.51306152553</v>
      </c>
      <c r="X87" s="5">
        <f t="shared" si="16"/>
        <v>872173.95718118013</v>
      </c>
    </row>
    <row r="89" spans="1:24" ht="17">
      <c r="A89" s="326" t="s">
        <v>1175</v>
      </c>
    </row>
    <row r="90" spans="1:24">
      <c r="A90" s="261" t="s">
        <v>1090</v>
      </c>
      <c r="B90" s="1" t="s">
        <v>167</v>
      </c>
      <c r="C90" s="295">
        <f>'Model and Assumptions'!G57</f>
        <v>0.6</v>
      </c>
    </row>
    <row r="91" spans="1:24">
      <c r="A91" s="261" t="s">
        <v>1172</v>
      </c>
      <c r="B91" s="1" t="s">
        <v>206</v>
      </c>
      <c r="C91" s="2">
        <f>C11/C90</f>
        <v>93.333333333333343</v>
      </c>
    </row>
    <row r="92" spans="1:24">
      <c r="A92" s="261" t="s">
        <v>1171</v>
      </c>
      <c r="B92" s="1" t="s">
        <v>1155</v>
      </c>
      <c r="C92" s="4">
        <f>(CapEx!C85*C91 + CapEx!D85)/$C$91</f>
        <v>1599089.2990704584</v>
      </c>
    </row>
    <row r="93" spans="1:24">
      <c r="A93" s="261" t="s">
        <v>1201</v>
      </c>
      <c r="B93" s="1" t="s">
        <v>174</v>
      </c>
      <c r="C93" s="4">
        <f>C92 * C91</f>
        <v>149248334.57990947</v>
      </c>
    </row>
    <row r="94" spans="1:24">
      <c r="C94" s="55"/>
    </row>
    <row r="95" spans="1:24" ht="34">
      <c r="A95" s="326" t="s">
        <v>1176</v>
      </c>
    </row>
    <row r="96" spans="1:24">
      <c r="A96" s="261" t="s">
        <v>1090</v>
      </c>
      <c r="B96" s="1" t="s">
        <v>167</v>
      </c>
      <c r="C96" s="80">
        <f>C90+'Model and Assumptions'!G60*C48</f>
        <v>0.7</v>
      </c>
    </row>
    <row r="97" spans="1:24">
      <c r="A97" s="261" t="s">
        <v>1172</v>
      </c>
      <c r="B97" s="1" t="s">
        <v>206</v>
      </c>
      <c r="C97">
        <f>C11 / C96</f>
        <v>80.000000000000014</v>
      </c>
    </row>
    <row r="98" spans="1:24">
      <c r="A98" s="261" t="s">
        <v>1171</v>
      </c>
      <c r="B98" s="1" t="s">
        <v>1155</v>
      </c>
      <c r="C98" s="5">
        <f>SUM(E98:X98)</f>
        <v>861293.66526676796</v>
      </c>
      <c r="E98" s="4" t="str">
        <f>IF(E$1&lt;&gt;$C$79,"",(CapEx!$C$85*$C$91+CapEx!$D$85)/$C$91 * (1-$C$80)^E$1)</f>
        <v/>
      </c>
      <c r="F98" s="4" t="str">
        <f>IF(F$1&lt;&gt;$C$79,"",(CapEx!$C$85*$C$91+CapEx!$D$85)/$C$91 * (1-$C$80)^F$1)</f>
        <v/>
      </c>
      <c r="G98" s="4" t="str">
        <f>IF(G$1&lt;&gt;$C$79,"",(CapEx!$C$85*$C$91+CapEx!$D$85)/$C$91 * (1-$C$80)^G$1)</f>
        <v/>
      </c>
      <c r="H98" s="4" t="str">
        <f>IF(H$1&lt;&gt;$C$79,"",(CapEx!$C$85*$C$91+CapEx!$D$85)/$C$91 * (1-$C$80)^H$1)</f>
        <v/>
      </c>
      <c r="I98" s="4" t="str">
        <f>IF(I$1&lt;&gt;$C$79,"",(CapEx!$C$85*$C$91+CapEx!$D$85)/$C$91 * (1-$C$80)^I$1)</f>
        <v/>
      </c>
      <c r="J98" s="4" t="str">
        <f>IF(J$1&lt;&gt;$C$79,"",(CapEx!$C$85*$C$91+CapEx!$D$85)/$C$91 * (1-$C$80)^J$1)</f>
        <v/>
      </c>
      <c r="K98" s="4" t="str">
        <f>IF(K$1&lt;&gt;$C$79,"",(CapEx!$C$85*$C$91+CapEx!$D$85)/$C$91 * (1-$C$80)^K$1)</f>
        <v/>
      </c>
      <c r="L98" s="4" t="str">
        <f>IF(L$1&lt;&gt;$C$79,"",(CapEx!$C$85*$C$91+CapEx!$D$85)/$C$91 * (1-$C$80)^L$1)</f>
        <v/>
      </c>
      <c r="M98" s="4" t="str">
        <f>IF(M$1&lt;&gt;$C$79,"",(CapEx!$C$85*$C$91+CapEx!$D$85)/$C$91 * (1-$C$80)^M$1)</f>
        <v/>
      </c>
      <c r="N98" s="4">
        <f>IF(N$1&lt;&gt;$C$79,"",(CapEx!$C$85*$C$91+CapEx!$D$85)/$C$91 * (1-$C$80)^N$1)</f>
        <v>861293.66526676796</v>
      </c>
      <c r="O98" s="4" t="str">
        <f>IF(O$1&lt;&gt;$C$79,"",(CapEx!$C$85*$C$91+CapEx!$D$85)/$C$91 * (1-$C$80)^O$1)</f>
        <v/>
      </c>
      <c r="P98" s="4" t="str">
        <f>IF(P$1&lt;&gt;$C$79,"",(CapEx!$C$85*$C$91+CapEx!$D$85)/$C$91 * (1-$C$80)^P$1)</f>
        <v/>
      </c>
      <c r="Q98" s="4" t="str">
        <f>IF(Q$1&lt;&gt;$C$79,"",(CapEx!$C$85*$C$91+CapEx!$D$85)/$C$91 * (1-$C$80)^Q$1)</f>
        <v/>
      </c>
      <c r="R98" s="4" t="str">
        <f>IF(R$1&lt;&gt;$C$79,"",(CapEx!$C$85*$C$91+CapEx!$D$85)/$C$91 * (1-$C$80)^R$1)</f>
        <v/>
      </c>
      <c r="S98" s="4" t="str">
        <f>IF(S$1&lt;&gt;$C$79,"",(CapEx!$C$85*$C$91+CapEx!$D$85)/$C$91 * (1-$C$80)^S$1)</f>
        <v/>
      </c>
      <c r="T98" s="4" t="str">
        <f>IF(T$1&lt;&gt;$C$79,"",(CapEx!$C$85*$C$91+CapEx!$D$85)/$C$91 * (1-$C$80)^T$1)</f>
        <v/>
      </c>
      <c r="U98" s="4" t="str">
        <f>IF(U$1&lt;&gt;$C$79,"",(CapEx!$C$85*$C$91+CapEx!$D$85)/$C$91 * (1-$C$80)^U$1)</f>
        <v/>
      </c>
      <c r="V98" s="4" t="str">
        <f>IF(V$1&lt;&gt;$C$79,"",(CapEx!$C$85*$C$91+CapEx!$D$85)/$C$91 * (1-$C$80)^V$1)</f>
        <v/>
      </c>
      <c r="W98" s="4" t="str">
        <f>IF(W$1&lt;&gt;$C$79,"",(CapEx!$C$85*$C$91+CapEx!$D$85)/$C$91 * (1-$C$80)^W$1)</f>
        <v/>
      </c>
      <c r="X98" s="4" t="str">
        <f>IF(X$1&lt;&gt;$C$79,"",(CapEx!$C$85*$C$91+CapEx!$D$85)/$C$91 * (1-$C$80)^X$1)</f>
        <v/>
      </c>
    </row>
    <row r="99" spans="1:24">
      <c r="A99" s="329" t="s">
        <v>199</v>
      </c>
      <c r="B99" s="1" t="s">
        <v>1155</v>
      </c>
      <c r="C99" s="5">
        <f>SUM(E99:X99)</f>
        <v>277313.50906100479</v>
      </c>
      <c r="E99" s="4"/>
      <c r="F99" s="4"/>
      <c r="G99" s="4"/>
      <c r="H99" s="4"/>
      <c r="I99" s="4"/>
      <c r="J99" s="4"/>
      <c r="K99" s="4"/>
      <c r="L99" s="4"/>
      <c r="M99" s="4"/>
      <c r="N99" s="4">
        <f>N98 * (1+IRR)^-N$1</f>
        <v>277313.50906100479</v>
      </c>
      <c r="O99" s="4"/>
      <c r="P99" s="4"/>
      <c r="Q99" s="4"/>
      <c r="R99" s="4"/>
      <c r="S99" s="4"/>
      <c r="T99" s="4"/>
      <c r="U99" s="4"/>
      <c r="V99" s="4"/>
      <c r="W99" s="4"/>
      <c r="X99" s="4"/>
    </row>
    <row r="100" spans="1:24">
      <c r="A100" s="278" t="s">
        <v>1202</v>
      </c>
      <c r="B100" s="1" t="s">
        <v>174</v>
      </c>
      <c r="C100" s="5">
        <f>C99 * C97</f>
        <v>22185080.724880386</v>
      </c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</row>
    <row r="102" spans="1:24">
      <c r="A102" s="261" t="s">
        <v>1178</v>
      </c>
      <c r="B102" s="1" t="s">
        <v>1155</v>
      </c>
      <c r="C102" s="5">
        <f>SUM(C83,C92,C99)</f>
        <v>2414012.0792073365</v>
      </c>
    </row>
    <row r="103" spans="1:24">
      <c r="A103" s="261" t="s">
        <v>1178</v>
      </c>
      <c r="B103" s="1" t="s">
        <v>174</v>
      </c>
      <c r="C103" s="5">
        <f>C100 + C93 + C87</f>
        <v>219081876.0649043</v>
      </c>
    </row>
    <row r="105" spans="1:24">
      <c r="A105" s="79" t="s">
        <v>1179</v>
      </c>
    </row>
    <row r="106" spans="1:24">
      <c r="A106" s="79"/>
    </row>
    <row r="107" spans="1:24">
      <c r="A107" s="261" t="s">
        <v>1180</v>
      </c>
      <c r="B107" s="1" t="s">
        <v>1181</v>
      </c>
      <c r="C107" s="267">
        <f>'Final Numerics'!C38</f>
        <v>0.2</v>
      </c>
    </row>
    <row r="108" spans="1:24">
      <c r="A108" s="261" t="s">
        <v>1182</v>
      </c>
      <c r="B108" s="1" t="s">
        <v>1181</v>
      </c>
      <c r="C108">
        <f>C107 * C17</f>
        <v>70</v>
      </c>
    </row>
    <row r="109" spans="1:24">
      <c r="A109" s="261"/>
    </row>
    <row r="110" spans="1:24">
      <c r="A110" s="261" t="s">
        <v>1113</v>
      </c>
      <c r="B110" s="1" t="s">
        <v>167</v>
      </c>
      <c r="C110" s="295">
        <f>'Model and Assumptions'!G20</f>
        <v>0.06</v>
      </c>
    </row>
    <row r="111" spans="1:24">
      <c r="A111" s="261" t="s">
        <v>735</v>
      </c>
      <c r="C111" s="268" t="str">
        <f>'Model and Assumptions'!B18</f>
        <v>Distribution SO</v>
      </c>
    </row>
    <row r="112" spans="1:24" ht="31">
      <c r="A112" s="309" t="s">
        <v>1003</v>
      </c>
      <c r="B112" s="1" t="s">
        <v>174</v>
      </c>
      <c r="C112" s="331">
        <f>'Model and Assumptions'!G27</f>
        <v>323.0095</v>
      </c>
    </row>
    <row r="113" spans="1:24">
      <c r="A113" s="261" t="s">
        <v>880</v>
      </c>
      <c r="B113" s="1" t="s">
        <v>174</v>
      </c>
      <c r="C113" s="330">
        <f>'Model and Assumptions'!G16</f>
        <v>20000</v>
      </c>
    </row>
    <row r="114" spans="1:24">
      <c r="A114" s="261" t="s">
        <v>882</v>
      </c>
      <c r="B114" s="1" t="s">
        <v>174</v>
      </c>
      <c r="C114" s="330">
        <f>'Model and Assumptions'!G17</f>
        <v>0</v>
      </c>
    </row>
    <row r="115" spans="1:24">
      <c r="A115" s="261" t="s">
        <v>881</v>
      </c>
      <c r="B115" s="1" t="s">
        <v>174</v>
      </c>
      <c r="C115" s="330">
        <f>'Model and Assumptions'!G18</f>
        <v>0</v>
      </c>
    </row>
    <row r="116" spans="1:24">
      <c r="A116" s="261" t="s">
        <v>883</v>
      </c>
      <c r="B116" s="1" t="s">
        <v>174</v>
      </c>
      <c r="C116" s="324">
        <f>'Model and Assumptions'!G19</f>
        <v>21280</v>
      </c>
    </row>
    <row r="117" spans="1:24">
      <c r="A117" s="261"/>
      <c r="C117" s="324"/>
    </row>
    <row r="118" spans="1:24" ht="17">
      <c r="A118" s="326" t="s">
        <v>1188</v>
      </c>
    </row>
    <row r="119" spans="1:24">
      <c r="A119" s="261"/>
    </row>
    <row r="120" spans="1:24">
      <c r="A120" s="309" t="s">
        <v>1186</v>
      </c>
      <c r="B120" s="1" t="s">
        <v>174</v>
      </c>
      <c r="C120" s="6">
        <f>SUMPRODUCT(E120:X120,E121:X121) / SUM(E121:X121)</f>
        <v>551.99842134241669</v>
      </c>
      <c r="E120" s="2">
        <f>$C$112 * (1+$C$18)^E$1</f>
        <v>332.44137739999996</v>
      </c>
      <c r="F120" s="2">
        <f t="shared" ref="F120:X120" si="17">$C$112 * (1+$C$18)^F$1</f>
        <v>342.1486656200799</v>
      </c>
      <c r="G120" s="2">
        <f t="shared" si="17"/>
        <v>352.13940665618622</v>
      </c>
      <c r="H120" s="2">
        <f t="shared" si="17"/>
        <v>362.42187733054675</v>
      </c>
      <c r="I120" s="2">
        <f t="shared" si="17"/>
        <v>373.00459614859875</v>
      </c>
      <c r="J120" s="2">
        <f t="shared" si="17"/>
        <v>383.89633035613775</v>
      </c>
      <c r="K120" s="2">
        <f t="shared" si="17"/>
        <v>395.10610320253693</v>
      </c>
      <c r="L120" s="2">
        <f t="shared" si="17"/>
        <v>406.64320141605089</v>
      </c>
      <c r="M120" s="2">
        <f t="shared" si="17"/>
        <v>418.51718289739949</v>
      </c>
      <c r="N120" s="2">
        <f t="shared" si="17"/>
        <v>430.73788463800355</v>
      </c>
      <c r="O120" s="2">
        <f t="shared" si="17"/>
        <v>443.31543086943321</v>
      </c>
      <c r="P120" s="2">
        <f t="shared" si="17"/>
        <v>456.26024145082056</v>
      </c>
      <c r="Q120" s="2">
        <f t="shared" si="17"/>
        <v>469.58304050118443</v>
      </c>
      <c r="R120" s="2">
        <f t="shared" si="17"/>
        <v>483.29486528381898</v>
      </c>
      <c r="S120" s="2">
        <f t="shared" si="17"/>
        <v>497.40707535010648</v>
      </c>
      <c r="T120" s="2">
        <f t="shared" si="17"/>
        <v>511.93136195032935</v>
      </c>
      <c r="U120" s="2">
        <f t="shared" si="17"/>
        <v>526.87975771927893</v>
      </c>
      <c r="V120" s="2">
        <f t="shared" si="17"/>
        <v>542.26464664468176</v>
      </c>
      <c r="W120" s="2">
        <f t="shared" si="17"/>
        <v>558.09877432670646</v>
      </c>
      <c r="X120" s="2">
        <f t="shared" si="17"/>
        <v>574.39525853704617</v>
      </c>
    </row>
    <row r="121" spans="1:24">
      <c r="A121" s="261" t="s">
        <v>1213</v>
      </c>
      <c r="B121" s="1" t="s">
        <v>1208</v>
      </c>
      <c r="E121" s="4">
        <f t="shared" ref="E121:X121" si="18">IF(E50&gt;0, $C$108,-(E50+$C$108))</f>
        <v>70</v>
      </c>
      <c r="F121" s="4">
        <f t="shared" si="18"/>
        <v>70</v>
      </c>
      <c r="G121" s="4">
        <f t="shared" si="18"/>
        <v>70</v>
      </c>
      <c r="H121" s="4">
        <f t="shared" si="18"/>
        <v>70</v>
      </c>
      <c r="I121" s="4">
        <f t="shared" si="18"/>
        <v>70</v>
      </c>
      <c r="J121" s="4">
        <f t="shared" si="18"/>
        <v>70</v>
      </c>
      <c r="K121" s="4">
        <f t="shared" si="18"/>
        <v>70</v>
      </c>
      <c r="L121" s="4">
        <f t="shared" si="18"/>
        <v>70</v>
      </c>
      <c r="M121" s="4">
        <f t="shared" si="18"/>
        <v>70</v>
      </c>
      <c r="N121" s="4">
        <f t="shared" si="18"/>
        <v>70</v>
      </c>
      <c r="O121" s="4">
        <f t="shared" si="18"/>
        <v>70</v>
      </c>
      <c r="P121" s="4">
        <f t="shared" si="18"/>
        <v>70</v>
      </c>
      <c r="Q121" s="4">
        <f t="shared" si="18"/>
        <v>70</v>
      </c>
      <c r="R121" s="4">
        <f t="shared" si="18"/>
        <v>70</v>
      </c>
      <c r="S121" s="4">
        <f t="shared" si="18"/>
        <v>70</v>
      </c>
      <c r="T121" s="4">
        <f t="shared" si="18"/>
        <v>3713.4156399193762</v>
      </c>
      <c r="U121" s="4">
        <f t="shared" si="18"/>
        <v>8853.2185617197374</v>
      </c>
      <c r="V121" s="4">
        <f t="shared" si="18"/>
        <v>13967.322468911176</v>
      </c>
      <c r="W121" s="4">
        <f t="shared" si="18"/>
        <v>19055.855856566563</v>
      </c>
      <c r="X121" s="4">
        <f t="shared" si="18"/>
        <v>24118.946577283721</v>
      </c>
    </row>
    <row r="123" spans="1:24">
      <c r="A123" s="309" t="s">
        <v>1183</v>
      </c>
      <c r="E123" s="327">
        <f t="shared" ref="E123:X123" si="19">($C$115 * E$121 + $C$116) * (1 + $C$18)^E$1</f>
        <v>21901.375999999997</v>
      </c>
      <c r="F123" s="327">
        <f t="shared" si="19"/>
        <v>22540.896179199994</v>
      </c>
      <c r="G123" s="327">
        <f t="shared" si="19"/>
        <v>23199.090347632635</v>
      </c>
      <c r="H123" s="327">
        <f t="shared" si="19"/>
        <v>23876.503785783501</v>
      </c>
      <c r="I123" s="327">
        <f t="shared" si="19"/>
        <v>24573.697696328378</v>
      </c>
      <c r="J123" s="327">
        <f t="shared" si="19"/>
        <v>25291.249669061162</v>
      </c>
      <c r="K123" s="327">
        <f t="shared" si="19"/>
        <v>26029.754159397744</v>
      </c>
      <c r="L123" s="327">
        <f t="shared" si="19"/>
        <v>26789.82298085215</v>
      </c>
      <c r="M123" s="327">
        <f t="shared" si="19"/>
        <v>27572.08581189303</v>
      </c>
      <c r="N123" s="327">
        <f t="shared" si="19"/>
        <v>28377.190717600304</v>
      </c>
      <c r="O123" s="327">
        <f t="shared" si="19"/>
        <v>29205.804686554231</v>
      </c>
      <c r="P123" s="327">
        <f t="shared" si="19"/>
        <v>30058.614183401605</v>
      </c>
      <c r="Q123" s="327">
        <f t="shared" si="19"/>
        <v>30936.325717556931</v>
      </c>
      <c r="R123" s="327">
        <f t="shared" si="19"/>
        <v>31839.66642850959</v>
      </c>
      <c r="S123" s="327">
        <f t="shared" si="19"/>
        <v>32769.384688222068</v>
      </c>
      <c r="T123" s="327">
        <f t="shared" si="19"/>
        <v>33726.250721118136</v>
      </c>
      <c r="U123" s="327">
        <f t="shared" si="19"/>
        <v>34711.057242174786</v>
      </c>
      <c r="V123" s="327">
        <f t="shared" si="19"/>
        <v>35724.620113646284</v>
      </c>
      <c r="W123" s="327">
        <f t="shared" si="19"/>
        <v>36767.77902096475</v>
      </c>
      <c r="X123" s="327">
        <f t="shared" si="19"/>
        <v>37841.398168376909</v>
      </c>
    </row>
    <row r="124" spans="1:24">
      <c r="A124" s="329" t="s">
        <v>1184</v>
      </c>
      <c r="B124" s="1" t="s">
        <v>174</v>
      </c>
      <c r="C124" s="6">
        <f>SUM(E124:X124) * (1 - C110)</f>
        <v>184934.98011755958</v>
      </c>
      <c r="E124" s="2">
        <f t="shared" ref="E124:X124" si="20">E123 * (1+IRR)^-E$1</f>
        <v>19554.799999999996</v>
      </c>
      <c r="F124" s="2">
        <f t="shared" si="20"/>
        <v>17969.46442857142</v>
      </c>
      <c r="G124" s="2">
        <f t="shared" si="20"/>
        <v>16512.654276683665</v>
      </c>
      <c r="H124" s="2">
        <f t="shared" si="20"/>
        <v>15173.949804966809</v>
      </c>
      <c r="I124" s="2">
        <f t="shared" si="20"/>
        <v>13943.776017206996</v>
      </c>
      <c r="J124" s="2">
        <f t="shared" si="20"/>
        <v>12813.334175811997</v>
      </c>
      <c r="K124" s="2">
        <f t="shared" si="20"/>
        <v>11774.538869415808</v>
      </c>
      <c r="L124" s="2">
        <f t="shared" si="20"/>
        <v>10819.960182502451</v>
      </c>
      <c r="M124" s="2">
        <f t="shared" si="20"/>
        <v>9942.7705534210018</v>
      </c>
      <c r="N124" s="2">
        <f t="shared" si="20"/>
        <v>9136.6959406972255</v>
      </c>
      <c r="O124" s="2">
        <f t="shared" si="20"/>
        <v>8395.9709483621264</v>
      </c>
      <c r="P124" s="2">
        <f t="shared" si="20"/>
        <v>7715.2975893341963</v>
      </c>
      <c r="Q124" s="2">
        <f t="shared" si="20"/>
        <v>7089.8073919131712</v>
      </c>
      <c r="R124" s="2">
        <f t="shared" si="20"/>
        <v>6515.0265783544955</v>
      </c>
      <c r="S124" s="2">
        <f t="shared" si="20"/>
        <v>5986.8440664664704</v>
      </c>
      <c r="T124" s="2">
        <f t="shared" si="20"/>
        <v>5501.4820653636489</v>
      </c>
      <c r="U124" s="2">
        <f t="shared" si="20"/>
        <v>5055.4690550645246</v>
      </c>
      <c r="V124" s="2">
        <f t="shared" si="20"/>
        <v>4645.6149566717922</v>
      </c>
      <c r="W124" s="2">
        <f t="shared" si="20"/>
        <v>4268.9883155416137</v>
      </c>
      <c r="X124" s="2">
        <f t="shared" si="20"/>
        <v>3922.8953342459176</v>
      </c>
    </row>
    <row r="126" spans="1:24">
      <c r="A126" s="309" t="s">
        <v>1185</v>
      </c>
      <c r="B126" s="1" t="s">
        <v>174</v>
      </c>
      <c r="C126" s="2">
        <f>SUMPRODUCT(E121:X121,E126:X126)  / SUM(E121:X121)</f>
        <v>2.8792898956433075</v>
      </c>
      <c r="E126" s="2">
        <f t="shared" ref="E126:X126" si="21">($C$113 * (1-$C$110) + $C$124) / (E$121 * $C$16)</f>
        <v>145.52498579825684</v>
      </c>
      <c r="F126" s="2">
        <f t="shared" si="21"/>
        <v>145.52498579825684</v>
      </c>
      <c r="G126" s="2">
        <f t="shared" si="21"/>
        <v>145.52498579825684</v>
      </c>
      <c r="H126" s="2">
        <f t="shared" si="21"/>
        <v>145.52498579825684</v>
      </c>
      <c r="I126" s="2">
        <f t="shared" si="21"/>
        <v>145.52498579825684</v>
      </c>
      <c r="J126" s="2">
        <f t="shared" si="21"/>
        <v>145.52498579825684</v>
      </c>
      <c r="K126" s="2">
        <f t="shared" si="21"/>
        <v>145.52498579825684</v>
      </c>
      <c r="L126" s="2">
        <f t="shared" si="21"/>
        <v>145.52498579825684</v>
      </c>
      <c r="M126" s="2">
        <f t="shared" si="21"/>
        <v>145.52498579825684</v>
      </c>
      <c r="N126" s="2">
        <f t="shared" si="21"/>
        <v>145.52498579825684</v>
      </c>
      <c r="O126" s="2">
        <f t="shared" si="21"/>
        <v>145.52498579825684</v>
      </c>
      <c r="P126" s="2">
        <f t="shared" si="21"/>
        <v>145.52498579825684</v>
      </c>
      <c r="Q126" s="2">
        <f t="shared" si="21"/>
        <v>145.52498579825684</v>
      </c>
      <c r="R126" s="2">
        <f t="shared" si="21"/>
        <v>145.52498579825684</v>
      </c>
      <c r="S126" s="2">
        <f t="shared" si="21"/>
        <v>145.52498579825684</v>
      </c>
      <c r="T126" s="2">
        <f t="shared" si="21"/>
        <v>2.7432288743468396</v>
      </c>
      <c r="U126" s="2">
        <f t="shared" si="21"/>
        <v>1.1506266263349996</v>
      </c>
      <c r="V126" s="2">
        <f t="shared" si="21"/>
        <v>0.72932725857456981</v>
      </c>
      <c r="W126" s="2">
        <f t="shared" si="21"/>
        <v>0.53457315601847766</v>
      </c>
      <c r="X126" s="2">
        <f t="shared" si="21"/>
        <v>0.42235464029230463</v>
      </c>
    </row>
    <row r="128" spans="1:24">
      <c r="A128" t="s">
        <v>1187</v>
      </c>
      <c r="B128" s="1" t="s">
        <v>174</v>
      </c>
      <c r="C128" s="327">
        <f>C126 + C120</f>
        <v>554.87771123805999</v>
      </c>
      <c r="E128" s="327">
        <f>E120+E126</f>
        <v>477.96636319825677</v>
      </c>
      <c r="F128" s="327">
        <f t="shared" ref="F128:X128" si="22">F120+F126</f>
        <v>487.6736514183367</v>
      </c>
      <c r="G128" s="327">
        <f t="shared" si="22"/>
        <v>497.66439245444303</v>
      </c>
      <c r="H128" s="327">
        <f t="shared" si="22"/>
        <v>507.94686312880356</v>
      </c>
      <c r="I128" s="327">
        <f t="shared" si="22"/>
        <v>518.52958194685561</v>
      </c>
      <c r="J128" s="327">
        <f t="shared" si="22"/>
        <v>529.42131615439462</v>
      </c>
      <c r="K128" s="327">
        <f t="shared" si="22"/>
        <v>540.63108900079374</v>
      </c>
      <c r="L128" s="327">
        <f t="shared" si="22"/>
        <v>552.16818721430775</v>
      </c>
      <c r="M128" s="327">
        <f t="shared" si="22"/>
        <v>564.0421686956563</v>
      </c>
      <c r="N128" s="327">
        <f t="shared" si="22"/>
        <v>576.26287043626041</v>
      </c>
      <c r="O128" s="327">
        <f t="shared" si="22"/>
        <v>588.84041666769008</v>
      </c>
      <c r="P128" s="327">
        <f t="shared" si="22"/>
        <v>601.78522724907737</v>
      </c>
      <c r="Q128" s="327">
        <f t="shared" si="22"/>
        <v>615.10802629944124</v>
      </c>
      <c r="R128" s="327">
        <f t="shared" si="22"/>
        <v>628.81985108207584</v>
      </c>
      <c r="S128" s="327">
        <f t="shared" si="22"/>
        <v>642.93206114836335</v>
      </c>
      <c r="T128" s="327">
        <f t="shared" si="22"/>
        <v>514.67459082467622</v>
      </c>
      <c r="U128" s="327">
        <f t="shared" si="22"/>
        <v>528.03038434561392</v>
      </c>
      <c r="V128" s="327">
        <f t="shared" si="22"/>
        <v>542.99397390325635</v>
      </c>
      <c r="W128" s="327">
        <f t="shared" si="22"/>
        <v>558.63334748272496</v>
      </c>
      <c r="X128" s="327">
        <f t="shared" si="22"/>
        <v>574.81761317733844</v>
      </c>
    </row>
    <row r="129" spans="1:24">
      <c r="C129" s="327"/>
    </row>
    <row r="130" spans="1:24">
      <c r="A130" s="79" t="s">
        <v>1217</v>
      </c>
      <c r="C130" s="327"/>
    </row>
    <row r="131" spans="1:24">
      <c r="C131" s="327"/>
    </row>
    <row r="132" spans="1:24">
      <c r="A132" s="309" t="s">
        <v>1218</v>
      </c>
      <c r="B132" s="1" t="s">
        <v>1212</v>
      </c>
      <c r="C132" s="327"/>
      <c r="E132" s="5">
        <f>E50</f>
        <v>76486.890549999749</v>
      </c>
      <c r="F132" s="5">
        <f t="shared" ref="F132:X132" si="23">F50</f>
        <v>70945.736097249799</v>
      </c>
      <c r="G132" s="5">
        <f t="shared" si="23"/>
        <v>65432.287416763618</v>
      </c>
      <c r="H132" s="5">
        <f t="shared" si="23"/>
        <v>59946.405979679781</v>
      </c>
      <c r="I132" s="5">
        <f t="shared" si="23"/>
        <v>54487.953949781528</v>
      </c>
      <c r="J132" s="5">
        <f t="shared" si="23"/>
        <v>49056.794180032499</v>
      </c>
      <c r="K132" s="5">
        <f t="shared" si="23"/>
        <v>43652.790209132349</v>
      </c>
      <c r="L132" s="5">
        <f t="shared" si="23"/>
        <v>38275.806258086719</v>
      </c>
      <c r="M132" s="5">
        <f>IF(M50&gt;0, M50, "")</f>
        <v>32925.707226796221</v>
      </c>
      <c r="N132" s="5">
        <f t="shared" si="23"/>
        <v>27602.358690662375</v>
      </c>
      <c r="O132" s="5">
        <f t="shared" si="23"/>
        <v>22305.626897208964</v>
      </c>
      <c r="P132" s="5">
        <f t="shared" si="23"/>
        <v>17035.378762723041</v>
      </c>
      <c r="Q132" s="5">
        <f t="shared" si="23"/>
        <v>11791.481868909375</v>
      </c>
      <c r="R132" s="5">
        <f t="shared" si="23"/>
        <v>6573.8044595648089</v>
      </c>
      <c r="S132" s="5">
        <f t="shared" si="23"/>
        <v>1382.2154372669722</v>
      </c>
      <c r="T132" s="5">
        <f t="shared" si="23"/>
        <v>-3783.4156399193762</v>
      </c>
      <c r="U132" s="5">
        <f t="shared" si="23"/>
        <v>-8923.2185617197374</v>
      </c>
      <c r="V132" s="5">
        <f t="shared" si="23"/>
        <v>-14037.322468911176</v>
      </c>
      <c r="W132" s="5">
        <f t="shared" si="23"/>
        <v>-19125.855856566563</v>
      </c>
      <c r="X132" s="5">
        <f t="shared" si="23"/>
        <v>-24188.946577283721</v>
      </c>
    </row>
    <row r="133" spans="1:24">
      <c r="A133" s="309" t="s">
        <v>1221</v>
      </c>
      <c r="C133" s="335">
        <v>0.03</v>
      </c>
    </row>
    <row r="134" spans="1:24">
      <c r="A134" s="309"/>
      <c r="C134" s="327"/>
    </row>
    <row r="135" spans="1:24">
      <c r="A135" s="309" t="s">
        <v>1219</v>
      </c>
      <c r="B135" s="1" t="s">
        <v>174</v>
      </c>
      <c r="C135" s="327"/>
      <c r="E135" s="2">
        <f>IF($C$111 = "Distribution SO",0,IF(E132&gt;0,E132 * E120 * (1-$C$133),0))</f>
        <v>0</v>
      </c>
      <c r="F135" s="2">
        <f t="shared" ref="F135:X135" si="24">IF($C$111 = "Distribution SO",0,IF(F132&gt;0,F132 * F120 * (1-$C$133),0))</f>
        <v>0</v>
      </c>
      <c r="G135" s="2">
        <f t="shared" si="24"/>
        <v>0</v>
      </c>
      <c r="H135" s="2">
        <f t="shared" si="24"/>
        <v>0</v>
      </c>
      <c r="I135" s="2">
        <f t="shared" si="24"/>
        <v>0</v>
      </c>
      <c r="J135" s="2">
        <f t="shared" si="24"/>
        <v>0</v>
      </c>
      <c r="K135" s="2">
        <f t="shared" si="24"/>
        <v>0</v>
      </c>
      <c r="L135" s="2">
        <f t="shared" si="24"/>
        <v>0</v>
      </c>
      <c r="M135" s="2">
        <f t="shared" si="24"/>
        <v>0</v>
      </c>
      <c r="N135" s="2">
        <f t="shared" si="24"/>
        <v>0</v>
      </c>
      <c r="O135" s="2">
        <f t="shared" si="24"/>
        <v>0</v>
      </c>
      <c r="P135" s="2">
        <f t="shared" si="24"/>
        <v>0</v>
      </c>
      <c r="Q135" s="2">
        <f t="shared" si="24"/>
        <v>0</v>
      </c>
      <c r="R135" s="2">
        <f t="shared" si="24"/>
        <v>0</v>
      </c>
      <c r="S135" s="2">
        <f t="shared" si="24"/>
        <v>0</v>
      </c>
      <c r="T135" s="2">
        <f t="shared" si="24"/>
        <v>0</v>
      </c>
      <c r="U135" s="2">
        <f t="shared" si="24"/>
        <v>0</v>
      </c>
      <c r="V135" s="2">
        <f t="shared" si="24"/>
        <v>0</v>
      </c>
      <c r="W135" s="2">
        <f t="shared" si="24"/>
        <v>0</v>
      </c>
      <c r="X135" s="2">
        <f t="shared" si="24"/>
        <v>0</v>
      </c>
    </row>
    <row r="136" spans="1:24">
      <c r="A136" s="329" t="s">
        <v>1220</v>
      </c>
      <c r="B136" s="1" t="s">
        <v>174</v>
      </c>
      <c r="C136" s="327">
        <f>SUM(E136:X136)</f>
        <v>0</v>
      </c>
      <c r="E136" s="2">
        <f t="shared" ref="E136:X136" si="25">E$135 * (1+IRR)^-E$1</f>
        <v>0</v>
      </c>
      <c r="F136" s="2">
        <f t="shared" si="25"/>
        <v>0</v>
      </c>
      <c r="G136" s="2">
        <f t="shared" si="25"/>
        <v>0</v>
      </c>
      <c r="H136" s="2">
        <f t="shared" si="25"/>
        <v>0</v>
      </c>
      <c r="I136" s="2">
        <f t="shared" si="25"/>
        <v>0</v>
      </c>
      <c r="J136" s="2">
        <f t="shared" si="25"/>
        <v>0</v>
      </c>
      <c r="K136" s="2">
        <f t="shared" si="25"/>
        <v>0</v>
      </c>
      <c r="L136" s="2">
        <f t="shared" si="25"/>
        <v>0</v>
      </c>
      <c r="M136" s="2">
        <f t="shared" si="25"/>
        <v>0</v>
      </c>
      <c r="N136" s="2">
        <f t="shared" si="25"/>
        <v>0</v>
      </c>
      <c r="O136" s="2">
        <f t="shared" si="25"/>
        <v>0</v>
      </c>
      <c r="P136" s="2">
        <f t="shared" si="25"/>
        <v>0</v>
      </c>
      <c r="Q136" s="2">
        <f t="shared" si="25"/>
        <v>0</v>
      </c>
      <c r="R136" s="2">
        <f t="shared" si="25"/>
        <v>0</v>
      </c>
      <c r="S136" s="2">
        <f t="shared" si="25"/>
        <v>0</v>
      </c>
      <c r="T136" s="2">
        <f t="shared" si="25"/>
        <v>0</v>
      </c>
      <c r="U136" s="2">
        <f t="shared" si="25"/>
        <v>0</v>
      </c>
      <c r="V136" s="2">
        <f t="shared" si="25"/>
        <v>0</v>
      </c>
      <c r="W136" s="2">
        <f t="shared" si="25"/>
        <v>0</v>
      </c>
      <c r="X136" s="2">
        <f t="shared" si="25"/>
        <v>0</v>
      </c>
    </row>
    <row r="137" spans="1:24">
      <c r="C137" s="327"/>
    </row>
    <row r="138" spans="1:24">
      <c r="A138" s="79" t="s">
        <v>1059</v>
      </c>
    </row>
    <row r="140" spans="1:24">
      <c r="A140" s="309" t="s">
        <v>1190</v>
      </c>
      <c r="B140" s="1" t="s">
        <v>1189</v>
      </c>
      <c r="C140" s="5">
        <f>C6 *C8  * C17</f>
        <v>1680000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</row>
    <row r="141" spans="1:24">
      <c r="A141" s="329" t="s">
        <v>1203</v>
      </c>
      <c r="B141" s="1" t="s">
        <v>1189</v>
      </c>
      <c r="C141" s="5">
        <f>SUM(E141:X141)</f>
        <v>12548665.288870355</v>
      </c>
      <c r="E141" s="4">
        <f t="shared" ref="E141:X141" si="26">$C$140 * (1+IRR)^-E$1</f>
        <v>1500000</v>
      </c>
      <c r="F141" s="4">
        <f t="shared" si="26"/>
        <v>1339285.7142857141</v>
      </c>
      <c r="G141" s="4">
        <f t="shared" si="26"/>
        <v>1195790.8163265302</v>
      </c>
      <c r="H141" s="4">
        <f t="shared" si="26"/>
        <v>1067670.3717201164</v>
      </c>
      <c r="I141" s="4">
        <f t="shared" si="26"/>
        <v>953277.11760724662</v>
      </c>
      <c r="J141" s="4">
        <f t="shared" si="26"/>
        <v>851140.28357789875</v>
      </c>
      <c r="K141" s="4">
        <f t="shared" si="26"/>
        <v>759946.6817659809</v>
      </c>
      <c r="L141" s="4">
        <f t="shared" si="26"/>
        <v>678523.82300534006</v>
      </c>
      <c r="M141" s="4">
        <f t="shared" si="26"/>
        <v>605824.84196905373</v>
      </c>
      <c r="N141" s="4">
        <f t="shared" si="26"/>
        <v>540915.03747236927</v>
      </c>
      <c r="O141" s="4">
        <f t="shared" si="26"/>
        <v>482959.85488604393</v>
      </c>
      <c r="P141" s="4">
        <f t="shared" si="26"/>
        <v>431214.15614825359</v>
      </c>
      <c r="Q141" s="4">
        <f t="shared" si="26"/>
        <v>385012.63941808348</v>
      </c>
      <c r="R141" s="4">
        <f t="shared" si="26"/>
        <v>343761.28519471735</v>
      </c>
      <c r="S141" s="4">
        <f t="shared" si="26"/>
        <v>306929.71892385476</v>
      </c>
      <c r="T141" s="4">
        <f t="shared" si="26"/>
        <v>274044.39189629885</v>
      </c>
      <c r="U141" s="4">
        <f t="shared" si="26"/>
        <v>244682.49276455256</v>
      </c>
      <c r="V141" s="4">
        <f t="shared" si="26"/>
        <v>218466.51139692191</v>
      </c>
      <c r="W141" s="4">
        <f t="shared" si="26"/>
        <v>195059.38517582312</v>
      </c>
      <c r="X141" s="4">
        <f t="shared" si="26"/>
        <v>174160.16533555635</v>
      </c>
    </row>
    <row r="143" spans="1:24">
      <c r="A143" s="309" t="s">
        <v>1192</v>
      </c>
      <c r="B143" s="1" t="s">
        <v>174</v>
      </c>
      <c r="C143" s="2">
        <f>C30 * C31 + C42 * C74 + C128 * C107</f>
        <v>17011.681095834141</v>
      </c>
    </row>
    <row r="144" spans="1:24">
      <c r="A144" s="261" t="s">
        <v>1193</v>
      </c>
      <c r="B144" s="1" t="s">
        <v>1191</v>
      </c>
      <c r="C144" s="5">
        <f>AVERAGE(E141:X141) / C17</f>
        <v>1792.6664698386223</v>
      </c>
    </row>
    <row r="145" spans="1:3">
      <c r="A145" s="261"/>
      <c r="C145" s="5"/>
    </row>
    <row r="146" spans="1:3">
      <c r="A146" s="261" t="s">
        <v>1195</v>
      </c>
      <c r="C146" s="6">
        <f>C107/C28*'Model and Assumptions'!B17</f>
        <v>1.7546666666666669E-2</v>
      </c>
    </row>
    <row r="147" spans="1:3">
      <c r="A147" s="261" t="s">
        <v>1111</v>
      </c>
      <c r="B147" s="1" t="s">
        <v>1194</v>
      </c>
      <c r="C147" s="163">
        <f>C103  / C141 * 0.0336</f>
        <v>0.58660828592739067</v>
      </c>
    </row>
    <row r="148" spans="1:3">
      <c r="A148" s="261" t="s">
        <v>1199</v>
      </c>
      <c r="B148" s="1" t="s">
        <v>1197</v>
      </c>
      <c r="C148" s="2">
        <f>C147 + C143 / C144 - C136 / C141</f>
        <v>10.076204583985863</v>
      </c>
    </row>
    <row r="149" spans="1:3">
      <c r="A149" s="261" t="s">
        <v>1196</v>
      </c>
      <c r="B149" s="1" t="s">
        <v>174</v>
      </c>
      <c r="C149" s="6">
        <f>IF(C146&lt;C154,-3,IF(C146&lt;C155,-1,IF(C146&lt;C156,-0.75,IF(C146&lt;C157,-0.6,0))))</f>
        <v>-3</v>
      </c>
    </row>
    <row r="150" spans="1:3">
      <c r="A150" s="261" t="s">
        <v>1198</v>
      </c>
      <c r="B150" s="1" t="s">
        <v>1197</v>
      </c>
      <c r="C150" s="2">
        <f>C148 + C149</f>
        <v>7.0762045839858629</v>
      </c>
    </row>
    <row r="152" spans="1:3">
      <c r="A152" s="254" t="s">
        <v>1042</v>
      </c>
      <c r="B152"/>
      <c r="C152" t="s">
        <v>1079</v>
      </c>
    </row>
    <row r="153" spans="1:3">
      <c r="A153">
        <v>24</v>
      </c>
      <c r="B153" t="s">
        <v>1074</v>
      </c>
      <c r="C153">
        <f>ROUND(A153/$A$153,2)</f>
        <v>1</v>
      </c>
    </row>
    <row r="154" spans="1:3">
      <c r="A154">
        <v>0.96</v>
      </c>
      <c r="B154" t="s">
        <v>1075</v>
      </c>
      <c r="C154">
        <f>ROUND(A154/$A$153,2)</f>
        <v>0.04</v>
      </c>
    </row>
    <row r="155" spans="1:3">
      <c r="A155">
        <v>3.2</v>
      </c>
      <c r="B155" t="s">
        <v>1076</v>
      </c>
      <c r="C155">
        <f>ROUND(A155/$A$153,2)</f>
        <v>0.13</v>
      </c>
    </row>
    <row r="156" spans="1:3">
      <c r="A156">
        <v>5.3</v>
      </c>
      <c r="B156" t="s">
        <v>1077</v>
      </c>
      <c r="C156">
        <f>ROUND(A156/$A$153,2)</f>
        <v>0.22</v>
      </c>
    </row>
    <row r="157" spans="1:3">
      <c r="A157">
        <v>8.5</v>
      </c>
      <c r="B157" t="s">
        <v>1078</v>
      </c>
      <c r="C157">
        <f>ROUND(A157/$A$153,2)</f>
        <v>0.35</v>
      </c>
    </row>
  </sheetData>
  <pageMargins left="0.7" right="0.7" top="0.75" bottom="0.75" header="0.3" footer="0.3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70093-3FF9-0340-B609-A002455A5091}">
  <dimension ref="B1:I54"/>
  <sheetViews>
    <sheetView showGridLines="0" workbookViewId="0">
      <selection activeCell="C27" sqref="C27"/>
    </sheetView>
  </sheetViews>
  <sheetFormatPr baseColWidth="10" defaultRowHeight="16"/>
  <cols>
    <col min="2" max="2" width="49.5" bestFit="1" customWidth="1"/>
    <col min="3" max="3" width="15" bestFit="1" customWidth="1"/>
    <col min="4" max="4" width="108" bestFit="1" customWidth="1"/>
    <col min="7" max="7" width="88.6640625" bestFit="1" customWidth="1"/>
    <col min="8" max="8" width="17.33203125" bestFit="1" customWidth="1"/>
    <col min="9" max="9" width="22.83203125" customWidth="1"/>
  </cols>
  <sheetData>
    <row r="1" spans="2:9">
      <c r="B1" s="254" t="s">
        <v>1044</v>
      </c>
      <c r="C1" s="254" t="s">
        <v>1045</v>
      </c>
      <c r="D1" s="254" t="s">
        <v>517</v>
      </c>
    </row>
    <row r="2" spans="2:9">
      <c r="B2" s="261" t="s">
        <v>1028</v>
      </c>
      <c r="C2" s="267">
        <f>'Model and Assumptions'!B7</f>
        <v>8000</v>
      </c>
      <c r="G2" s="254" t="s">
        <v>952</v>
      </c>
    </row>
    <row r="3" spans="2:9">
      <c r="B3" s="261" t="s">
        <v>1014</v>
      </c>
      <c r="C3" s="267">
        <f>'Model and Assumptions'!B7*'Model and Assumptions'!B54/1000</f>
        <v>268.8</v>
      </c>
      <c r="D3" t="s">
        <v>1050</v>
      </c>
      <c r="G3" t="s">
        <v>1058</v>
      </c>
    </row>
    <row r="4" spans="2:9">
      <c r="B4" s="261" t="s">
        <v>1015</v>
      </c>
      <c r="C4" s="310">
        <f>C3/(C5+'Model and Assumptions'!G60*('Model and Assumptions'!B11-2022))</f>
        <v>448.00000000000006</v>
      </c>
      <c r="D4" t="s">
        <v>1043</v>
      </c>
    </row>
    <row r="5" spans="2:9">
      <c r="B5" s="261" t="s">
        <v>1090</v>
      </c>
      <c r="C5" s="295">
        <f>'Model and Assumptions'!G57</f>
        <v>0.6</v>
      </c>
      <c r="G5" s="254" t="s">
        <v>1042</v>
      </c>
      <c r="I5" t="s">
        <v>1079</v>
      </c>
    </row>
    <row r="6" spans="2:9">
      <c r="B6" s="261" t="s">
        <v>1041</v>
      </c>
      <c r="C6" s="313">
        <v>8</v>
      </c>
      <c r="D6" t="s">
        <v>1048</v>
      </c>
      <c r="G6">
        <v>24</v>
      </c>
      <c r="H6" t="s">
        <v>1074</v>
      </c>
      <c r="I6">
        <f>ROUND(G6/$G$6,2)</f>
        <v>1</v>
      </c>
    </row>
    <row r="7" spans="2:9">
      <c r="B7" s="261" t="s">
        <v>1049</v>
      </c>
      <c r="C7">
        <f>ROUND($C$4/$C$6,2)</f>
        <v>56</v>
      </c>
      <c r="G7">
        <v>0.96</v>
      </c>
      <c r="H7" t="s">
        <v>1075</v>
      </c>
      <c r="I7">
        <f t="shared" ref="I7:I10" si="0">ROUND(G7/$G$6,2)</f>
        <v>0.04</v>
      </c>
    </row>
    <row r="8" spans="2:9">
      <c r="G8">
        <v>3.2</v>
      </c>
      <c r="H8" t="s">
        <v>1076</v>
      </c>
      <c r="I8">
        <f t="shared" si="0"/>
        <v>0.13</v>
      </c>
    </row>
    <row r="9" spans="2:9">
      <c r="B9" s="261" t="s">
        <v>1066</v>
      </c>
      <c r="C9" s="295">
        <f>'Model and Assumptions'!B8</f>
        <v>0.12</v>
      </c>
      <c r="G9">
        <v>5.3</v>
      </c>
      <c r="H9" t="s">
        <v>1077</v>
      </c>
      <c r="I9">
        <f t="shared" si="0"/>
        <v>0.22</v>
      </c>
    </row>
    <row r="10" spans="2:9">
      <c r="B10" s="261" t="s">
        <v>1067</v>
      </c>
      <c r="C10">
        <f>'Model and Assumptions'!B9</f>
        <v>20</v>
      </c>
      <c r="G10">
        <v>8.5</v>
      </c>
      <c r="H10" t="s">
        <v>1078</v>
      </c>
      <c r="I10">
        <f t="shared" si="0"/>
        <v>0.35</v>
      </c>
    </row>
    <row r="11" spans="2:9">
      <c r="B11" s="261" t="s">
        <v>1068</v>
      </c>
      <c r="C11">
        <f>'Model and Assumptions'!B10</f>
        <v>350</v>
      </c>
      <c r="G11" t="s">
        <v>1080</v>
      </c>
    </row>
    <row r="12" spans="2:9">
      <c r="B12" s="261"/>
    </row>
    <row r="13" spans="2:9">
      <c r="B13" s="261"/>
      <c r="C13" s="267"/>
    </row>
    <row r="14" spans="2:9">
      <c r="B14" s="261" t="s">
        <v>733</v>
      </c>
      <c r="C14" s="268" t="str">
        <f>'Model and Assumptions'!B15</f>
        <v>AZ, Phoenix</v>
      </c>
      <c r="G14" s="254" t="s">
        <v>1032</v>
      </c>
    </row>
    <row r="15" spans="2:9">
      <c r="B15" s="261" t="s">
        <v>834</v>
      </c>
      <c r="C15" s="268" t="str">
        <f>'Model and Assumptions'!C15</f>
        <v>Arizona</v>
      </c>
      <c r="G15" t="s">
        <v>1033</v>
      </c>
      <c r="H15" s="70" t="s">
        <v>1117</v>
      </c>
    </row>
    <row r="16" spans="2:9">
      <c r="B16" s="261" t="s">
        <v>1084</v>
      </c>
      <c r="C16" s="267">
        <f>'Model and Assumptions'!B17</f>
        <v>6.58</v>
      </c>
      <c r="G16" t="s">
        <v>1047</v>
      </c>
      <c r="H16" s="70" t="s">
        <v>1118</v>
      </c>
    </row>
    <row r="18" spans="2:4">
      <c r="B18" s="261" t="s">
        <v>1029</v>
      </c>
      <c r="C18" s="26">
        <v>69.5</v>
      </c>
      <c r="D18" t="s">
        <v>1046</v>
      </c>
    </row>
    <row r="19" spans="2:4">
      <c r="B19" s="261" t="s">
        <v>1051</v>
      </c>
      <c r="C19" s="295">
        <f>1-'Model and Assumptions'!G5</f>
        <v>0.98</v>
      </c>
    </row>
    <row r="20" spans="2:4">
      <c r="B20" s="261" t="s">
        <v>1031</v>
      </c>
      <c r="C20">
        <f>ROUND(C18*C19*'Model and Assumptions'!B17,2)</f>
        <v>448.16</v>
      </c>
      <c r="D20" t="s">
        <v>1052</v>
      </c>
    </row>
    <row r="21" spans="2:4">
      <c r="B21" s="261" t="s">
        <v>1034</v>
      </c>
      <c r="C21" s="297">
        <f>'Model and Assumptions'!B16</f>
        <v>33.590000000000003</v>
      </c>
    </row>
    <row r="23" spans="2:4">
      <c r="B23" s="261" t="s">
        <v>1085</v>
      </c>
      <c r="D23" s="294" t="s">
        <v>1132</v>
      </c>
    </row>
    <row r="24" spans="2:4">
      <c r="D24" s="294" t="s">
        <v>1133</v>
      </c>
    </row>
    <row r="25" spans="2:4">
      <c r="B25" s="261" t="s">
        <v>1036</v>
      </c>
      <c r="C25">
        <f>ROUND(C26/C27,2)</f>
        <v>111.04</v>
      </c>
    </row>
    <row r="26" spans="2:4">
      <c r="B26" s="261" t="s">
        <v>1055</v>
      </c>
      <c r="C26">
        <f>(C18-C7)*'Model and Assumptions'!B17</f>
        <v>88.83</v>
      </c>
      <c r="D26" t="s">
        <v>1056</v>
      </c>
    </row>
    <row r="27" spans="2:4">
      <c r="B27" s="261" t="s">
        <v>1054</v>
      </c>
      <c r="C27" s="295">
        <f>'Model and Assumptions'!G36</f>
        <v>0.8</v>
      </c>
    </row>
    <row r="28" spans="2:4">
      <c r="B28" s="261" t="s">
        <v>1057</v>
      </c>
      <c r="C28">
        <f>ROUND(C26*C29,2)</f>
        <v>85.28</v>
      </c>
    </row>
    <row r="29" spans="2:4">
      <c r="B29" s="261" t="s">
        <v>1053</v>
      </c>
      <c r="C29" s="295">
        <f>'Model and Assumptions'!G33</f>
        <v>0.96</v>
      </c>
      <c r="D29" t="s">
        <v>1060</v>
      </c>
    </row>
    <row r="30" spans="2:4">
      <c r="B30" s="261" t="s">
        <v>1063</v>
      </c>
      <c r="C30" s="301">
        <f>'LCOE -- Battery'!J34</f>
        <v>7.62</v>
      </c>
    </row>
    <row r="31" spans="2:4">
      <c r="B31" s="261" t="s">
        <v>1064</v>
      </c>
      <c r="C31" s="301">
        <f>C30*C25/C26</f>
        <v>9.5252144545761581</v>
      </c>
      <c r="D31" s="70" t="s">
        <v>1114</v>
      </c>
    </row>
    <row r="32" spans="2:4">
      <c r="B32" s="261"/>
      <c r="C32" s="301"/>
      <c r="D32" s="70" t="s">
        <v>1115</v>
      </c>
    </row>
    <row r="33" spans="2:5">
      <c r="B33" s="261"/>
      <c r="C33" s="301"/>
    </row>
    <row r="34" spans="2:5">
      <c r="B34" s="261" t="s">
        <v>1110</v>
      </c>
      <c r="C34" s="301">
        <f>'LCOE -- Electrolyser'!B26</f>
        <v>2854414.0899355896</v>
      </c>
      <c r="D34" s="70" t="s">
        <v>1119</v>
      </c>
    </row>
    <row r="35" spans="2:5">
      <c r="B35" s="261" t="s">
        <v>1111</v>
      </c>
      <c r="C35" s="301">
        <f>C34/C44</f>
        <v>0.97253402876518547</v>
      </c>
    </row>
    <row r="37" spans="2:5">
      <c r="B37" s="261" t="s">
        <v>735</v>
      </c>
      <c r="C37" s="268" t="str">
        <f>'Model and Assumptions'!B18</f>
        <v>Distribution SO</v>
      </c>
    </row>
    <row r="38" spans="2:5">
      <c r="B38" s="261" t="s">
        <v>1030</v>
      </c>
      <c r="C38" s="316">
        <f>0.2 + IF(C37 = "Distribution SO", MAX(C4-C20,0), C4-C20)</f>
        <v>0.2</v>
      </c>
      <c r="D38" t="s">
        <v>1073</v>
      </c>
      <c r="E38" s="70" t="s">
        <v>1120</v>
      </c>
    </row>
    <row r="39" spans="2:5">
      <c r="B39" s="261" t="s">
        <v>1062</v>
      </c>
      <c r="C39" s="308">
        <f>'LCOE -- Grid'!B24</f>
        <v>894.01308848975373</v>
      </c>
      <c r="D39" t="s">
        <v>1072</v>
      </c>
      <c r="E39" s="70" t="s">
        <v>1122</v>
      </c>
    </row>
    <row r="40" spans="2:5">
      <c r="B40" s="261"/>
      <c r="C40" s="308"/>
    </row>
    <row r="41" spans="2:5">
      <c r="B41" s="261"/>
      <c r="C41" s="308"/>
    </row>
    <row r="42" spans="2:5">
      <c r="B42" s="254" t="s">
        <v>1059</v>
      </c>
    </row>
    <row r="43" spans="2:5">
      <c r="B43" s="261" t="s">
        <v>1061</v>
      </c>
      <c r="C43" s="297">
        <f>C39*C38 + C30*C25 +C21*C20</f>
        <v>16078.621817697953</v>
      </c>
      <c r="E43" s="70" t="s">
        <v>1123</v>
      </c>
    </row>
    <row r="44" spans="2:5">
      <c r="B44" s="261" t="s">
        <v>1065</v>
      </c>
      <c r="C44" s="2">
        <f>ROUND(C2*'Model and Assumptions'!B10*(1 - POWER(1-$C$9, 'Model and Assumptions'!B9))/(1-'Model and Assumptions'!B8),2)</f>
        <v>2935027.47</v>
      </c>
      <c r="D44" s="4">
        <f>'Model and Assumptions'!B7 * 'Model and Assumptions'!B10 * 20</f>
        <v>56000000</v>
      </c>
    </row>
    <row r="45" spans="2:5">
      <c r="B45" s="261" t="s">
        <v>1070</v>
      </c>
      <c r="C45" s="2">
        <f>ROUND(C2*(1-POWER(1-$C$9,$C$10+1))/($C$9*$C$10),2)</f>
        <v>3105.82</v>
      </c>
      <c r="D45" t="s">
        <v>1069</v>
      </c>
      <c r="E45" s="70" t="s">
        <v>1125</v>
      </c>
    </row>
    <row r="46" spans="2:5">
      <c r="B46" s="261"/>
    </row>
    <row r="47" spans="2:5">
      <c r="B47" s="261"/>
    </row>
    <row r="48" spans="2:5">
      <c r="B48" s="261" t="s">
        <v>1082</v>
      </c>
      <c r="C48">
        <f>ROUND(C38/C18*'Model and Assumptions'!B17,2)</f>
        <v>0.02</v>
      </c>
    </row>
    <row r="49" spans="2:3">
      <c r="B49" s="261" t="s">
        <v>1071</v>
      </c>
      <c r="C49" s="301">
        <f>C43/C45 + C35</f>
        <v>6.149466953950145</v>
      </c>
    </row>
    <row r="50" spans="2:3">
      <c r="B50" s="261" t="s">
        <v>1081</v>
      </c>
      <c r="C50" s="297">
        <f>IF(C48&lt;I7,-3,IF(C48&lt;I8,-1,IF(C48&lt;I9,-0.75,IF(C48&lt;I10,-0.6,0))))</f>
        <v>-3</v>
      </c>
    </row>
    <row r="52" spans="2:3">
      <c r="B52" s="261" t="s">
        <v>1083</v>
      </c>
      <c r="C52" s="301">
        <f>C49+C50</f>
        <v>3.149466953950145</v>
      </c>
    </row>
    <row r="54" spans="2:3">
      <c r="B54" s="320" t="s">
        <v>1126</v>
      </c>
    </row>
  </sheetData>
  <pageMargins left="0.7" right="0.7" top="0.75" bottom="0.75" header="0.3" footer="0.3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D528B-1A8D-AA46-93F1-E66346B4F798}">
  <dimension ref="A4:F56"/>
  <sheetViews>
    <sheetView showGridLines="0" workbookViewId="0">
      <selection activeCell="A5" sqref="A5"/>
    </sheetView>
  </sheetViews>
  <sheetFormatPr baseColWidth="10" defaultRowHeight="16"/>
  <cols>
    <col min="1" max="1" width="19.83203125" bestFit="1" customWidth="1"/>
    <col min="2" max="2" width="20.83203125" customWidth="1"/>
    <col min="3" max="3" width="16" customWidth="1"/>
    <col min="4" max="4" width="16.6640625" customWidth="1"/>
    <col min="5" max="5" width="14.5" customWidth="1"/>
    <col min="6" max="6" width="9.1640625" customWidth="1"/>
  </cols>
  <sheetData>
    <row r="4" spans="1:6" ht="30" customHeight="1">
      <c r="A4" s="279" t="s">
        <v>777</v>
      </c>
      <c r="B4" s="279" t="s">
        <v>778</v>
      </c>
      <c r="C4" s="279" t="s">
        <v>779</v>
      </c>
      <c r="D4" s="279" t="s">
        <v>780</v>
      </c>
      <c r="E4" s="279" t="s">
        <v>781</v>
      </c>
      <c r="F4" s="279" t="s">
        <v>857</v>
      </c>
    </row>
    <row r="5" spans="1:6">
      <c r="A5" s="249" t="s">
        <v>782</v>
      </c>
      <c r="B5">
        <v>10.18</v>
      </c>
      <c r="C5">
        <v>28911</v>
      </c>
      <c r="D5">
        <v>142733330</v>
      </c>
      <c r="E5">
        <v>85585166</v>
      </c>
      <c r="F5">
        <f>ROUND(B5/$B$9,2)</f>
        <v>0.52</v>
      </c>
    </row>
    <row r="6" spans="1:6">
      <c r="A6" s="249" t="s">
        <v>783</v>
      </c>
      <c r="B6">
        <v>20.02</v>
      </c>
      <c r="C6">
        <v>2774</v>
      </c>
      <c r="D6">
        <v>6595818</v>
      </c>
      <c r="E6">
        <v>5969339</v>
      </c>
      <c r="F6">
        <f t="shared" ref="F6:F56" si="0">ROUND(B6/$B$9,2)</f>
        <v>1.02</v>
      </c>
    </row>
    <row r="7" spans="1:6">
      <c r="A7" s="249" t="s">
        <v>784</v>
      </c>
      <c r="B7">
        <v>10.73</v>
      </c>
      <c r="C7">
        <v>27596</v>
      </c>
      <c r="D7">
        <v>108604620</v>
      </c>
      <c r="E7">
        <v>81219990</v>
      </c>
      <c r="F7">
        <f t="shared" si="0"/>
        <v>0.55000000000000004</v>
      </c>
    </row>
    <row r="8" spans="1:6">
      <c r="A8" s="249" t="s">
        <v>785</v>
      </c>
      <c r="B8">
        <v>9.1</v>
      </c>
      <c r="C8">
        <v>14832</v>
      </c>
      <c r="D8">
        <v>61100068</v>
      </c>
      <c r="E8">
        <v>48663142</v>
      </c>
      <c r="F8">
        <f t="shared" si="0"/>
        <v>0.46</v>
      </c>
    </row>
    <row r="9" spans="1:6">
      <c r="A9" s="249" t="s">
        <v>786</v>
      </c>
      <c r="B9">
        <v>19.649999999999999</v>
      </c>
      <c r="C9">
        <v>81184</v>
      </c>
      <c r="D9">
        <v>197165106</v>
      </c>
      <c r="E9">
        <v>247249865</v>
      </c>
      <c r="F9">
        <f t="shared" si="0"/>
        <v>1</v>
      </c>
    </row>
    <row r="10" spans="1:6">
      <c r="A10" s="249" t="s">
        <v>787</v>
      </c>
      <c r="B10">
        <v>10.9</v>
      </c>
      <c r="C10">
        <v>18296</v>
      </c>
      <c r="D10">
        <v>56838472</v>
      </c>
      <c r="E10">
        <v>56351209</v>
      </c>
      <c r="F10">
        <f t="shared" si="0"/>
        <v>0.55000000000000004</v>
      </c>
    </row>
    <row r="11" spans="1:6">
      <c r="A11" s="249" t="s">
        <v>788</v>
      </c>
      <c r="B11">
        <v>18.32</v>
      </c>
      <c r="C11">
        <v>10112</v>
      </c>
      <c r="D11">
        <v>44079943</v>
      </c>
      <c r="E11">
        <v>27737606</v>
      </c>
      <c r="F11">
        <f t="shared" si="0"/>
        <v>0.93</v>
      </c>
    </row>
    <row r="12" spans="1:6">
      <c r="A12" s="249" t="s">
        <v>789</v>
      </c>
      <c r="B12">
        <v>10.5</v>
      </c>
      <c r="C12">
        <v>3273</v>
      </c>
      <c r="D12">
        <v>4305126</v>
      </c>
      <c r="E12">
        <v>11479655</v>
      </c>
      <c r="F12">
        <f t="shared" si="0"/>
        <v>0.53</v>
      </c>
    </row>
    <row r="13" spans="1:6">
      <c r="A13" s="249" t="s">
        <v>790</v>
      </c>
      <c r="B13">
        <v>12.81</v>
      </c>
      <c r="C13">
        <v>48</v>
      </c>
      <c r="D13">
        <v>211067</v>
      </c>
      <c r="E13">
        <v>10083372</v>
      </c>
      <c r="F13">
        <f t="shared" si="0"/>
        <v>0.65</v>
      </c>
    </row>
    <row r="14" spans="1:6">
      <c r="A14" s="249" t="s">
        <v>791</v>
      </c>
      <c r="B14">
        <v>10.67</v>
      </c>
      <c r="C14">
        <v>64610</v>
      </c>
      <c r="D14">
        <v>246450375</v>
      </c>
      <c r="E14">
        <v>241562082</v>
      </c>
      <c r="F14">
        <f t="shared" si="0"/>
        <v>0.54</v>
      </c>
    </row>
    <row r="15" spans="1:6">
      <c r="A15" s="249" t="s">
        <v>792</v>
      </c>
      <c r="B15">
        <v>10.43</v>
      </c>
      <c r="C15">
        <v>38250</v>
      </c>
      <c r="D15">
        <v>124200528</v>
      </c>
      <c r="E15">
        <v>137363952</v>
      </c>
      <c r="F15">
        <f t="shared" si="0"/>
        <v>0.53</v>
      </c>
    </row>
    <row r="16" spans="1:6">
      <c r="A16" s="249" t="s">
        <v>793</v>
      </c>
      <c r="B16">
        <v>30.31</v>
      </c>
      <c r="C16">
        <v>3013</v>
      </c>
      <c r="D16">
        <v>9181831</v>
      </c>
      <c r="E16">
        <v>8936482</v>
      </c>
      <c r="F16">
        <f t="shared" si="0"/>
        <v>1.54</v>
      </c>
    </row>
    <row r="17" spans="1:6">
      <c r="A17" s="249" t="s">
        <v>794</v>
      </c>
      <c r="B17">
        <v>8.17</v>
      </c>
      <c r="C17">
        <v>5076</v>
      </c>
      <c r="D17">
        <v>16836473</v>
      </c>
      <c r="E17">
        <v>25285616</v>
      </c>
      <c r="F17">
        <f t="shared" si="0"/>
        <v>0.42</v>
      </c>
    </row>
    <row r="18" spans="1:6">
      <c r="A18" s="249" t="s">
        <v>795</v>
      </c>
      <c r="B18">
        <v>10.14</v>
      </c>
      <c r="C18">
        <v>45879</v>
      </c>
      <c r="D18">
        <v>181524459</v>
      </c>
      <c r="E18">
        <v>135688833</v>
      </c>
      <c r="F18">
        <f t="shared" si="0"/>
        <v>0.52</v>
      </c>
    </row>
    <row r="19" spans="1:6">
      <c r="A19" s="249" t="s">
        <v>796</v>
      </c>
      <c r="B19">
        <v>10.36</v>
      </c>
      <c r="C19">
        <v>26842</v>
      </c>
      <c r="D19">
        <v>94164796</v>
      </c>
      <c r="E19">
        <v>99740046</v>
      </c>
      <c r="F19">
        <f t="shared" si="0"/>
        <v>0.53</v>
      </c>
    </row>
    <row r="20" spans="1:6">
      <c r="A20" s="249" t="s">
        <v>797</v>
      </c>
      <c r="B20">
        <v>9.1300000000000008</v>
      </c>
      <c r="C20">
        <v>21771</v>
      </c>
      <c r="D20">
        <v>67207008</v>
      </c>
      <c r="E20">
        <v>52893269</v>
      </c>
      <c r="F20">
        <f t="shared" si="0"/>
        <v>0.46</v>
      </c>
    </row>
    <row r="21" spans="1:6">
      <c r="A21" s="249" t="s">
        <v>798</v>
      </c>
      <c r="B21">
        <v>10.47</v>
      </c>
      <c r="C21">
        <v>18432</v>
      </c>
      <c r="D21">
        <v>56630703</v>
      </c>
      <c r="E21">
        <v>40491786</v>
      </c>
      <c r="F21">
        <f t="shared" si="0"/>
        <v>0.53</v>
      </c>
    </row>
    <row r="22" spans="1:6">
      <c r="A22" s="249" t="s">
        <v>799</v>
      </c>
      <c r="B22">
        <v>9.1199999999999992</v>
      </c>
      <c r="C22">
        <v>17583</v>
      </c>
      <c r="D22">
        <v>69908411</v>
      </c>
      <c r="E22">
        <v>74516986</v>
      </c>
      <c r="F22">
        <f t="shared" si="0"/>
        <v>0.46</v>
      </c>
    </row>
    <row r="23" spans="1:6">
      <c r="A23" s="249" t="s">
        <v>800</v>
      </c>
      <c r="B23">
        <v>8.82</v>
      </c>
      <c r="C23">
        <v>24866</v>
      </c>
      <c r="D23">
        <v>98715313</v>
      </c>
      <c r="E23">
        <v>90819346</v>
      </c>
      <c r="F23">
        <f t="shared" si="0"/>
        <v>0.45</v>
      </c>
    </row>
    <row r="24" spans="1:6">
      <c r="A24" s="249" t="s">
        <v>801</v>
      </c>
      <c r="B24">
        <v>13.96</v>
      </c>
      <c r="C24">
        <v>5026</v>
      </c>
      <c r="D24">
        <v>10908144</v>
      </c>
      <c r="E24">
        <v>11584674</v>
      </c>
      <c r="F24">
        <f t="shared" si="0"/>
        <v>0.71</v>
      </c>
    </row>
    <row r="25" spans="1:6">
      <c r="A25" s="249" t="s">
        <v>802</v>
      </c>
      <c r="B25">
        <v>11.48</v>
      </c>
      <c r="C25">
        <v>13006</v>
      </c>
      <c r="D25">
        <v>38235713</v>
      </c>
      <c r="E25">
        <v>59303974</v>
      </c>
      <c r="F25">
        <f t="shared" si="0"/>
        <v>0.57999999999999996</v>
      </c>
    </row>
    <row r="26" spans="1:6">
      <c r="A26" s="249" t="s">
        <v>803</v>
      </c>
      <c r="B26">
        <v>19.059999999999999</v>
      </c>
      <c r="C26">
        <v>12747</v>
      </c>
      <c r="D26">
        <v>19477347</v>
      </c>
      <c r="E26">
        <v>50798388</v>
      </c>
      <c r="F26">
        <f t="shared" si="0"/>
        <v>0.97</v>
      </c>
    </row>
    <row r="27" spans="1:6">
      <c r="A27" s="249" t="s">
        <v>804</v>
      </c>
      <c r="B27">
        <v>12.93</v>
      </c>
      <c r="C27">
        <v>30141</v>
      </c>
      <c r="D27">
        <v>115513130</v>
      </c>
      <c r="E27">
        <v>99813281</v>
      </c>
      <c r="F27">
        <f t="shared" si="0"/>
        <v>0.66</v>
      </c>
    </row>
    <row r="28" spans="1:6">
      <c r="A28" s="249" t="s">
        <v>805</v>
      </c>
      <c r="B28">
        <v>11.08</v>
      </c>
      <c r="C28">
        <v>18286</v>
      </c>
      <c r="D28">
        <v>59195769</v>
      </c>
      <c r="E28">
        <v>66589168</v>
      </c>
      <c r="F28">
        <f t="shared" si="0"/>
        <v>0.56000000000000005</v>
      </c>
    </row>
    <row r="29" spans="1:6">
      <c r="A29" s="249" t="s">
        <v>806</v>
      </c>
      <c r="B29">
        <v>9.5</v>
      </c>
      <c r="C29">
        <v>14605</v>
      </c>
      <c r="D29">
        <v>67723497</v>
      </c>
      <c r="E29">
        <v>48015364</v>
      </c>
      <c r="F29">
        <f t="shared" si="0"/>
        <v>0.48</v>
      </c>
    </row>
    <row r="30" spans="1:6">
      <c r="A30" s="249" t="s">
        <v>807</v>
      </c>
      <c r="B30">
        <v>9.85</v>
      </c>
      <c r="C30">
        <v>21835</v>
      </c>
      <c r="D30">
        <v>76941410</v>
      </c>
      <c r="E30">
        <v>77763041</v>
      </c>
      <c r="F30">
        <f t="shared" si="0"/>
        <v>0.5</v>
      </c>
    </row>
    <row r="31" spans="1:6">
      <c r="A31" s="249" t="s">
        <v>808</v>
      </c>
      <c r="B31">
        <v>9.5</v>
      </c>
      <c r="C31">
        <v>6067</v>
      </c>
      <c r="D31">
        <v>24947923</v>
      </c>
      <c r="E31">
        <v>14961561</v>
      </c>
      <c r="F31">
        <f t="shared" si="0"/>
        <v>0.48</v>
      </c>
    </row>
    <row r="32" spans="1:6">
      <c r="A32" s="249" t="s">
        <v>809</v>
      </c>
      <c r="B32">
        <v>8.84</v>
      </c>
      <c r="C32">
        <v>10256</v>
      </c>
      <c r="D32">
        <v>37910898</v>
      </c>
      <c r="E32">
        <v>32341170</v>
      </c>
      <c r="F32">
        <f t="shared" si="0"/>
        <v>0.45</v>
      </c>
    </row>
    <row r="33" spans="1:6">
      <c r="A33" s="249" t="s">
        <v>810</v>
      </c>
      <c r="B33">
        <v>8.58</v>
      </c>
      <c r="C33">
        <v>12863</v>
      </c>
      <c r="D33">
        <v>41754584</v>
      </c>
      <c r="E33">
        <v>39032042</v>
      </c>
      <c r="F33">
        <f t="shared" si="0"/>
        <v>0.44</v>
      </c>
    </row>
    <row r="34" spans="1:6">
      <c r="A34" s="249" t="s">
        <v>811</v>
      </c>
      <c r="B34">
        <v>17.37</v>
      </c>
      <c r="C34">
        <v>4463</v>
      </c>
      <c r="D34">
        <v>17193254</v>
      </c>
      <c r="E34">
        <v>10867268</v>
      </c>
      <c r="F34">
        <f t="shared" si="0"/>
        <v>0.88</v>
      </c>
    </row>
    <row r="35" spans="1:6">
      <c r="A35" s="249" t="s">
        <v>812</v>
      </c>
      <c r="B35">
        <v>14.01</v>
      </c>
      <c r="C35">
        <v>17471</v>
      </c>
      <c r="D35">
        <v>61433792</v>
      </c>
      <c r="E35">
        <v>73070466</v>
      </c>
      <c r="F35">
        <f t="shared" si="0"/>
        <v>0.71</v>
      </c>
    </row>
    <row r="36" spans="1:6">
      <c r="A36" s="249" t="s">
        <v>813</v>
      </c>
      <c r="B36">
        <v>9.7899999999999991</v>
      </c>
      <c r="C36">
        <v>10806</v>
      </c>
      <c r="D36">
        <v>35192365</v>
      </c>
      <c r="E36">
        <v>25393743</v>
      </c>
      <c r="F36">
        <f t="shared" si="0"/>
        <v>0.5</v>
      </c>
    </row>
    <row r="37" spans="1:6">
      <c r="A37" s="249" t="s">
        <v>814</v>
      </c>
      <c r="B37">
        <v>16.11</v>
      </c>
      <c r="C37">
        <v>39890</v>
      </c>
      <c r="D37">
        <v>124944935</v>
      </c>
      <c r="E37">
        <v>141423778</v>
      </c>
      <c r="F37">
        <f t="shared" si="0"/>
        <v>0.82</v>
      </c>
    </row>
    <row r="38" spans="1:6">
      <c r="A38" s="249" t="s">
        <v>815</v>
      </c>
      <c r="B38">
        <v>9.2899999999999991</v>
      </c>
      <c r="C38">
        <v>35020</v>
      </c>
      <c r="D38">
        <v>129923364</v>
      </c>
      <c r="E38">
        <v>135693077</v>
      </c>
      <c r="F38">
        <f t="shared" si="0"/>
        <v>0.47</v>
      </c>
    </row>
    <row r="39" spans="1:6">
      <c r="A39" s="249" t="s">
        <v>816</v>
      </c>
      <c r="B39">
        <v>8.65</v>
      </c>
      <c r="C39">
        <v>9503</v>
      </c>
      <c r="D39">
        <v>43032378</v>
      </c>
      <c r="E39">
        <v>22863107</v>
      </c>
      <c r="F39">
        <f t="shared" si="0"/>
        <v>0.44</v>
      </c>
    </row>
    <row r="40" spans="1:6">
      <c r="A40" s="249" t="s">
        <v>817</v>
      </c>
      <c r="B40">
        <v>9.76</v>
      </c>
      <c r="C40">
        <v>29283</v>
      </c>
      <c r="D40">
        <v>125948008</v>
      </c>
      <c r="E40">
        <v>147717865</v>
      </c>
      <c r="F40">
        <f t="shared" si="0"/>
        <v>0.5</v>
      </c>
    </row>
    <row r="41" spans="1:6">
      <c r="A41" s="249" t="s">
        <v>818</v>
      </c>
      <c r="B41">
        <v>8.52</v>
      </c>
      <c r="C41">
        <v>29824</v>
      </c>
      <c r="D41">
        <v>80754586</v>
      </c>
      <c r="E41">
        <v>64525137</v>
      </c>
      <c r="F41">
        <f t="shared" si="0"/>
        <v>0.43</v>
      </c>
    </row>
    <row r="42" spans="1:6">
      <c r="A42" s="249" t="s">
        <v>819</v>
      </c>
      <c r="B42">
        <v>8.9499999999999993</v>
      </c>
      <c r="C42">
        <v>16917</v>
      </c>
      <c r="D42">
        <v>61016874</v>
      </c>
      <c r="E42">
        <v>54135205</v>
      </c>
      <c r="F42">
        <f t="shared" si="0"/>
        <v>0.46</v>
      </c>
    </row>
    <row r="43" spans="1:6">
      <c r="A43" s="249" t="s">
        <v>820</v>
      </c>
      <c r="B43">
        <v>9.9700000000000006</v>
      </c>
      <c r="C43">
        <v>49766</v>
      </c>
      <c r="D43">
        <v>241331434</v>
      </c>
      <c r="E43">
        <v>143340154</v>
      </c>
      <c r="F43">
        <f t="shared" si="0"/>
        <v>0.51</v>
      </c>
    </row>
    <row r="44" spans="1:6">
      <c r="A44" s="249" t="s">
        <v>821</v>
      </c>
      <c r="B44">
        <v>18.440000000000001</v>
      </c>
      <c r="C44">
        <v>2131</v>
      </c>
      <c r="D44">
        <v>9322451</v>
      </c>
      <c r="E44">
        <v>7398004</v>
      </c>
      <c r="F44">
        <f t="shared" si="0"/>
        <v>0.94</v>
      </c>
    </row>
    <row r="45" spans="1:6">
      <c r="A45" s="249" t="s">
        <v>822</v>
      </c>
      <c r="B45">
        <v>9.9600000000000009</v>
      </c>
      <c r="C45">
        <v>24268</v>
      </c>
      <c r="D45">
        <v>98390441</v>
      </c>
      <c r="E45">
        <v>79792136</v>
      </c>
      <c r="F45">
        <f t="shared" si="0"/>
        <v>0.51</v>
      </c>
    </row>
    <row r="46" spans="1:6">
      <c r="A46" s="249" t="s">
        <v>823</v>
      </c>
      <c r="B46">
        <v>10.43</v>
      </c>
      <c r="C46">
        <v>6280</v>
      </c>
      <c r="D46">
        <v>17322409</v>
      </c>
      <c r="E46">
        <v>13041391</v>
      </c>
      <c r="F46">
        <f t="shared" si="0"/>
        <v>0.53</v>
      </c>
    </row>
    <row r="47" spans="1:6">
      <c r="A47" s="249" t="s">
        <v>824</v>
      </c>
      <c r="B47">
        <v>9.7799999999999994</v>
      </c>
      <c r="C47">
        <v>21401</v>
      </c>
      <c r="D47">
        <v>79057209</v>
      </c>
      <c r="E47">
        <v>99621137</v>
      </c>
      <c r="F47">
        <f t="shared" si="0"/>
        <v>0.5</v>
      </c>
    </row>
    <row r="48" spans="1:6">
      <c r="A48" s="249" t="s">
        <v>825</v>
      </c>
      <c r="B48">
        <v>9.14</v>
      </c>
      <c r="C48">
        <v>139751</v>
      </c>
      <c r="D48">
        <v>481844256</v>
      </c>
      <c r="E48">
        <v>435627878</v>
      </c>
      <c r="F48">
        <f t="shared" si="0"/>
        <v>0.47</v>
      </c>
    </row>
    <row r="49" spans="1:6">
      <c r="A49" s="249" t="s">
        <v>826</v>
      </c>
      <c r="B49">
        <v>8.34</v>
      </c>
      <c r="C49">
        <v>9518</v>
      </c>
      <c r="D49">
        <v>42565645</v>
      </c>
      <c r="E49">
        <v>32677627</v>
      </c>
      <c r="F49">
        <f t="shared" si="0"/>
        <v>0.42</v>
      </c>
    </row>
    <row r="50" spans="1:6">
      <c r="A50" s="249" t="s">
        <v>827</v>
      </c>
      <c r="B50">
        <v>16.34</v>
      </c>
      <c r="C50">
        <v>834</v>
      </c>
      <c r="D50">
        <v>2107703</v>
      </c>
      <c r="E50">
        <v>5412696</v>
      </c>
      <c r="F50">
        <f t="shared" si="0"/>
        <v>0.83</v>
      </c>
    </row>
    <row r="51" spans="1:6">
      <c r="A51" s="249" t="s">
        <v>828</v>
      </c>
      <c r="B51">
        <v>9.14</v>
      </c>
      <c r="C51">
        <v>28515</v>
      </c>
      <c r="D51">
        <v>93478182</v>
      </c>
      <c r="E51">
        <v>125245196</v>
      </c>
      <c r="F51">
        <f t="shared" si="0"/>
        <v>0.47</v>
      </c>
    </row>
    <row r="52" spans="1:6">
      <c r="A52" s="249" t="s">
        <v>829</v>
      </c>
      <c r="B52">
        <v>8.75</v>
      </c>
      <c r="C52">
        <v>30609</v>
      </c>
      <c r="D52">
        <v>110808401</v>
      </c>
      <c r="E52">
        <v>88198668</v>
      </c>
      <c r="F52">
        <f t="shared" si="0"/>
        <v>0.45</v>
      </c>
    </row>
    <row r="53" spans="1:6">
      <c r="A53" s="249" t="s">
        <v>830</v>
      </c>
      <c r="B53">
        <v>8.8699999999999992</v>
      </c>
      <c r="C53">
        <v>14907</v>
      </c>
      <c r="D53">
        <v>65836063</v>
      </c>
      <c r="E53">
        <v>32777988</v>
      </c>
      <c r="F53">
        <f t="shared" si="0"/>
        <v>0.45</v>
      </c>
    </row>
    <row r="54" spans="1:6">
      <c r="A54" s="249" t="s">
        <v>831</v>
      </c>
      <c r="B54">
        <v>11.01</v>
      </c>
      <c r="C54">
        <v>16428</v>
      </c>
      <c r="D54">
        <v>64276480</v>
      </c>
      <c r="E54">
        <v>69426615</v>
      </c>
      <c r="F54">
        <f t="shared" si="0"/>
        <v>0.56000000000000005</v>
      </c>
    </row>
    <row r="55" spans="1:6">
      <c r="A55" s="249" t="s">
        <v>832</v>
      </c>
      <c r="B55">
        <v>8.25</v>
      </c>
      <c r="C55">
        <v>10096</v>
      </c>
      <c r="D55">
        <v>43460744</v>
      </c>
      <c r="E55">
        <v>15784712</v>
      </c>
      <c r="F55">
        <f t="shared" si="0"/>
        <v>0.42</v>
      </c>
    </row>
    <row r="56" spans="1:6">
      <c r="A56" s="249" t="s">
        <v>833</v>
      </c>
      <c r="B56">
        <v>11.1</v>
      </c>
      <c r="C56">
        <v>1145857</v>
      </c>
      <c r="D56">
        <v>4108302835</v>
      </c>
      <c r="E56">
        <v>3805874253</v>
      </c>
      <c r="F56">
        <f t="shared" si="0"/>
        <v>0.56000000000000005</v>
      </c>
    </row>
  </sheetData>
  <hyperlinks>
    <hyperlink ref="A5" r:id="rId1" display="https://www.eia.gov/electricity/state/alabama" xr:uid="{5860DEB9-3983-5A4A-99E8-CC40C9CDE5B6}"/>
    <hyperlink ref="A6" r:id="rId2" display="https://www.eia.gov/electricity/state/alaska" xr:uid="{5E62B093-AC99-3347-AE4A-4CA5E1028673}"/>
    <hyperlink ref="A7" r:id="rId3" display="https://www.eia.gov/electricity/state/arizona" xr:uid="{E2DB57C5-B3CF-B64F-8BED-5CF497AA92FD}"/>
    <hyperlink ref="A8" r:id="rId4" display="https://www.eia.gov/electricity/state/arkansas" xr:uid="{5482E749-1946-5A46-A1AC-71A24398011C}"/>
    <hyperlink ref="A9" r:id="rId5" display="https://www.eia.gov/electricity/state/california" xr:uid="{2794863A-E88B-9945-89C5-3B2049D5F36A}"/>
    <hyperlink ref="A10" r:id="rId6" display="https://www.eia.gov/electricity/state/colorado" xr:uid="{6345C352-A934-6C4F-BF8F-F9D29602E7AF}"/>
    <hyperlink ref="A11" r:id="rId7" display="https://www.eia.gov/electricity/state/connecticut" xr:uid="{8A50F1F2-195E-164E-974E-2733BBA09483}"/>
    <hyperlink ref="A12" r:id="rId8" display="https://www.eia.gov/electricity/state/delaware" xr:uid="{67E1D90B-E070-4447-A174-B9E05D53B7AD}"/>
    <hyperlink ref="A13" r:id="rId9" display="https://www.eia.gov/electricity/state/districtofcolumbia" xr:uid="{7127E7D0-CDE8-B049-874C-345DCB7FF3A1}"/>
    <hyperlink ref="A14" r:id="rId10" display="https://www.eia.gov/electricity/state/florida" xr:uid="{738C5826-C95A-6547-96FF-020D8ED6260C}"/>
    <hyperlink ref="A15" r:id="rId11" display="https://www.eia.gov/electricity/state/georgia" xr:uid="{270268CA-D1E3-0B4B-9A4E-1E826D6C1322}"/>
    <hyperlink ref="A16" r:id="rId12" display="https://www.eia.gov/electricity/state/hawaii" xr:uid="{870B945C-8B33-5940-91C6-65D604082948}"/>
    <hyperlink ref="A17" r:id="rId13" display="https://www.eia.gov/electricity/state/idaho" xr:uid="{102293C6-8ED4-AF4A-BF80-52BB84C406F2}"/>
    <hyperlink ref="A18" r:id="rId14" display="https://www.eia.gov/electricity/state/illinois" xr:uid="{ABCA00C8-3CBB-FD4A-BD82-A8BD0015706C}"/>
    <hyperlink ref="A19" r:id="rId15" display="https://www.eia.gov/electricity/state/indiana" xr:uid="{721A4A17-D439-E843-84AC-3D0BE384AF73}"/>
    <hyperlink ref="A20" r:id="rId16" display="https://www.eia.gov/electricity/state/iowa" xr:uid="{D7A56750-4CEE-464D-8E7C-D6FF751CA178}"/>
    <hyperlink ref="A21" r:id="rId17" display="https://www.eia.gov/electricity/state/kansas" xr:uid="{69E19FE0-F3CC-0E45-9E4A-BE7C0C2FE5AB}"/>
    <hyperlink ref="A22" r:id="rId18" display="https://www.eia.gov/electricity/state/kentucky" xr:uid="{C250E21F-F415-1C4E-AE87-802D5BFCBA34}"/>
    <hyperlink ref="A23" r:id="rId19" display="https://www.eia.gov/electricity/state/louisiana" xr:uid="{EE64E10F-25FE-3241-ACE2-B29589447C3D}"/>
    <hyperlink ref="A24" r:id="rId20" display="https://www.eia.gov/electricity/state/maine" xr:uid="{6EBF3E11-885F-744C-A10E-72C279400A46}"/>
    <hyperlink ref="A25" r:id="rId21" display="https://www.eia.gov/electricity/state/maryland" xr:uid="{49B6E24C-C144-C548-9787-34FC23D5CE6F}"/>
    <hyperlink ref="A26" r:id="rId22" display="https://www.eia.gov/electricity/state/massachusetts" xr:uid="{7FC9AC26-52F6-834A-B84A-338FB69DEC65}"/>
    <hyperlink ref="A27" r:id="rId23" display="https://www.eia.gov/electricity/state/michigan" xr:uid="{3EC8E0A1-9150-2D44-BA0E-047E0A3A595F}"/>
    <hyperlink ref="A28" r:id="rId24" display="https://www.eia.gov/electricity/state/minnesota" xr:uid="{ECEADB7A-785C-7B4E-BD6F-9EE022CE8EA5}"/>
    <hyperlink ref="A29" r:id="rId25" display="https://www.eia.gov/electricity/state/mississippi" xr:uid="{EB6151B4-144A-D24B-B708-41DC9DAC5DB2}"/>
    <hyperlink ref="A30" r:id="rId26" display="https://www.eia.gov/electricity/state/missouri" xr:uid="{D6FE64E4-0834-FD45-85EC-4AC0B235CCCB}"/>
    <hyperlink ref="A31" r:id="rId27" display="https://www.eia.gov/electricity/state/montana" xr:uid="{0DB72CC0-B161-5045-82B8-5C89E0600C43}"/>
    <hyperlink ref="A32" r:id="rId28" display="https://www.eia.gov/electricity/state/nebraska" xr:uid="{80DA2A0C-8644-8144-9B52-F319CC49A98D}"/>
    <hyperlink ref="A33" r:id="rId29" display="https://www.eia.gov/electricity/state/nevada" xr:uid="{F0F2B221-78F8-9644-BEF6-B1E2EBC33AD5}"/>
    <hyperlink ref="A34" r:id="rId30" display="https://www.eia.gov/electricity/state/newhampshire" xr:uid="{20CC42D9-5D5F-6741-957D-0BC1121283A3}"/>
    <hyperlink ref="A35" r:id="rId31" display="https://www.eia.gov/electricity/state/newjersey" xr:uid="{A19E620F-DD8E-2846-9E78-25BA1D3F2905}"/>
    <hyperlink ref="A36" r:id="rId32" display="https://www.eia.gov/electricity/state/newmexico" xr:uid="{7BE84364-984F-B449-B417-D1F2C71123A5}"/>
    <hyperlink ref="A37" r:id="rId33" display="https://www.eia.gov/electricity/state/newyork" xr:uid="{9298A069-722A-1542-A545-98AB0824760B}"/>
    <hyperlink ref="A38" r:id="rId34" display="https://www.eia.gov/electricity/state/northcarolina" xr:uid="{6C8A25B4-EDC9-AC47-A6C7-5E2992FCC85E}"/>
    <hyperlink ref="A39" r:id="rId35" display="https://www.eia.gov/electricity/state/northdakota" xr:uid="{FB7087B2-141B-974E-ACC4-0C452DDCEBAA}"/>
    <hyperlink ref="A40" r:id="rId36" display="https://www.eia.gov/electricity/state/ohio" xr:uid="{28ABEC47-2B6C-B541-A22D-B63A623381D0}"/>
    <hyperlink ref="A41" r:id="rId37" display="https://www.eia.gov/electricity/state/oklahoma" xr:uid="{C3CEE2BA-284D-9140-8C16-C34CCB7AE01D}"/>
    <hyperlink ref="A42" r:id="rId38" display="https://www.eia.gov/electricity/state/oregon" xr:uid="{CF18F03C-36D0-3646-88D7-4E6C2A24A124}"/>
    <hyperlink ref="A43" r:id="rId39" display="https://www.eia.gov/electricity/state/pennsylvania" xr:uid="{51E5D861-6098-0D41-9FFF-AE5A0F04F13A}"/>
    <hyperlink ref="A44" r:id="rId40" display="https://www.eia.gov/electricity/state/rhodeisland" xr:uid="{1D9547C2-27B1-284A-BC50-6DA9C330AA71}"/>
    <hyperlink ref="A45" r:id="rId41" display="https://www.eia.gov/electricity/state/southcarolina" xr:uid="{A2A86CF2-C0D0-8B43-B0CE-9DE567BB34DC}"/>
    <hyperlink ref="A46" r:id="rId42" display="https://www.eia.gov/electricity/state/southdakota" xr:uid="{ADCE9132-CF9A-6140-8DDD-E40186B50F17}"/>
    <hyperlink ref="A47" r:id="rId43" display="https://www.eia.gov/electricity/state/tennessee" xr:uid="{C9B1E672-4577-FB43-9631-E72CC847426E}"/>
    <hyperlink ref="A48" r:id="rId44" display="https://www.eia.gov/electricity/state/texas" xr:uid="{5EA27164-3028-8F46-A99B-AA356D4A769A}"/>
    <hyperlink ref="A49" r:id="rId45" display="https://www.eia.gov/electricity/state/utah" xr:uid="{D34B9748-4205-AA4D-817F-5407E8DD49B6}"/>
    <hyperlink ref="A50" r:id="rId46" display="https://www.eia.gov/electricity/state/vermont" xr:uid="{76E8E7D3-C1A0-0944-9ACA-22A8414A64B8}"/>
    <hyperlink ref="A51" r:id="rId47" display="https://www.eia.gov/electricity/state/virginia" xr:uid="{53F37BC5-48C4-C340-93F6-71265DE6083F}"/>
    <hyperlink ref="A52" r:id="rId48" display="https://www.eia.gov/electricity/state/washington" xr:uid="{011C871C-8E9E-324F-9E56-F26FC0D9F891}"/>
    <hyperlink ref="A53" r:id="rId49" display="https://www.eia.gov/electricity/state/westvirginia" xr:uid="{F8332A84-DA4F-F043-B023-12286332AD5C}"/>
    <hyperlink ref="A54" r:id="rId50" display="https://www.eia.gov/electricity/state/wisconsin" xr:uid="{41313CDD-064C-2942-8A2C-7926C1142645}"/>
    <hyperlink ref="A55" r:id="rId51" display="https://www.eia.gov/electricity/state/wyoming" xr:uid="{002F9CE4-98A4-C747-BD83-F5F30E965AFE}"/>
    <hyperlink ref="A56" r:id="rId52" display="https://www.eia.gov/electricity/state/unitedstates" xr:uid="{BA5508AB-2E0B-1048-9452-C200027DD6C2}"/>
  </hyperlinks>
  <pageMargins left="0.7" right="0.7" top="0.75" bottom="0.75" header="0.3" footer="0.3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A63E4-2BB6-A94C-B64C-03AB4008E325}">
  <dimension ref="A2:I122"/>
  <sheetViews>
    <sheetView showGridLines="0" zoomScaleNormal="100" workbookViewId="0">
      <pane ySplit="7" topLeftCell="A68" activePane="bottomLeft" state="frozen"/>
      <selection pane="bottomLeft" activeCell="E86" sqref="E86:F87"/>
    </sheetView>
  </sheetViews>
  <sheetFormatPr baseColWidth="10" defaultRowHeight="16"/>
  <cols>
    <col min="1" max="1" width="16" customWidth="1"/>
    <col min="2" max="2" width="28.83203125" customWidth="1"/>
    <col min="3" max="3" width="21" style="241" bestFit="1" customWidth="1"/>
    <col min="4" max="4" width="18.5" style="241" customWidth="1"/>
    <col min="5" max="5" width="28.33203125" style="241" bestFit="1" customWidth="1"/>
    <col min="6" max="6" width="19.83203125" style="241" bestFit="1" customWidth="1"/>
    <col min="7" max="7" width="77" bestFit="1" customWidth="1"/>
    <col min="8" max="8" width="28.33203125" customWidth="1"/>
    <col min="9" max="9" width="116.6640625" bestFit="1" customWidth="1"/>
  </cols>
  <sheetData>
    <row r="2" spans="1:9">
      <c r="A2" s="250" t="s">
        <v>727</v>
      </c>
      <c r="B2" s="267">
        <f>'Model and Assumptions'!B7</f>
        <v>8000</v>
      </c>
    </row>
    <row r="3" spans="1:9">
      <c r="A3" s="250" t="s">
        <v>743</v>
      </c>
      <c r="B3" s="268" t="str">
        <f>'Model and Assumptions'!B18</f>
        <v>Distribution SO</v>
      </c>
      <c r="C3" s="241" t="s">
        <v>744</v>
      </c>
      <c r="D3" s="241" t="s">
        <v>745</v>
      </c>
      <c r="E3" s="241" t="s">
        <v>746</v>
      </c>
    </row>
    <row r="4" spans="1:9">
      <c r="A4" s="250"/>
    </row>
    <row r="7" spans="1:9" s="250" customFormat="1">
      <c r="A7" s="250" t="s">
        <v>523</v>
      </c>
      <c r="B7" s="250" t="s">
        <v>522</v>
      </c>
      <c r="C7" s="251" t="s">
        <v>521</v>
      </c>
      <c r="D7" s="250" t="s">
        <v>520</v>
      </c>
      <c r="E7" s="250" t="s">
        <v>519</v>
      </c>
      <c r="F7" s="250" t="s">
        <v>518</v>
      </c>
      <c r="G7" s="250" t="s">
        <v>517</v>
      </c>
      <c r="H7" s="250" t="s">
        <v>516</v>
      </c>
      <c r="I7" s="250" t="s">
        <v>515</v>
      </c>
    </row>
    <row r="8" spans="1:9">
      <c r="A8" t="s">
        <v>477</v>
      </c>
      <c r="B8" t="s">
        <v>514</v>
      </c>
      <c r="C8" s="241">
        <v>0</v>
      </c>
      <c r="D8" s="241">
        <v>18600000</v>
      </c>
      <c r="E8" s="241">
        <v>0</v>
      </c>
      <c r="F8" s="241">
        <v>0</v>
      </c>
      <c r="I8" t="s">
        <v>487</v>
      </c>
    </row>
    <row r="9" spans="1:9">
      <c r="A9" t="s">
        <v>477</v>
      </c>
      <c r="B9" t="s">
        <v>513</v>
      </c>
      <c r="C9" s="241">
        <v>0</v>
      </c>
      <c r="D9" s="241">
        <v>6000000</v>
      </c>
      <c r="E9" s="241">
        <v>0</v>
      </c>
      <c r="F9" s="241">
        <v>0</v>
      </c>
      <c r="G9" s="241"/>
      <c r="H9" s="241"/>
      <c r="I9" t="s">
        <v>487</v>
      </c>
    </row>
    <row r="10" spans="1:9">
      <c r="A10" t="s">
        <v>477</v>
      </c>
      <c r="B10" t="s">
        <v>512</v>
      </c>
      <c r="C10" s="241">
        <v>0</v>
      </c>
      <c r="D10" s="241">
        <v>2400000</v>
      </c>
      <c r="E10" s="241">
        <v>0</v>
      </c>
      <c r="F10" s="241">
        <v>0</v>
      </c>
      <c r="G10" s="241" t="s">
        <v>511</v>
      </c>
      <c r="H10" s="241"/>
      <c r="I10" t="s">
        <v>487</v>
      </c>
    </row>
    <row r="11" spans="1:9">
      <c r="A11" t="s">
        <v>477</v>
      </c>
      <c r="B11" t="s">
        <v>510</v>
      </c>
      <c r="C11" s="241">
        <v>0</v>
      </c>
      <c r="D11" s="241">
        <v>11800000</v>
      </c>
      <c r="E11" s="241">
        <v>0</v>
      </c>
      <c r="F11" s="241">
        <v>0</v>
      </c>
      <c r="G11" s="241" t="s">
        <v>509</v>
      </c>
      <c r="H11" s="241"/>
      <c r="I11" t="s">
        <v>487</v>
      </c>
    </row>
    <row r="12" spans="1:9">
      <c r="A12" t="s">
        <v>477</v>
      </c>
      <c r="B12" t="s">
        <v>508</v>
      </c>
      <c r="C12" s="241">
        <v>0</v>
      </c>
      <c r="D12" s="241">
        <v>2200000</v>
      </c>
      <c r="E12" s="241">
        <v>0</v>
      </c>
      <c r="F12" s="241">
        <v>0</v>
      </c>
      <c r="G12" s="241"/>
      <c r="H12" s="241"/>
      <c r="I12" t="s">
        <v>487</v>
      </c>
    </row>
    <row r="13" spans="1:9">
      <c r="A13" t="s">
        <v>477</v>
      </c>
      <c r="B13" t="s">
        <v>507</v>
      </c>
      <c r="C13" s="241">
        <v>0</v>
      </c>
      <c r="D13" s="241">
        <v>1400000</v>
      </c>
      <c r="E13" s="241">
        <v>0</v>
      </c>
      <c r="F13" s="241">
        <v>0</v>
      </c>
      <c r="G13" s="241"/>
      <c r="H13" s="241"/>
      <c r="I13" t="s">
        <v>487</v>
      </c>
    </row>
    <row r="14" spans="1:9">
      <c r="A14" t="s">
        <v>477</v>
      </c>
      <c r="B14" t="s">
        <v>506</v>
      </c>
      <c r="C14" s="241">
        <v>0</v>
      </c>
      <c r="D14" s="241">
        <v>1100</v>
      </c>
      <c r="E14" s="241">
        <v>0</v>
      </c>
      <c r="F14" s="241">
        <v>0</v>
      </c>
      <c r="G14" s="241"/>
      <c r="H14" s="241"/>
      <c r="I14" t="s">
        <v>487</v>
      </c>
    </row>
    <row r="15" spans="1:9">
      <c r="A15" t="s">
        <v>477</v>
      </c>
      <c r="B15" t="s">
        <v>505</v>
      </c>
      <c r="C15" s="241">
        <v>0</v>
      </c>
      <c r="D15" s="241">
        <v>160</v>
      </c>
      <c r="E15" s="241">
        <v>0</v>
      </c>
      <c r="F15" s="241">
        <v>0</v>
      </c>
      <c r="G15" s="241" t="s">
        <v>488</v>
      </c>
      <c r="H15" s="241"/>
      <c r="I15" t="s">
        <v>487</v>
      </c>
    </row>
    <row r="16" spans="1:9">
      <c r="A16" t="s">
        <v>477</v>
      </c>
      <c r="B16" t="s">
        <v>504</v>
      </c>
      <c r="C16" s="241">
        <v>0</v>
      </c>
      <c r="D16" s="241">
        <v>160</v>
      </c>
      <c r="E16" s="241">
        <v>0</v>
      </c>
      <c r="F16" s="241">
        <v>0</v>
      </c>
      <c r="G16" s="241" t="s">
        <v>488</v>
      </c>
      <c r="H16" s="241"/>
      <c r="I16" t="s">
        <v>487</v>
      </c>
    </row>
    <row r="17" spans="1:9">
      <c r="A17" t="s">
        <v>477</v>
      </c>
      <c r="B17" t="s">
        <v>503</v>
      </c>
      <c r="C17" s="241">
        <v>0</v>
      </c>
      <c r="D17" s="241">
        <v>33000</v>
      </c>
      <c r="E17" s="241">
        <v>0</v>
      </c>
      <c r="F17" s="241">
        <v>0</v>
      </c>
      <c r="G17" s="241" t="s">
        <v>488</v>
      </c>
      <c r="H17" s="241"/>
      <c r="I17" t="s">
        <v>487</v>
      </c>
    </row>
    <row r="18" spans="1:9">
      <c r="A18" t="s">
        <v>477</v>
      </c>
      <c r="B18" t="s">
        <v>502</v>
      </c>
      <c r="C18" s="241">
        <v>0</v>
      </c>
      <c r="D18" s="241">
        <v>30000</v>
      </c>
      <c r="E18" s="241">
        <v>0</v>
      </c>
      <c r="F18" s="241">
        <v>0</v>
      </c>
      <c r="G18" s="241" t="s">
        <v>488</v>
      </c>
      <c r="H18" s="241"/>
      <c r="I18" t="s">
        <v>487</v>
      </c>
    </row>
    <row r="19" spans="1:9">
      <c r="A19" t="s">
        <v>477</v>
      </c>
      <c r="B19" t="s">
        <v>501</v>
      </c>
      <c r="C19" s="241">
        <v>0</v>
      </c>
      <c r="D19" s="241">
        <v>45000</v>
      </c>
      <c r="E19" s="241">
        <v>0</v>
      </c>
      <c r="F19" s="241">
        <v>0</v>
      </c>
      <c r="G19" s="241" t="s">
        <v>488</v>
      </c>
      <c r="H19" s="241"/>
      <c r="I19" t="s">
        <v>487</v>
      </c>
    </row>
    <row r="20" spans="1:9">
      <c r="A20" t="s">
        <v>477</v>
      </c>
      <c r="B20" t="s">
        <v>500</v>
      </c>
      <c r="C20" s="241">
        <v>0</v>
      </c>
      <c r="D20" s="241">
        <v>150000</v>
      </c>
      <c r="E20" s="241">
        <v>0</v>
      </c>
      <c r="F20" s="241">
        <v>0</v>
      </c>
      <c r="G20" s="241" t="s">
        <v>488</v>
      </c>
      <c r="H20" s="241"/>
      <c r="I20" t="s">
        <v>487</v>
      </c>
    </row>
    <row r="21" spans="1:9">
      <c r="A21" t="s">
        <v>477</v>
      </c>
      <c r="B21" t="s">
        <v>499</v>
      </c>
      <c r="C21" s="241">
        <v>0</v>
      </c>
      <c r="D21" s="241">
        <v>80000</v>
      </c>
      <c r="E21" s="241">
        <v>0</v>
      </c>
      <c r="F21" s="241">
        <v>0</v>
      </c>
      <c r="G21" s="241" t="s">
        <v>488</v>
      </c>
      <c r="H21" s="241"/>
      <c r="I21" t="s">
        <v>487</v>
      </c>
    </row>
    <row r="22" spans="1:9">
      <c r="A22" t="s">
        <v>477</v>
      </c>
      <c r="B22" t="s">
        <v>498</v>
      </c>
      <c r="C22" s="241">
        <v>0</v>
      </c>
      <c r="D22" s="241">
        <v>10000</v>
      </c>
      <c r="E22" s="241">
        <v>0</v>
      </c>
      <c r="F22" s="241">
        <v>0</v>
      </c>
      <c r="G22" s="241" t="s">
        <v>488</v>
      </c>
      <c r="H22" s="241"/>
      <c r="I22" t="s">
        <v>487</v>
      </c>
    </row>
    <row r="23" spans="1:9">
      <c r="A23" t="s">
        <v>477</v>
      </c>
      <c r="B23" t="s">
        <v>497</v>
      </c>
      <c r="C23" s="241">
        <v>0</v>
      </c>
      <c r="D23" s="241">
        <v>15000</v>
      </c>
      <c r="E23" s="241">
        <v>0</v>
      </c>
      <c r="F23" s="241">
        <v>0</v>
      </c>
      <c r="G23" s="241" t="s">
        <v>488</v>
      </c>
      <c r="H23" s="241"/>
      <c r="I23" t="s">
        <v>487</v>
      </c>
    </row>
    <row r="24" spans="1:9">
      <c r="A24" t="s">
        <v>477</v>
      </c>
      <c r="B24" t="s">
        <v>496</v>
      </c>
      <c r="C24" s="241">
        <v>0</v>
      </c>
      <c r="D24" s="241">
        <v>18000</v>
      </c>
      <c r="E24" s="241">
        <v>0</v>
      </c>
      <c r="F24" s="241">
        <v>0</v>
      </c>
      <c r="G24" s="241" t="s">
        <v>488</v>
      </c>
      <c r="H24" s="241"/>
      <c r="I24" t="s">
        <v>487</v>
      </c>
    </row>
    <row r="25" spans="1:9">
      <c r="A25" t="s">
        <v>477</v>
      </c>
      <c r="B25" t="s">
        <v>495</v>
      </c>
      <c r="C25" s="241">
        <v>0</v>
      </c>
      <c r="D25" s="241">
        <v>320</v>
      </c>
      <c r="E25" s="241">
        <v>0</v>
      </c>
      <c r="F25" s="241">
        <v>0</v>
      </c>
      <c r="G25" s="241" t="s">
        <v>488</v>
      </c>
      <c r="H25" s="241"/>
      <c r="I25" t="s">
        <v>487</v>
      </c>
    </row>
    <row r="26" spans="1:9">
      <c r="A26" t="s">
        <v>477</v>
      </c>
      <c r="B26" t="s">
        <v>494</v>
      </c>
      <c r="C26" s="241">
        <v>0</v>
      </c>
      <c r="D26" s="241">
        <v>34000</v>
      </c>
      <c r="E26" s="241">
        <v>0</v>
      </c>
      <c r="F26" s="241">
        <v>0</v>
      </c>
      <c r="G26" s="241" t="s">
        <v>488</v>
      </c>
      <c r="H26" s="241"/>
      <c r="I26" t="s">
        <v>487</v>
      </c>
    </row>
    <row r="27" spans="1:9">
      <c r="A27" t="s">
        <v>477</v>
      </c>
      <c r="B27" t="s">
        <v>493</v>
      </c>
      <c r="C27" s="241">
        <v>0</v>
      </c>
      <c r="D27" s="241">
        <v>850000</v>
      </c>
      <c r="E27" s="241">
        <v>0</v>
      </c>
      <c r="F27" s="241">
        <v>0</v>
      </c>
      <c r="G27" s="241" t="s">
        <v>488</v>
      </c>
      <c r="H27" s="241"/>
      <c r="I27" t="s">
        <v>487</v>
      </c>
    </row>
    <row r="28" spans="1:9">
      <c r="A28" t="s">
        <v>477</v>
      </c>
      <c r="B28" t="s">
        <v>492</v>
      </c>
      <c r="C28" s="241">
        <v>0</v>
      </c>
      <c r="D28" s="241">
        <v>80000</v>
      </c>
      <c r="E28" s="241">
        <v>0</v>
      </c>
      <c r="F28" s="241">
        <v>0</v>
      </c>
      <c r="G28" s="241" t="s">
        <v>488</v>
      </c>
      <c r="H28" s="241"/>
      <c r="I28" t="s">
        <v>487</v>
      </c>
    </row>
    <row r="29" spans="1:9">
      <c r="A29" t="s">
        <v>477</v>
      </c>
      <c r="B29" t="s">
        <v>491</v>
      </c>
      <c r="C29" s="241">
        <v>0</v>
      </c>
      <c r="D29" s="241">
        <v>130000</v>
      </c>
      <c r="E29" s="241">
        <v>0</v>
      </c>
      <c r="F29" s="241">
        <v>0</v>
      </c>
      <c r="G29" s="241" t="s">
        <v>488</v>
      </c>
      <c r="H29" s="241"/>
      <c r="I29" t="s">
        <v>487</v>
      </c>
    </row>
    <row r="30" spans="1:9">
      <c r="A30" t="s">
        <v>477</v>
      </c>
      <c r="B30" t="s">
        <v>490</v>
      </c>
      <c r="C30" s="241">
        <v>0</v>
      </c>
      <c r="D30" s="241">
        <v>120000</v>
      </c>
      <c r="E30" s="241">
        <v>0</v>
      </c>
      <c r="F30" s="241">
        <v>0</v>
      </c>
      <c r="G30" s="241" t="s">
        <v>488</v>
      </c>
      <c r="H30" s="241"/>
      <c r="I30" t="s">
        <v>487</v>
      </c>
    </row>
    <row r="31" spans="1:9">
      <c r="A31" t="s">
        <v>477</v>
      </c>
      <c r="B31" t="s">
        <v>489</v>
      </c>
      <c r="C31" s="241">
        <v>0</v>
      </c>
      <c r="D31" s="241">
        <v>65000</v>
      </c>
      <c r="E31" s="241">
        <v>0</v>
      </c>
      <c r="F31" s="241">
        <v>0</v>
      </c>
      <c r="G31" s="241" t="s">
        <v>488</v>
      </c>
      <c r="H31" s="241"/>
      <c r="I31" t="s">
        <v>487</v>
      </c>
    </row>
    <row r="32" spans="1:9">
      <c r="A32" t="s">
        <v>477</v>
      </c>
      <c r="B32" t="s">
        <v>371</v>
      </c>
      <c r="C32" s="241">
        <v>0</v>
      </c>
      <c r="D32" s="241">
        <f>SUM($D$8:$D$31)*0.1</f>
        <v>4406174</v>
      </c>
      <c r="E32" s="241">
        <v>0</v>
      </c>
      <c r="F32" s="241">
        <v>0</v>
      </c>
      <c r="G32" s="241" t="s">
        <v>486</v>
      </c>
      <c r="H32" s="241"/>
    </row>
    <row r="33" spans="1:9">
      <c r="A33" t="s">
        <v>477</v>
      </c>
      <c r="B33" t="s">
        <v>384</v>
      </c>
      <c r="C33" s="241">
        <v>0</v>
      </c>
      <c r="D33" s="241">
        <v>0</v>
      </c>
      <c r="E33" s="241">
        <v>0</v>
      </c>
      <c r="F33" s="241">
        <f>ROUND(D32*0.015,0)</f>
        <v>66093</v>
      </c>
      <c r="G33" s="241" t="s">
        <v>484</v>
      </c>
      <c r="H33" s="241"/>
    </row>
    <row r="34" spans="1:9">
      <c r="A34" t="s">
        <v>477</v>
      </c>
      <c r="B34" t="s">
        <v>485</v>
      </c>
      <c r="C34" s="241">
        <v>0</v>
      </c>
      <c r="D34" s="241">
        <v>0</v>
      </c>
      <c r="E34" s="241">
        <v>0</v>
      </c>
      <c r="F34" s="241">
        <f>ROUND(D32*0.015,0)</f>
        <v>66093</v>
      </c>
      <c r="G34" s="241" t="s">
        <v>484</v>
      </c>
      <c r="H34" s="241"/>
    </row>
    <row r="35" spans="1:9">
      <c r="A35" t="s">
        <v>477</v>
      </c>
      <c r="B35" t="s">
        <v>372</v>
      </c>
      <c r="C35" s="241">
        <f>0</f>
        <v>0</v>
      </c>
      <c r="D35" s="241">
        <f>ROUND(SUM(D8:D34)*0.1, 0)</f>
        <v>4846791</v>
      </c>
      <c r="E35" s="241">
        <v>0</v>
      </c>
      <c r="F35" s="241">
        <f>0.1*SUM(F8:F34)</f>
        <v>13218.6</v>
      </c>
      <c r="G35" s="241" t="s">
        <v>483</v>
      </c>
      <c r="H35" s="241"/>
    </row>
    <row r="36" spans="1:9">
      <c r="A36" t="s">
        <v>477</v>
      </c>
      <c r="B36" t="s">
        <v>482</v>
      </c>
      <c r="C36" s="241">
        <v>1000</v>
      </c>
      <c r="D36" s="241">
        <f>250000*(1-POWER(0.97,20))</f>
        <v>114051.41426831322</v>
      </c>
      <c r="E36" s="241">
        <v>0</v>
      </c>
      <c r="F36" s="241">
        <v>0</v>
      </c>
      <c r="G36" s="241" t="s">
        <v>481</v>
      </c>
      <c r="H36" s="241"/>
      <c r="I36" t="s">
        <v>478</v>
      </c>
    </row>
    <row r="37" spans="1:9">
      <c r="A37" t="s">
        <v>477</v>
      </c>
      <c r="B37" t="s">
        <v>480</v>
      </c>
      <c r="C37" s="241">
        <v>20000</v>
      </c>
      <c r="D37" s="241">
        <v>0</v>
      </c>
      <c r="E37" s="241">
        <v>0</v>
      </c>
      <c r="F37" s="241">
        <v>0</v>
      </c>
      <c r="G37" s="241" t="s">
        <v>479</v>
      </c>
      <c r="H37" s="241"/>
      <c r="I37" t="s">
        <v>478</v>
      </c>
    </row>
    <row r="38" spans="1:9">
      <c r="A38" t="s">
        <v>477</v>
      </c>
      <c r="B38" t="s">
        <v>475</v>
      </c>
      <c r="C38" s="241">
        <v>0</v>
      </c>
      <c r="D38" s="241">
        <v>0</v>
      </c>
      <c r="E38" s="241">
        <v>0</v>
      </c>
      <c r="F38" s="241">
        <f>164.5*365</f>
        <v>60042.5</v>
      </c>
      <c r="G38" s="241" t="s">
        <v>476</v>
      </c>
      <c r="H38" s="241"/>
    </row>
    <row r="39" spans="1:9">
      <c r="A39" s="26"/>
      <c r="B39" s="250" t="s">
        <v>699</v>
      </c>
      <c r="C39" s="251">
        <f>SUM(C8:C38)</f>
        <v>21000</v>
      </c>
      <c r="D39" s="251">
        <f>SUM(D8:D38)</f>
        <v>53428756.414268315</v>
      </c>
      <c r="E39" s="251">
        <f>SUM(E8:E38)</f>
        <v>0</v>
      </c>
      <c r="F39" s="251">
        <f>SUM(F8:F38)</f>
        <v>205447.1</v>
      </c>
      <c r="G39" s="241"/>
      <c r="H39" s="241"/>
    </row>
    <row r="40" spans="1:9">
      <c r="G40" s="241"/>
      <c r="H40" s="241"/>
    </row>
    <row r="41" spans="1:9">
      <c r="A41" t="s">
        <v>472</v>
      </c>
      <c r="B41" t="s">
        <v>475</v>
      </c>
      <c r="C41" s="241">
        <v>0</v>
      </c>
      <c r="D41" s="241">
        <v>0</v>
      </c>
      <c r="E41" s="241">
        <v>0</v>
      </c>
      <c r="F41" s="244">
        <v>21280</v>
      </c>
      <c r="G41" s="241" t="s">
        <v>474</v>
      </c>
      <c r="H41" s="241"/>
      <c r="I41" t="s">
        <v>473</v>
      </c>
    </row>
    <row r="42" spans="1:9">
      <c r="A42" t="s">
        <v>472</v>
      </c>
      <c r="B42" t="s">
        <v>467</v>
      </c>
      <c r="C42" s="241">
        <v>20000</v>
      </c>
      <c r="D42" s="241">
        <v>0</v>
      </c>
      <c r="E42" s="241">
        <v>0</v>
      </c>
      <c r="F42" s="241">
        <v>0</v>
      </c>
      <c r="G42" s="241" t="s">
        <v>471</v>
      </c>
      <c r="H42" s="241"/>
    </row>
    <row r="43" spans="1:9">
      <c r="B43" s="250" t="s">
        <v>700</v>
      </c>
      <c r="C43" s="251">
        <f>SUM(C41:C42)</f>
        <v>20000</v>
      </c>
      <c r="D43" s="251">
        <f>SUM(D41:D42)</f>
        <v>0</v>
      </c>
      <c r="E43" s="251">
        <f>SUM(E41:E42)</f>
        <v>0</v>
      </c>
      <c r="F43" s="251">
        <f>SUM(F41:F42)</f>
        <v>21280</v>
      </c>
      <c r="G43" s="241"/>
      <c r="H43" s="241"/>
    </row>
    <row r="44" spans="1:9">
      <c r="G44" s="241"/>
      <c r="H44" s="241"/>
    </row>
    <row r="45" spans="1:9">
      <c r="A45" t="s">
        <v>462</v>
      </c>
      <c r="B45" t="s">
        <v>466</v>
      </c>
      <c r="C45" s="241">
        <v>1000</v>
      </c>
      <c r="D45" s="241">
        <v>50000</v>
      </c>
      <c r="E45" s="241">
        <v>0</v>
      </c>
      <c r="F45" s="241">
        <v>0</v>
      </c>
      <c r="G45" s="241"/>
      <c r="H45" s="241"/>
      <c r="I45" t="s">
        <v>463</v>
      </c>
    </row>
    <row r="46" spans="1:9">
      <c r="A46" t="s">
        <v>462</v>
      </c>
      <c r="B46" t="s">
        <v>470</v>
      </c>
      <c r="C46" s="241">
        <v>0</v>
      </c>
      <c r="D46" s="241">
        <v>15400</v>
      </c>
      <c r="E46" s="241">
        <v>0</v>
      </c>
      <c r="F46" s="241">
        <v>0</v>
      </c>
      <c r="G46" s="241"/>
      <c r="H46" s="241"/>
      <c r="I46" t="s">
        <v>463</v>
      </c>
    </row>
    <row r="47" spans="1:9">
      <c r="A47" t="s">
        <v>462</v>
      </c>
      <c r="B47" t="s">
        <v>469</v>
      </c>
      <c r="C47" s="241">
        <v>0</v>
      </c>
      <c r="D47" s="241">
        <v>20000</v>
      </c>
      <c r="E47" s="241">
        <v>0</v>
      </c>
      <c r="F47" s="241">
        <v>0</v>
      </c>
      <c r="G47" s="241" t="s">
        <v>468</v>
      </c>
      <c r="H47" s="241"/>
      <c r="I47" t="s">
        <v>463</v>
      </c>
    </row>
    <row r="48" spans="1:9">
      <c r="A48" t="s">
        <v>462</v>
      </c>
      <c r="B48" t="s">
        <v>467</v>
      </c>
      <c r="C48" s="241">
        <v>20000</v>
      </c>
      <c r="D48" s="241">
        <v>0</v>
      </c>
      <c r="E48" s="241">
        <v>0</v>
      </c>
      <c r="F48" s="241">
        <v>0</v>
      </c>
      <c r="G48" s="241"/>
      <c r="H48" s="241"/>
      <c r="I48" t="s">
        <v>463</v>
      </c>
    </row>
    <row r="49" spans="1:9">
      <c r="A49" t="s">
        <v>462</v>
      </c>
      <c r="B49" t="s">
        <v>466</v>
      </c>
      <c r="C49" s="241">
        <v>0</v>
      </c>
      <c r="D49" s="241">
        <v>100000</v>
      </c>
      <c r="E49" s="241">
        <v>0</v>
      </c>
      <c r="F49" s="241">
        <v>0</v>
      </c>
      <c r="G49" s="241" t="s">
        <v>465</v>
      </c>
      <c r="H49" s="241"/>
      <c r="I49" t="s">
        <v>463</v>
      </c>
    </row>
    <row r="50" spans="1:9">
      <c r="A50" t="s">
        <v>462</v>
      </c>
      <c r="B50" t="s">
        <v>464</v>
      </c>
      <c r="C50" s="241">
        <v>0</v>
      </c>
      <c r="D50" s="241">
        <v>0</v>
      </c>
      <c r="E50" s="241">
        <v>5728</v>
      </c>
      <c r="F50" s="241">
        <v>0</v>
      </c>
      <c r="G50" s="241"/>
      <c r="H50" s="241"/>
      <c r="I50" t="s">
        <v>463</v>
      </c>
    </row>
    <row r="51" spans="1:9">
      <c r="A51" t="s">
        <v>462</v>
      </c>
      <c r="B51" t="s">
        <v>461</v>
      </c>
      <c r="C51" s="241">
        <v>0</v>
      </c>
      <c r="D51" s="241">
        <v>0</v>
      </c>
      <c r="E51" s="241">
        <v>0</v>
      </c>
      <c r="F51" s="241">
        <f>0.0048*($D$35+SUM($D$8:$D$34))</f>
        <v>255910.58399999997</v>
      </c>
      <c r="G51" s="241" t="s">
        <v>460</v>
      </c>
      <c r="H51" s="241"/>
    </row>
    <row r="52" spans="1:9">
      <c r="A52" t="s">
        <v>462</v>
      </c>
      <c r="B52" t="s">
        <v>480</v>
      </c>
      <c r="C52" s="241">
        <v>20000</v>
      </c>
      <c r="D52" s="241">
        <v>0</v>
      </c>
      <c r="E52" s="241">
        <v>0</v>
      </c>
      <c r="F52" s="241">
        <v>0</v>
      </c>
      <c r="G52" s="241"/>
      <c r="H52" s="241"/>
    </row>
    <row r="53" spans="1:9">
      <c r="A53" t="s">
        <v>462</v>
      </c>
      <c r="B53" t="s">
        <v>475</v>
      </c>
      <c r="C53" s="241">
        <v>0</v>
      </c>
      <c r="D53" s="241">
        <v>0</v>
      </c>
      <c r="E53" s="241">
        <v>0</v>
      </c>
      <c r="F53" s="241">
        <f>164.5*365</f>
        <v>60042.5</v>
      </c>
      <c r="G53" s="241"/>
      <c r="H53" s="241"/>
    </row>
    <row r="54" spans="1:9">
      <c r="A54" t="s">
        <v>462</v>
      </c>
      <c r="B54" t="s">
        <v>482</v>
      </c>
      <c r="C54" s="241">
        <v>1000</v>
      </c>
      <c r="D54" s="241">
        <f>250000*(1-POWER(0.97,20))</f>
        <v>114051.41426831322</v>
      </c>
      <c r="E54" s="241">
        <v>0</v>
      </c>
      <c r="F54" s="241">
        <v>0</v>
      </c>
      <c r="G54" s="241"/>
      <c r="H54" s="241"/>
    </row>
    <row r="55" spans="1:9">
      <c r="B55" s="250" t="s">
        <v>701</v>
      </c>
      <c r="C55" s="251">
        <f>SUM(C50:C51)</f>
        <v>0</v>
      </c>
      <c r="D55" s="251">
        <f>SUM(D50:D51)</f>
        <v>0</v>
      </c>
      <c r="E55" s="251">
        <f>SUM(E50:E51)</f>
        <v>5728</v>
      </c>
      <c r="F55" s="251">
        <f>SUM(F50:F51)</f>
        <v>255910.58399999997</v>
      </c>
      <c r="G55" s="241"/>
      <c r="H55" s="241"/>
    </row>
    <row r="56" spans="1:9">
      <c r="G56" s="241"/>
      <c r="H56" s="241"/>
    </row>
    <row r="57" spans="1:9">
      <c r="G57" s="241"/>
      <c r="H57" s="241"/>
    </row>
    <row r="58" spans="1:9">
      <c r="A58" t="s">
        <v>417</v>
      </c>
      <c r="B58" t="s">
        <v>459</v>
      </c>
      <c r="C58" s="241">
        <v>445000</v>
      </c>
      <c r="D58" s="241">
        <v>0</v>
      </c>
      <c r="E58" s="241">
        <v>0</v>
      </c>
      <c r="F58" s="241">
        <v>0</v>
      </c>
      <c r="G58" s="241" t="s">
        <v>438</v>
      </c>
      <c r="H58" s="241" t="s">
        <v>458</v>
      </c>
      <c r="I58" t="s">
        <v>457</v>
      </c>
    </row>
    <row r="59" spans="1:9">
      <c r="A59" t="s">
        <v>417</v>
      </c>
      <c r="B59" t="s">
        <v>456</v>
      </c>
      <c r="C59" s="241">
        <v>334500</v>
      </c>
      <c r="D59" s="241">
        <v>0</v>
      </c>
      <c r="E59" s="241">
        <v>0</v>
      </c>
      <c r="F59" s="241">
        <v>0</v>
      </c>
      <c r="G59" s="241" t="s">
        <v>438</v>
      </c>
      <c r="H59" s="241"/>
      <c r="I59" t="s">
        <v>717</v>
      </c>
    </row>
    <row r="60" spans="1:9">
      <c r="A60" t="s">
        <v>417</v>
      </c>
      <c r="B60" t="s">
        <v>455</v>
      </c>
      <c r="C60" s="241">
        <v>30000</v>
      </c>
      <c r="D60" s="241">
        <v>0</v>
      </c>
      <c r="E60" s="241">
        <v>0</v>
      </c>
      <c r="F60" s="241">
        <v>0</v>
      </c>
      <c r="G60" s="241" t="s">
        <v>438</v>
      </c>
      <c r="H60" s="241" t="s">
        <v>718</v>
      </c>
      <c r="I60" t="s">
        <v>717</v>
      </c>
    </row>
    <row r="61" spans="1:9">
      <c r="A61" t="s">
        <v>417</v>
      </c>
      <c r="B61" t="s">
        <v>454</v>
      </c>
      <c r="C61" s="241">
        <v>14500</v>
      </c>
      <c r="D61" s="241">
        <v>0</v>
      </c>
      <c r="E61" s="241">
        <v>0</v>
      </c>
      <c r="F61" s="241">
        <v>0</v>
      </c>
      <c r="G61" s="241" t="s">
        <v>438</v>
      </c>
      <c r="H61" s="241" t="s">
        <v>718</v>
      </c>
      <c r="I61" t="s">
        <v>717</v>
      </c>
    </row>
    <row r="62" spans="1:9">
      <c r="A62" t="s">
        <v>417</v>
      </c>
      <c r="B62" t="s">
        <v>453</v>
      </c>
      <c r="C62" s="241">
        <v>164000</v>
      </c>
      <c r="D62" s="241">
        <v>0</v>
      </c>
      <c r="E62" s="241">
        <v>0</v>
      </c>
      <c r="F62" s="241">
        <v>0</v>
      </c>
      <c r="G62" s="241" t="s">
        <v>438</v>
      </c>
      <c r="H62" s="241" t="s">
        <v>718</v>
      </c>
      <c r="I62" t="s">
        <v>717</v>
      </c>
    </row>
    <row r="63" spans="1:9">
      <c r="A63" t="s">
        <v>417</v>
      </c>
      <c r="B63" t="s">
        <v>452</v>
      </c>
      <c r="C63" s="241">
        <v>3000</v>
      </c>
      <c r="D63" s="241">
        <v>0</v>
      </c>
      <c r="E63" s="241">
        <v>0</v>
      </c>
      <c r="F63" s="241">
        <v>0</v>
      </c>
      <c r="G63" s="241" t="s">
        <v>438</v>
      </c>
      <c r="H63" s="241" t="s">
        <v>718</v>
      </c>
      <c r="I63" t="s">
        <v>717</v>
      </c>
    </row>
    <row r="64" spans="1:9">
      <c r="A64" t="s">
        <v>417</v>
      </c>
      <c r="B64" t="s">
        <v>451</v>
      </c>
      <c r="C64" s="241">
        <v>7500</v>
      </c>
      <c r="D64" s="241">
        <v>0</v>
      </c>
      <c r="E64" s="241">
        <v>0</v>
      </c>
      <c r="F64" s="241">
        <v>0</v>
      </c>
      <c r="G64" s="241" t="s">
        <v>438</v>
      </c>
      <c r="H64" s="241" t="s">
        <v>718</v>
      </c>
      <c r="I64" t="s">
        <v>717</v>
      </c>
    </row>
    <row r="65" spans="1:9">
      <c r="A65" t="s">
        <v>417</v>
      </c>
      <c r="B65" t="s">
        <v>450</v>
      </c>
      <c r="C65" s="241">
        <v>0</v>
      </c>
      <c r="D65" s="241">
        <v>650000</v>
      </c>
      <c r="E65" s="241">
        <v>0</v>
      </c>
      <c r="F65" s="241">
        <v>0</v>
      </c>
      <c r="G65" s="241" t="s">
        <v>438</v>
      </c>
      <c r="H65" s="241" t="s">
        <v>718</v>
      </c>
      <c r="I65" t="s">
        <v>717</v>
      </c>
    </row>
    <row r="66" spans="1:9">
      <c r="A66" t="s">
        <v>417</v>
      </c>
      <c r="B66" t="s">
        <v>449</v>
      </c>
      <c r="C66" s="241">
        <v>0</v>
      </c>
      <c r="D66" s="241">
        <v>100000</v>
      </c>
      <c r="E66" s="241">
        <v>0</v>
      </c>
      <c r="F66" s="241">
        <v>0</v>
      </c>
      <c r="G66" s="241" t="s">
        <v>438</v>
      </c>
      <c r="H66" s="241" t="s">
        <v>718</v>
      </c>
      <c r="I66" t="s">
        <v>717</v>
      </c>
    </row>
    <row r="67" spans="1:9">
      <c r="A67" t="s">
        <v>417</v>
      </c>
      <c r="B67" t="s">
        <v>448</v>
      </c>
      <c r="C67" s="241">
        <f>0.1*(SUM(C58:C66)-C61) + 0.3*C61</f>
        <v>102750</v>
      </c>
      <c r="D67" s="241">
        <v>0</v>
      </c>
      <c r="E67" s="241">
        <v>0</v>
      </c>
      <c r="F67" s="241">
        <v>0</v>
      </c>
      <c r="G67" s="241" t="s">
        <v>447</v>
      </c>
      <c r="H67" s="241" t="s">
        <v>718</v>
      </c>
      <c r="I67" t="s">
        <v>717</v>
      </c>
    </row>
    <row r="68" spans="1:9">
      <c r="A68" t="s">
        <v>417</v>
      </c>
      <c r="B68" t="s">
        <v>446</v>
      </c>
      <c r="C68" s="241">
        <v>44500</v>
      </c>
      <c r="D68" s="241">
        <v>0</v>
      </c>
      <c r="E68" s="241">
        <v>0</v>
      </c>
      <c r="F68" s="241">
        <v>0</v>
      </c>
      <c r="G68" s="241" t="s">
        <v>438</v>
      </c>
      <c r="H68" s="241" t="s">
        <v>718</v>
      </c>
      <c r="I68" t="s">
        <v>717</v>
      </c>
    </row>
    <row r="69" spans="1:9">
      <c r="A69" t="s">
        <v>417</v>
      </c>
      <c r="B69" t="s">
        <v>445</v>
      </c>
      <c r="C69" s="241">
        <v>0</v>
      </c>
      <c r="D69" s="241">
        <v>110000</v>
      </c>
      <c r="E69" s="241">
        <v>0</v>
      </c>
      <c r="F69" s="241">
        <v>0</v>
      </c>
      <c r="G69" s="241" t="s">
        <v>438</v>
      </c>
      <c r="H69" s="241" t="s">
        <v>718</v>
      </c>
      <c r="I69" t="s">
        <v>717</v>
      </c>
    </row>
    <row r="70" spans="1:9">
      <c r="A70" t="s">
        <v>417</v>
      </c>
      <c r="B70" t="s">
        <v>444</v>
      </c>
      <c r="C70" s="241">
        <v>0</v>
      </c>
      <c r="D70" s="241">
        <v>135000</v>
      </c>
      <c r="E70" s="241">
        <v>0</v>
      </c>
      <c r="F70" s="241">
        <v>0</v>
      </c>
      <c r="G70" s="241" t="s">
        <v>438</v>
      </c>
      <c r="H70" s="241" t="s">
        <v>718</v>
      </c>
      <c r="I70" t="s">
        <v>717</v>
      </c>
    </row>
    <row r="71" spans="1:9">
      <c r="A71" t="s">
        <v>417</v>
      </c>
      <c r="B71" t="s">
        <v>443</v>
      </c>
      <c r="C71" s="241">
        <v>135000</v>
      </c>
      <c r="D71" s="241">
        <v>0</v>
      </c>
      <c r="E71" s="241">
        <v>0</v>
      </c>
      <c r="F71" s="241">
        <v>0</v>
      </c>
      <c r="G71" s="241" t="s">
        <v>438</v>
      </c>
      <c r="H71" s="241" t="s">
        <v>718</v>
      </c>
      <c r="I71" t="s">
        <v>717</v>
      </c>
    </row>
    <row r="72" spans="1:9">
      <c r="A72" t="s">
        <v>417</v>
      </c>
      <c r="B72" t="s">
        <v>442</v>
      </c>
      <c r="C72" s="241">
        <v>0</v>
      </c>
      <c r="D72" s="241">
        <v>10000</v>
      </c>
      <c r="E72" s="241">
        <v>0</v>
      </c>
      <c r="F72" s="241">
        <v>0</v>
      </c>
      <c r="G72" s="241" t="s">
        <v>438</v>
      </c>
      <c r="H72" s="241" t="s">
        <v>718</v>
      </c>
      <c r="I72" t="s">
        <v>717</v>
      </c>
    </row>
    <row r="73" spans="1:9">
      <c r="A73" t="s">
        <v>417</v>
      </c>
      <c r="B73" t="s">
        <v>440</v>
      </c>
      <c r="C73" s="241">
        <v>90000</v>
      </c>
      <c r="D73" s="241">
        <v>0</v>
      </c>
      <c r="E73" s="241">
        <v>0</v>
      </c>
      <c r="F73" s="241">
        <v>0</v>
      </c>
      <c r="G73" s="241" t="s">
        <v>438</v>
      </c>
      <c r="H73" s="241" t="s">
        <v>718</v>
      </c>
      <c r="I73" t="s">
        <v>717</v>
      </c>
    </row>
    <row r="74" spans="1:9">
      <c r="A74" t="s">
        <v>417</v>
      </c>
      <c r="B74" t="s">
        <v>439</v>
      </c>
      <c r="C74" s="241">
        <v>47900</v>
      </c>
      <c r="D74" s="241">
        <v>0</v>
      </c>
      <c r="E74" s="241">
        <v>0</v>
      </c>
      <c r="F74" s="241">
        <v>0</v>
      </c>
      <c r="G74" s="241" t="s">
        <v>438</v>
      </c>
      <c r="H74" s="241" t="s">
        <v>718</v>
      </c>
      <c r="I74" t="s">
        <v>721</v>
      </c>
    </row>
    <row r="75" spans="1:9">
      <c r="A75" t="s">
        <v>417</v>
      </c>
      <c r="B75" t="s">
        <v>437</v>
      </c>
      <c r="C75" s="241">
        <f>0.3*SUM(C68:C74)</f>
        <v>95220</v>
      </c>
      <c r="D75" s="241">
        <f>0.3*SUM(D68:D74)</f>
        <v>76500</v>
      </c>
      <c r="E75" s="241">
        <v>0</v>
      </c>
      <c r="F75" s="241">
        <v>0</v>
      </c>
      <c r="G75" s="241" t="s">
        <v>436</v>
      </c>
      <c r="H75" s="241" t="s">
        <v>718</v>
      </c>
      <c r="I75" t="s">
        <v>717</v>
      </c>
    </row>
    <row r="76" spans="1:9">
      <c r="A76" t="s">
        <v>417</v>
      </c>
      <c r="B76" t="s">
        <v>433</v>
      </c>
      <c r="C76" s="241">
        <f>0.1*SUM(C58:C64)*POWER(0.97,10)</f>
        <v>73631.799070458583</v>
      </c>
      <c r="D76" s="241">
        <v>0</v>
      </c>
      <c r="E76" s="241">
        <v>0</v>
      </c>
      <c r="F76" s="241">
        <v>0</v>
      </c>
      <c r="G76" s="241" t="s">
        <v>432</v>
      </c>
      <c r="H76" s="241" t="s">
        <v>430</v>
      </c>
      <c r="I76" t="s">
        <v>717</v>
      </c>
    </row>
    <row r="77" spans="1:9">
      <c r="A77" t="s">
        <v>417</v>
      </c>
      <c r="B77" t="s">
        <v>384</v>
      </c>
      <c r="C77" s="241">
        <v>0</v>
      </c>
      <c r="D77" s="241">
        <v>0</v>
      </c>
      <c r="E77" s="241">
        <f>0.035*SUM($C$58:$C$64)</f>
        <v>34947.5</v>
      </c>
      <c r="F77" s="241">
        <v>0</v>
      </c>
      <c r="G77" s="241" t="s">
        <v>431</v>
      </c>
      <c r="H77" s="241" t="s">
        <v>430</v>
      </c>
      <c r="I77" t="s">
        <v>717</v>
      </c>
    </row>
    <row r="78" spans="1:9">
      <c r="A78" t="s">
        <v>417</v>
      </c>
      <c r="B78" t="s">
        <v>429</v>
      </c>
      <c r="C78" s="241">
        <v>0</v>
      </c>
      <c r="D78" s="241">
        <v>0</v>
      </c>
      <c r="E78" s="241">
        <v>10500</v>
      </c>
      <c r="F78" s="241">
        <v>0</v>
      </c>
      <c r="G78" s="241" t="s">
        <v>428</v>
      </c>
      <c r="H78" s="241"/>
      <c r="I78" t="s">
        <v>717</v>
      </c>
    </row>
    <row r="79" spans="1:9">
      <c r="A79" t="s">
        <v>417</v>
      </c>
      <c r="B79" t="s">
        <v>420</v>
      </c>
      <c r="C79" s="241">
        <v>0</v>
      </c>
      <c r="D79" s="241">
        <v>0</v>
      </c>
      <c r="E79" s="241">
        <v>0</v>
      </c>
      <c r="F79" s="241">
        <v>800000</v>
      </c>
      <c r="G79" s="241" t="s">
        <v>723</v>
      </c>
      <c r="H79" s="241" t="s">
        <v>427</v>
      </c>
      <c r="I79" t="s">
        <v>717</v>
      </c>
    </row>
    <row r="80" spans="1:9">
      <c r="A80" t="s">
        <v>417</v>
      </c>
      <c r="B80" t="s">
        <v>426</v>
      </c>
      <c r="C80" s="241">
        <v>0</v>
      </c>
      <c r="D80" s="241">
        <v>0</v>
      </c>
      <c r="E80" s="241">
        <v>3040</v>
      </c>
      <c r="F80" s="241">
        <v>48000</v>
      </c>
      <c r="G80" s="241" t="s">
        <v>425</v>
      </c>
      <c r="H80" s="241"/>
      <c r="I80" t="s">
        <v>424</v>
      </c>
    </row>
    <row r="81" spans="1:9">
      <c r="A81" t="s">
        <v>417</v>
      </c>
      <c r="B81" t="s">
        <v>423</v>
      </c>
      <c r="C81" s="241">
        <v>0</v>
      </c>
      <c r="D81" s="241">
        <v>0</v>
      </c>
      <c r="E81" s="241">
        <f>E80*0.0143</f>
        <v>43.472000000000001</v>
      </c>
      <c r="F81" s="241">
        <f>F80*0.0143</f>
        <v>686.4</v>
      </c>
      <c r="G81" s="241" t="s">
        <v>422</v>
      </c>
      <c r="H81" s="241"/>
      <c r="I81" t="s">
        <v>421</v>
      </c>
    </row>
    <row r="82" spans="1:9">
      <c r="A82" t="s">
        <v>417</v>
      </c>
      <c r="B82" t="s">
        <v>416</v>
      </c>
      <c r="C82" s="241">
        <v>0</v>
      </c>
      <c r="D82" s="241">
        <v>0</v>
      </c>
      <c r="E82" s="241">
        <v>0</v>
      </c>
      <c r="F82" s="241">
        <v>0</v>
      </c>
      <c r="G82" s="241" t="s">
        <v>415</v>
      </c>
      <c r="H82" s="241"/>
      <c r="I82" s="37" t="s">
        <v>414</v>
      </c>
    </row>
    <row r="83" spans="1:9">
      <c r="A83" t="s">
        <v>719</v>
      </c>
      <c r="B83" t="s">
        <v>441</v>
      </c>
      <c r="C83" s="241">
        <v>0</v>
      </c>
      <c r="D83" s="241">
        <v>450000</v>
      </c>
      <c r="E83" s="241">
        <v>0</v>
      </c>
      <c r="F83" s="241">
        <v>0</v>
      </c>
      <c r="G83" s="241" t="s">
        <v>720</v>
      </c>
      <c r="H83" s="241" t="s">
        <v>718</v>
      </c>
      <c r="I83" t="s">
        <v>717</v>
      </c>
    </row>
    <row r="84" spans="1:9">
      <c r="A84" t="s">
        <v>719</v>
      </c>
      <c r="B84" t="s">
        <v>435</v>
      </c>
      <c r="C84" s="241">
        <v>0</v>
      </c>
      <c r="D84" s="241">
        <v>1500000</v>
      </c>
      <c r="E84" s="241">
        <v>0</v>
      </c>
      <c r="F84" s="241">
        <v>0</v>
      </c>
      <c r="G84" s="241" t="s">
        <v>434</v>
      </c>
      <c r="H84" s="241" t="s">
        <v>718</v>
      </c>
      <c r="I84" t="s">
        <v>717</v>
      </c>
    </row>
    <row r="85" spans="1:9">
      <c r="B85" s="250" t="s">
        <v>702</v>
      </c>
      <c r="C85" s="251">
        <f>SUM(C58:C82)</f>
        <v>1587501.7990704586</v>
      </c>
      <c r="D85" s="251">
        <f>SUM(D58:D82)</f>
        <v>1081500</v>
      </c>
      <c r="E85" s="251">
        <f>SUM(E58:E82)</f>
        <v>48530.972000000002</v>
      </c>
      <c r="F85" s="251">
        <f>SUM(F58:F82)</f>
        <v>848686.4</v>
      </c>
      <c r="G85" s="241" t="s">
        <v>722</v>
      </c>
      <c r="H85" s="241"/>
      <c r="I85" s="37"/>
    </row>
    <row r="86" spans="1:9">
      <c r="G86" s="241"/>
      <c r="H86" s="241"/>
      <c r="I86" s="37"/>
    </row>
    <row r="87" spans="1:9">
      <c r="G87" s="241"/>
      <c r="H87" s="241"/>
      <c r="I87" s="37"/>
    </row>
    <row r="88" spans="1:9">
      <c r="A88" t="s">
        <v>411</v>
      </c>
      <c r="B88" t="s">
        <v>413</v>
      </c>
      <c r="C88" s="241">
        <v>177000</v>
      </c>
      <c r="D88" s="241">
        <v>0</v>
      </c>
      <c r="E88" s="241">
        <v>0</v>
      </c>
      <c r="F88" s="241">
        <v>0</v>
      </c>
      <c r="G88" s="241" t="s">
        <v>409</v>
      </c>
      <c r="H88" s="241" t="s">
        <v>412</v>
      </c>
      <c r="I88" s="243" t="s">
        <v>407</v>
      </c>
    </row>
    <row r="89" spans="1:9">
      <c r="A89" t="s">
        <v>411</v>
      </c>
      <c r="B89" t="s">
        <v>410</v>
      </c>
      <c r="C89" s="241">
        <v>286000</v>
      </c>
      <c r="D89" s="241">
        <v>0</v>
      </c>
      <c r="E89" s="241">
        <v>0</v>
      </c>
      <c r="F89" s="241">
        <v>0</v>
      </c>
      <c r="G89" s="241" t="s">
        <v>409</v>
      </c>
      <c r="H89" s="241" t="s">
        <v>408</v>
      </c>
      <c r="I89" s="243" t="s">
        <v>407</v>
      </c>
    </row>
    <row r="90" spans="1:9">
      <c r="A90" t="s">
        <v>380</v>
      </c>
      <c r="B90" t="s">
        <v>406</v>
      </c>
      <c r="C90" s="241">
        <f>1000000*152/(163*3.2)</f>
        <v>291411.04294478527</v>
      </c>
      <c r="D90" s="241">
        <v>0</v>
      </c>
      <c r="E90" s="241">
        <v>0</v>
      </c>
      <c r="F90" s="241">
        <v>0</v>
      </c>
      <c r="G90" s="241" t="s">
        <v>405</v>
      </c>
      <c r="H90" s="241"/>
      <c r="I90" s="242" t="s">
        <v>404</v>
      </c>
    </row>
    <row r="91" spans="1:9">
      <c r="A91" t="s">
        <v>380</v>
      </c>
      <c r="B91" t="s">
        <v>403</v>
      </c>
      <c r="C91" s="241">
        <v>60000</v>
      </c>
      <c r="D91" s="241">
        <v>0</v>
      </c>
      <c r="E91" s="241">
        <v>0</v>
      </c>
      <c r="F91" s="241">
        <v>0</v>
      </c>
      <c r="G91" s="241" t="s">
        <v>402</v>
      </c>
      <c r="I91" t="s">
        <v>401</v>
      </c>
    </row>
    <row r="92" spans="1:9">
      <c r="A92" t="s">
        <v>380</v>
      </c>
      <c r="B92" t="s">
        <v>376</v>
      </c>
      <c r="C92" s="241">
        <v>30000</v>
      </c>
      <c r="D92" s="241">
        <v>0</v>
      </c>
      <c r="E92" s="241">
        <v>0</v>
      </c>
      <c r="F92" s="241">
        <v>0</v>
      </c>
      <c r="G92" s="241" t="s">
        <v>399</v>
      </c>
      <c r="I92" s="37" t="s">
        <v>385</v>
      </c>
    </row>
    <row r="93" spans="1:9">
      <c r="A93" t="s">
        <v>380</v>
      </c>
      <c r="B93" t="s">
        <v>400</v>
      </c>
      <c r="C93" s="241">
        <v>110000</v>
      </c>
      <c r="D93" s="241">
        <v>0</v>
      </c>
      <c r="E93" s="241">
        <v>0</v>
      </c>
      <c r="F93" s="241">
        <v>0</v>
      </c>
      <c r="G93" s="241" t="s">
        <v>399</v>
      </c>
      <c r="I93" s="37" t="s">
        <v>385</v>
      </c>
    </row>
    <row r="94" spans="1:9">
      <c r="A94" t="s">
        <v>380</v>
      </c>
      <c r="B94" t="s">
        <v>398</v>
      </c>
      <c r="C94" s="241">
        <f>SUM(C90:C93)*0.195</f>
        <v>95825.153374233123</v>
      </c>
      <c r="D94" s="241">
        <v>0</v>
      </c>
      <c r="E94" s="241">
        <v>0</v>
      </c>
      <c r="F94" s="241">
        <v>0</v>
      </c>
      <c r="G94" s="241" t="s">
        <v>397</v>
      </c>
      <c r="I94" s="37"/>
    </row>
    <row r="95" spans="1:9">
      <c r="A95" t="s">
        <v>380</v>
      </c>
      <c r="B95" t="s">
        <v>396</v>
      </c>
      <c r="C95" s="241">
        <v>30000</v>
      </c>
      <c r="D95" s="241">
        <v>0</v>
      </c>
      <c r="E95" s="241">
        <v>0</v>
      </c>
      <c r="F95" s="241">
        <v>0</v>
      </c>
      <c r="G95" s="241" t="s">
        <v>395</v>
      </c>
      <c r="I95" s="37" t="s">
        <v>385</v>
      </c>
    </row>
    <row r="96" spans="1:9">
      <c r="A96" t="s">
        <v>380</v>
      </c>
      <c r="B96" t="s">
        <v>394</v>
      </c>
      <c r="C96" s="241">
        <v>14400</v>
      </c>
      <c r="D96" s="241">
        <v>0</v>
      </c>
      <c r="E96" s="241">
        <v>0</v>
      </c>
      <c r="F96" s="241">
        <v>0</v>
      </c>
      <c r="G96" s="241" t="s">
        <v>393</v>
      </c>
      <c r="I96" s="37" t="s">
        <v>385</v>
      </c>
    </row>
    <row r="97" spans="1:9">
      <c r="A97" t="s">
        <v>380</v>
      </c>
      <c r="B97" t="s">
        <v>392</v>
      </c>
      <c r="C97" s="241">
        <f>SUM(C90:C94)*0.0867</f>
        <v>50913.378220858889</v>
      </c>
      <c r="D97" s="241">
        <v>0</v>
      </c>
      <c r="E97" s="241">
        <f>SUM(E90:E95)*0.867</f>
        <v>0</v>
      </c>
      <c r="F97" s="241">
        <f>SUM(F90:F95)*0.867</f>
        <v>0</v>
      </c>
      <c r="G97" s="241" t="s">
        <v>391</v>
      </c>
      <c r="I97" s="37" t="s">
        <v>385</v>
      </c>
    </row>
    <row r="98" spans="1:9">
      <c r="A98" t="s">
        <v>380</v>
      </c>
      <c r="B98" t="s">
        <v>390</v>
      </c>
      <c r="C98" s="241">
        <f>SUM($C$90:$C$97)*0.03</f>
        <v>20476.487236196317</v>
      </c>
      <c r="D98" s="241">
        <v>0</v>
      </c>
      <c r="E98" s="241">
        <v>0</v>
      </c>
      <c r="F98" s="241">
        <v>0</v>
      </c>
      <c r="G98" s="241" t="s">
        <v>389</v>
      </c>
      <c r="I98" s="37" t="s">
        <v>385</v>
      </c>
    </row>
    <row r="99" spans="1:9">
      <c r="A99" t="s">
        <v>380</v>
      </c>
      <c r="B99" t="s">
        <v>388</v>
      </c>
      <c r="C99" s="241">
        <f>SUM($C$90:$C$97)*0.05</f>
        <v>34127.478726993861</v>
      </c>
      <c r="D99" s="241">
        <v>0</v>
      </c>
      <c r="E99" s="241">
        <f>SUM(E88:E97)*0.05</f>
        <v>0</v>
      </c>
      <c r="F99" s="241">
        <v>0</v>
      </c>
      <c r="G99" s="241" t="s">
        <v>387</v>
      </c>
      <c r="I99" s="37" t="s">
        <v>385</v>
      </c>
    </row>
    <row r="100" spans="1:9">
      <c r="A100" t="s">
        <v>380</v>
      </c>
      <c r="B100" t="s">
        <v>384</v>
      </c>
      <c r="C100" s="241">
        <v>0</v>
      </c>
      <c r="D100" s="241">
        <v>0</v>
      </c>
      <c r="E100" s="241">
        <f>SUM($C$88:$C$97)*0.025</f>
        <v>28638.739363496934</v>
      </c>
      <c r="F100" s="241">
        <v>0</v>
      </c>
      <c r="G100" s="241" t="s">
        <v>386</v>
      </c>
      <c r="I100" s="37" t="s">
        <v>385</v>
      </c>
    </row>
    <row r="101" spans="1:9">
      <c r="A101" t="s">
        <v>380</v>
      </c>
      <c r="B101" t="s">
        <v>384</v>
      </c>
      <c r="C101" s="241">
        <v>0</v>
      </c>
      <c r="D101" s="241">
        <v>0</v>
      </c>
      <c r="E101" s="241">
        <f>SUM($C$88:$C$97)*0.025</f>
        <v>28638.739363496934</v>
      </c>
      <c r="F101" s="241">
        <v>0</v>
      </c>
      <c r="G101" s="241" t="s">
        <v>383</v>
      </c>
      <c r="I101" s="37"/>
    </row>
    <row r="102" spans="1:9">
      <c r="A102" t="s">
        <v>380</v>
      </c>
      <c r="B102" t="s">
        <v>382</v>
      </c>
      <c r="C102" s="241">
        <v>0</v>
      </c>
      <c r="D102" s="241">
        <v>0</v>
      </c>
      <c r="E102" s="241">
        <v>0</v>
      </c>
      <c r="F102" s="241">
        <v>250000</v>
      </c>
      <c r="G102" s="241" t="s">
        <v>381</v>
      </c>
    </row>
    <row r="103" spans="1:9">
      <c r="A103" t="s">
        <v>380</v>
      </c>
      <c r="B103" t="s">
        <v>371</v>
      </c>
      <c r="C103" s="241">
        <f>SUM(C90:C99)*0.1</f>
        <v>73715.354050306749</v>
      </c>
      <c r="D103" s="241">
        <v>0</v>
      </c>
      <c r="E103" s="241">
        <v>0</v>
      </c>
      <c r="F103" s="241">
        <v>0</v>
      </c>
      <c r="G103" s="241" t="s">
        <v>379</v>
      </c>
    </row>
    <row r="104" spans="1:9">
      <c r="B104" s="250" t="s">
        <v>703</v>
      </c>
      <c r="C104" s="251">
        <f>SUM(C90:C103)</f>
        <v>810868.89455337415</v>
      </c>
      <c r="D104" s="251">
        <f>SUM(D90:D103)</f>
        <v>0</v>
      </c>
      <c r="E104" s="251">
        <f>SUM(E90:E103)</f>
        <v>57277.478726993868</v>
      </c>
      <c r="F104" s="251">
        <f>SUM(F90:F103)</f>
        <v>250000</v>
      </c>
      <c r="G104" s="241"/>
    </row>
    <row r="105" spans="1:9">
      <c r="G105" s="241"/>
    </row>
    <row r="107" spans="1:9">
      <c r="A107" t="s">
        <v>370</v>
      </c>
      <c r="B107" t="s">
        <v>378</v>
      </c>
      <c r="C107" s="241">
        <f>1000000*0.406</f>
        <v>406000</v>
      </c>
      <c r="D107" s="241">
        <v>0</v>
      </c>
      <c r="E107" s="241">
        <v>0</v>
      </c>
      <c r="F107" s="241">
        <v>0</v>
      </c>
      <c r="G107" s="241" t="s">
        <v>368</v>
      </c>
      <c r="I107" s="37" t="s">
        <v>927</v>
      </c>
    </row>
    <row r="108" spans="1:9">
      <c r="A108" t="s">
        <v>370</v>
      </c>
      <c r="B108" t="s">
        <v>377</v>
      </c>
      <c r="C108" s="241">
        <f>1000000*0.051</f>
        <v>51000</v>
      </c>
      <c r="D108" s="241">
        <v>0</v>
      </c>
      <c r="E108" s="241">
        <v>0</v>
      </c>
      <c r="F108" s="241">
        <v>0</v>
      </c>
      <c r="G108" s="241" t="s">
        <v>368</v>
      </c>
      <c r="I108" s="37" t="s">
        <v>927</v>
      </c>
    </row>
    <row r="109" spans="1:9">
      <c r="A109" t="s">
        <v>370</v>
      </c>
      <c r="B109" t="s">
        <v>376</v>
      </c>
      <c r="C109" s="241">
        <f>1000000*0.08</f>
        <v>80000</v>
      </c>
      <c r="D109" s="241">
        <v>0</v>
      </c>
      <c r="E109" s="241">
        <v>0</v>
      </c>
      <c r="F109" s="241">
        <v>0</v>
      </c>
      <c r="G109" s="241" t="s">
        <v>368</v>
      </c>
      <c r="I109" s="37" t="s">
        <v>927</v>
      </c>
    </row>
    <row r="110" spans="1:9">
      <c r="A110" t="s">
        <v>370</v>
      </c>
      <c r="B110" t="s">
        <v>375</v>
      </c>
      <c r="C110" s="241">
        <f>1000000*0.073</f>
        <v>73000</v>
      </c>
      <c r="D110" s="241">
        <v>0</v>
      </c>
      <c r="E110" s="241">
        <v>0</v>
      </c>
      <c r="F110" s="241">
        <v>0</v>
      </c>
      <c r="G110" s="241" t="s">
        <v>368</v>
      </c>
      <c r="I110" s="37" t="s">
        <v>927</v>
      </c>
    </row>
    <row r="111" spans="1:9">
      <c r="A111" t="s">
        <v>370</v>
      </c>
      <c r="B111" t="s">
        <v>374</v>
      </c>
      <c r="C111" s="241">
        <f>1000000*0.102</f>
        <v>102000</v>
      </c>
      <c r="D111" s="241">
        <v>0</v>
      </c>
      <c r="E111" s="241">
        <v>0</v>
      </c>
      <c r="F111" s="241">
        <v>0</v>
      </c>
      <c r="G111" s="241" t="s">
        <v>368</v>
      </c>
      <c r="I111" s="37" t="s">
        <v>927</v>
      </c>
    </row>
    <row r="112" spans="1:9">
      <c r="A112" t="s">
        <v>370</v>
      </c>
      <c r="B112" t="s">
        <v>373</v>
      </c>
      <c r="C112" s="241">
        <f>1000000*0.03</f>
        <v>30000</v>
      </c>
      <c r="D112" s="241">
        <v>0</v>
      </c>
      <c r="E112" s="241">
        <v>0</v>
      </c>
      <c r="F112" s="241">
        <v>0</v>
      </c>
      <c r="G112" s="241" t="s">
        <v>368</v>
      </c>
      <c r="I112" s="37" t="s">
        <v>927</v>
      </c>
    </row>
    <row r="113" spans="1:9">
      <c r="A113" t="s">
        <v>370</v>
      </c>
      <c r="B113" t="s">
        <v>372</v>
      </c>
      <c r="C113" s="241">
        <f>1000000*0.068</f>
        <v>68000</v>
      </c>
      <c r="D113" s="241">
        <v>0</v>
      </c>
      <c r="E113" s="241">
        <v>0</v>
      </c>
      <c r="F113" s="241">
        <v>0</v>
      </c>
      <c r="G113" s="241" t="s">
        <v>368</v>
      </c>
      <c r="I113" s="37" t="s">
        <v>927</v>
      </c>
    </row>
    <row r="114" spans="1:9">
      <c r="A114" t="s">
        <v>370</v>
      </c>
      <c r="B114" t="s">
        <v>371</v>
      </c>
      <c r="C114" s="241">
        <f>1000000*0.026</f>
        <v>26000</v>
      </c>
      <c r="D114" s="241">
        <v>0</v>
      </c>
      <c r="E114" s="241">
        <v>0</v>
      </c>
      <c r="F114" s="241">
        <v>0</v>
      </c>
      <c r="G114" s="241" t="s">
        <v>368</v>
      </c>
      <c r="I114" s="37" t="s">
        <v>927</v>
      </c>
    </row>
    <row r="115" spans="1:9">
      <c r="A115" t="s">
        <v>370</v>
      </c>
      <c r="B115" t="s">
        <v>369</v>
      </c>
      <c r="C115" s="241">
        <f>1000000*0.045</f>
        <v>45000</v>
      </c>
      <c r="D115" s="241">
        <v>0</v>
      </c>
      <c r="E115" s="241">
        <v>0</v>
      </c>
      <c r="F115" s="241">
        <v>0</v>
      </c>
      <c r="G115" s="241" t="s">
        <v>368</v>
      </c>
      <c r="I115" s="37" t="s">
        <v>927</v>
      </c>
    </row>
    <row r="116" spans="1:9">
      <c r="A116" s="259" t="s">
        <v>370</v>
      </c>
      <c r="B116" s="259" t="s">
        <v>1037</v>
      </c>
      <c r="C116" s="311">
        <v>0</v>
      </c>
      <c r="D116" s="311">
        <v>0</v>
      </c>
      <c r="E116" s="311">
        <v>0</v>
      </c>
      <c r="F116" s="311">
        <v>0</v>
      </c>
      <c r="G116" s="241" t="s">
        <v>1038</v>
      </c>
      <c r="I116" s="37"/>
    </row>
    <row r="117" spans="1:9">
      <c r="B117" s="250" t="s">
        <v>704</v>
      </c>
      <c r="C117" s="251">
        <f>SUM(C107:C115)</f>
        <v>881000</v>
      </c>
      <c r="D117" s="251">
        <f>SUM(D107:D116)</f>
        <v>0</v>
      </c>
      <c r="E117" s="251">
        <f>SUM(E107:E116)</f>
        <v>0</v>
      </c>
      <c r="F117" s="251">
        <f>SUM(F107:F116)</f>
        <v>0</v>
      </c>
    </row>
    <row r="119" spans="1:9">
      <c r="C119" s="50" t="s">
        <v>907</v>
      </c>
    </row>
    <row r="120" spans="1:9">
      <c r="A120" t="s">
        <v>724</v>
      </c>
      <c r="B120" t="s">
        <v>419</v>
      </c>
      <c r="C120" s="241">
        <f>B2*33.6*5*2.86</f>
        <v>3843840</v>
      </c>
      <c r="D120" s="241">
        <v>0</v>
      </c>
      <c r="E120" s="241">
        <v>0</v>
      </c>
      <c r="F120" s="241">
        <v>0</v>
      </c>
      <c r="G120" s="241" t="s">
        <v>908</v>
      </c>
      <c r="H120" s="241" t="s">
        <v>418</v>
      </c>
      <c r="I120" t="s">
        <v>706</v>
      </c>
    </row>
    <row r="121" spans="1:9">
      <c r="A121" t="s">
        <v>724</v>
      </c>
      <c r="B121" t="s">
        <v>419</v>
      </c>
      <c r="C121" s="241">
        <f>0.021*C120</f>
        <v>80720.639999999999</v>
      </c>
      <c r="D121" s="241">
        <f>0.021*D120</f>
        <v>0</v>
      </c>
      <c r="E121" s="241">
        <f>0.021*E120</f>
        <v>0</v>
      </c>
      <c r="F121" s="241">
        <f>0.021*F120</f>
        <v>0</v>
      </c>
      <c r="G121" s="241"/>
      <c r="H121" s="241"/>
    </row>
    <row r="122" spans="1:9">
      <c r="B122" s="250" t="s">
        <v>705</v>
      </c>
      <c r="C122" s="251">
        <f>SUM(C120:C121)</f>
        <v>3924560.64</v>
      </c>
      <c r="D122" s="251">
        <f>SUM(D120:D121)</f>
        <v>0</v>
      </c>
      <c r="E122" s="251">
        <f>SUM(E120:E121)</f>
        <v>0</v>
      </c>
      <c r="F122" s="251">
        <f>SUM(F120:F121)</f>
        <v>0</v>
      </c>
    </row>
  </sheetData>
  <hyperlinks>
    <hyperlink ref="I82" r:id="rId1" display="https://www.nrel.gov/docs/fy14osti/58564.pdf page IV" xr:uid="{A87A3365-A7CF-CF4B-AD0B-88BDE4416FB7}"/>
    <hyperlink ref="I90" r:id="rId2" xr:uid="{013CCA0D-4B7F-B24A-8C7D-090F1C13C17D}"/>
    <hyperlink ref="I92" r:id="rId3" xr:uid="{CB7D62BB-E055-B940-BEC9-1784A1A50B82}"/>
    <hyperlink ref="I93" r:id="rId4" xr:uid="{35B5D52C-750D-4B44-BDE4-7E53E5B92D91}"/>
    <hyperlink ref="I95" r:id="rId5" xr:uid="{B1431760-EF39-CB42-8691-96555FA7B5B4}"/>
    <hyperlink ref="I98:I100" r:id="rId6" display="https://www.nrel.gov/docs/fy21osti/77324.pdf table 17" xr:uid="{277B238A-5844-4A4C-A312-11BBCD779D5B}"/>
    <hyperlink ref="I97" r:id="rId7" xr:uid="{66223DA6-B9E5-E94C-A8EE-F347431F4F20}"/>
    <hyperlink ref="I96" r:id="rId8" xr:uid="{87F719CA-9808-5149-850A-BED9EDA8317E}"/>
    <hyperlink ref="I99" r:id="rId9" xr:uid="{8211022D-5CC5-014C-8DEC-436D2F4BEA43}"/>
    <hyperlink ref="I107" r:id="rId10" xr:uid="{D5BA3BAA-CB07-6D49-AF55-C0E49070A3C1}"/>
    <hyperlink ref="I108:I115" r:id="rId11" display="https://www.nrel.gov/docs/fy21osti/77324.pdf " xr:uid="{39FEB84D-EA3C-DA4D-B551-8F7DFC66305D}"/>
  </hyperlinks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purl.oclc.org/ooxml/spreadsheetml/main" xmlns:r="http://purl.oclc.org/ooxml/officeDocument/relationships" xmlns:xdr="http://purl.oclc.org/ooxml/drawingml/spreadsheetDrawing" xmlns:x14="http://schemas.microsoft.com/office/spreadsheetml/2009/9/main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4236D-77F3-A648-AC6D-CDF0447049C3}">
  <dimension ref="A1:X58"/>
  <sheetViews>
    <sheetView showGridLines="0" topLeftCell="B4" zoomScaleNormal="100" workbookViewId="0">
      <selection activeCell="J19" sqref="J19"/>
    </sheetView>
  </sheetViews>
  <sheetFormatPr baseColWidth="10" defaultRowHeight="16"/>
  <cols>
    <col min="1" max="1" width="28" customWidth="1"/>
    <col min="2" max="2" width="12.5" bestFit="1" customWidth="1"/>
    <col min="3" max="3" width="22.5" customWidth="1"/>
    <col min="9" max="9" width="60.1640625" bestFit="1" customWidth="1"/>
    <col min="10" max="10" width="15" customWidth="1"/>
    <col min="11" max="11" width="21.6640625" customWidth="1"/>
    <col min="12" max="12" width="15.5" customWidth="1"/>
    <col min="13" max="13" width="13.6640625" customWidth="1"/>
    <col min="14" max="14" width="17.33203125" bestFit="1" customWidth="1"/>
  </cols>
  <sheetData>
    <row r="1" spans="3:13">
      <c r="C1" s="292" t="s">
        <v>104</v>
      </c>
      <c r="I1" s="292" t="s">
        <v>101</v>
      </c>
    </row>
    <row r="2" spans="3:13">
      <c r="C2" s="261" t="s">
        <v>984</v>
      </c>
      <c r="I2" s="261" t="s">
        <v>255</v>
      </c>
      <c r="J2" s="295">
        <f>'Model and Assumptions'!G30</f>
        <v>0.26</v>
      </c>
      <c r="K2" s="261"/>
    </row>
    <row r="3" spans="3:13">
      <c r="C3" s="261"/>
      <c r="I3" s="261" t="s">
        <v>878</v>
      </c>
      <c r="J3" s="295">
        <f>'Model and Assumptions'!B12</f>
        <v>2.92E-2</v>
      </c>
      <c r="K3" s="261" t="s">
        <v>760</v>
      </c>
      <c r="L3" s="267">
        <f>'Model and Assumptions'!B10</f>
        <v>350</v>
      </c>
    </row>
    <row r="4" spans="3:13">
      <c r="I4" s="261" t="s">
        <v>974</v>
      </c>
      <c r="J4" s="267">
        <f>'Model and Assumptions'!G43</f>
        <v>10</v>
      </c>
    </row>
    <row r="5" spans="3:13">
      <c r="C5" s="292" t="s">
        <v>29</v>
      </c>
      <c r="I5" s="261" t="s">
        <v>976</v>
      </c>
      <c r="J5" s="267">
        <f>'Model and Assumptions'!B30</f>
        <v>20</v>
      </c>
    </row>
    <row r="6" spans="3:13">
      <c r="C6" t="s">
        <v>977</v>
      </c>
      <c r="I6" s="261" t="s">
        <v>964</v>
      </c>
      <c r="J6" s="295">
        <f>'Model and Assumptions'!G31</f>
        <v>0.53</v>
      </c>
    </row>
    <row r="7" spans="3:13">
      <c r="C7" t="s">
        <v>979</v>
      </c>
      <c r="I7" s="261" t="s">
        <v>965</v>
      </c>
      <c r="J7" s="295">
        <f>'Model and Assumptions'!G32</f>
        <v>0.02</v>
      </c>
    </row>
    <row r="8" spans="3:13">
      <c r="C8" t="s">
        <v>980</v>
      </c>
      <c r="I8" s="261" t="s">
        <v>966</v>
      </c>
      <c r="J8" s="295">
        <f>'Model and Assumptions'!G33</f>
        <v>0.96</v>
      </c>
    </row>
    <row r="9" spans="3:13">
      <c r="C9" t="s">
        <v>996</v>
      </c>
      <c r="I9" s="261" t="s">
        <v>764</v>
      </c>
      <c r="J9" s="295">
        <f>'Model and Assumptions'!G36</f>
        <v>0.8</v>
      </c>
    </row>
    <row r="10" spans="3:13">
      <c r="I10" s="261" t="s">
        <v>765</v>
      </c>
      <c r="J10" s="267">
        <f>'Model and Assumptions'!G39</f>
        <v>1</v>
      </c>
    </row>
    <row r="11" spans="3:13">
      <c r="I11" s="261" t="s">
        <v>767</v>
      </c>
      <c r="J11" s="267">
        <f>'Model and Assumptions'!G40</f>
        <v>8</v>
      </c>
    </row>
    <row r="12" spans="3:13">
      <c r="I12" s="261" t="s">
        <v>770</v>
      </c>
      <c r="J12" s="267">
        <f>'Model and Assumptions'!G41</f>
        <v>0.9</v>
      </c>
    </row>
    <row r="13" spans="3:13">
      <c r="I13" s="261" t="s">
        <v>877</v>
      </c>
      <c r="J13" s="300">
        <f>'Model and Assumptions'!G42</f>
        <v>6.5600000000000006E-2</v>
      </c>
    </row>
    <row r="14" spans="3:13">
      <c r="I14" s="261" t="s">
        <v>971</v>
      </c>
      <c r="J14" s="267">
        <f>'Final Numerics'!C25</f>
        <v>111.04</v>
      </c>
    </row>
    <row r="15" spans="3:13">
      <c r="C15" s="292" t="s">
        <v>1027</v>
      </c>
      <c r="I15" s="261" t="s">
        <v>750</v>
      </c>
      <c r="J15" s="295">
        <f>'Model and Assumptions'!G33</f>
        <v>0.96</v>
      </c>
    </row>
    <row r="16" spans="3:13" ht="34">
      <c r="I16" s="296"/>
      <c r="J16" s="298" t="s">
        <v>967</v>
      </c>
      <c r="K16" s="298" t="s">
        <v>969</v>
      </c>
      <c r="L16" s="299" t="s">
        <v>968</v>
      </c>
      <c r="M16" s="298" t="s">
        <v>970</v>
      </c>
    </row>
    <row r="17" spans="1:14">
      <c r="I17" s="261" t="s">
        <v>972</v>
      </c>
      <c r="J17" s="297">
        <f>'Model and Assumptions'!G45</f>
        <v>810868.89</v>
      </c>
      <c r="K17" s="297">
        <f>'Model and Assumptions'!G47</f>
        <v>57277.48</v>
      </c>
      <c r="L17" s="297">
        <f>'Model and Assumptions'!G46</f>
        <v>0</v>
      </c>
      <c r="M17" s="297">
        <f>'Model and Assumptions'!G48</f>
        <v>250000</v>
      </c>
      <c r="N17" s="55"/>
    </row>
    <row r="18" spans="1:14">
      <c r="I18" t="s">
        <v>975</v>
      </c>
      <c r="J18" s="301">
        <f>J17*POWER(1-$J$13, $J$4)</f>
        <v>411413.87681119627</v>
      </c>
      <c r="K18" s="301">
        <f>$K$17*POWER(1+$J$3, $J$4)</f>
        <v>76380.355910880506</v>
      </c>
      <c r="L18" s="301">
        <f>L17*POWER(1+$J$3, $J$4)</f>
        <v>0</v>
      </c>
      <c r="M18" s="301">
        <f>M17*POWER(1+$J$3, $J$4)</f>
        <v>333378.65034774796</v>
      </c>
    </row>
    <row r="19" spans="1:14">
      <c r="I19" s="261" t="s">
        <v>973</v>
      </c>
      <c r="J19" s="297">
        <f>J18*J6*POWER(1-$J$7, $J$4+1)</f>
        <v>174598.9543270068</v>
      </c>
    </row>
    <row r="20" spans="1:14">
      <c r="I20" t="s">
        <v>981</v>
      </c>
      <c r="J20" s="301">
        <f>J19*POWER(1-J3, J4)*J6</f>
        <v>68804.237230218758</v>
      </c>
    </row>
    <row r="22" spans="1:14">
      <c r="I22" s="261" t="s">
        <v>982</v>
      </c>
      <c r="J22" s="297">
        <f>($K$17 + $K$18 + $J$17*$J$14 + $J$14*$J$18 - $J$19*$J$14 - $J$20*$J$14)/$J$14</f>
        <v>980083.26613933558</v>
      </c>
      <c r="K22" s="318"/>
      <c r="L22" s="70"/>
    </row>
    <row r="23" spans="1:14">
      <c r="I23" s="261" t="s">
        <v>1129</v>
      </c>
      <c r="J23" s="297">
        <f>M17 * POWER(1+J3,J5+1)</f>
        <v>457546.60473324149</v>
      </c>
      <c r="K23" s="318"/>
      <c r="L23" s="70"/>
    </row>
    <row r="24" spans="1:14">
      <c r="I24" s="261"/>
      <c r="J24" s="297"/>
      <c r="K24" s="318"/>
      <c r="L24" s="70"/>
    </row>
    <row r="25" spans="1:14">
      <c r="I25" s="261" t="s">
        <v>983</v>
      </c>
      <c r="J25" s="301">
        <f>$M$17 * POWER(1+$J$3,$J$5+1)*(1-POWER(1-IRR, $J$5+1))/(IRR) +  $L$17*(POWER(1+$J$3, $J$5+1)-1)/$J$3</f>
        <v>3552638.6916366355</v>
      </c>
      <c r="K25" s="70" t="s">
        <v>1124</v>
      </c>
    </row>
    <row r="26" spans="1:14">
      <c r="I26" s="261" t="s">
        <v>1026</v>
      </c>
      <c r="J26" s="301">
        <f>J25+J22</f>
        <v>4532721.9577759709</v>
      </c>
    </row>
    <row r="27" spans="1:14">
      <c r="J27" s="4">
        <f>$M$17*(1-POWER(1-IRR, $J$5+1))/(IRR)</f>
        <v>1941134.8783299858</v>
      </c>
      <c r="K27" s="70" t="s">
        <v>1128</v>
      </c>
    </row>
    <row r="28" spans="1:14">
      <c r="A28" s="15"/>
      <c r="K28" s="70" t="s">
        <v>1131</v>
      </c>
    </row>
    <row r="29" spans="1:14">
      <c r="A29" s="13"/>
      <c r="B29" s="13"/>
      <c r="I29" s="261" t="s">
        <v>1020</v>
      </c>
      <c r="J29">
        <f>ROUND(J30/J15,2)</f>
        <v>88.83</v>
      </c>
    </row>
    <row r="30" spans="1:14">
      <c r="A30" s="13"/>
      <c r="B30" s="13"/>
      <c r="I30" s="261" t="s">
        <v>1022</v>
      </c>
      <c r="J30" s="2">
        <f>J14*J9*J15</f>
        <v>85.278720000000007</v>
      </c>
    </row>
    <row r="31" spans="1:14">
      <c r="A31" s="15"/>
      <c r="B31" s="15"/>
      <c r="C31" s="15"/>
      <c r="I31" s="261" t="s">
        <v>1021</v>
      </c>
      <c r="J31" s="4">
        <f>J29*L3</f>
        <v>31090.5</v>
      </c>
    </row>
    <row r="32" spans="1:14" ht="34">
      <c r="A32" s="299" t="s">
        <v>1013</v>
      </c>
      <c r="B32" s="15"/>
      <c r="C32" s="15"/>
      <c r="I32" s="261" t="s">
        <v>1023</v>
      </c>
      <c r="J32" s="4">
        <f>J30*$L$3</f>
        <v>29847.552000000003</v>
      </c>
      <c r="L32" s="55"/>
      <c r="M32">
        <f>0.98^10</f>
        <v>0.81707280688754658</v>
      </c>
    </row>
    <row r="33" spans="1:24" ht="31">
      <c r="A33" s="15"/>
      <c r="B33" s="15"/>
      <c r="C33" s="15"/>
      <c r="D33" s="55"/>
      <c r="I33" s="309" t="s">
        <v>1024</v>
      </c>
      <c r="J33" s="4">
        <f xml:space="preserve"> ROUND(J32*(1 - POWER(1-$J$7,$J$4+1))/$J$7,2)*2</f>
        <v>594768.14</v>
      </c>
      <c r="K33" s="55">
        <f>J32*(1-POWER(1-$J$7,$J$4+1)) / J7 * 2</f>
        <v>594768.13704652363</v>
      </c>
      <c r="L33">
        <f>1/(1+0.02)</f>
        <v>0.98039215686274506</v>
      </c>
      <c r="M33">
        <f>1-(1-0.02)</f>
        <v>2.0000000000000018E-2</v>
      </c>
    </row>
    <row r="34" spans="1:24">
      <c r="A34" s="15"/>
      <c r="B34" s="15"/>
      <c r="C34" s="15"/>
      <c r="D34" s="55"/>
      <c r="I34" s="261" t="s">
        <v>1025</v>
      </c>
      <c r="J34" s="301">
        <f>ROUND(J26/J33,2)</f>
        <v>7.62</v>
      </c>
    </row>
    <row r="35" spans="1:24">
      <c r="A35" s="15"/>
      <c r="B35" s="15"/>
      <c r="C35" s="15"/>
    </row>
    <row r="36" spans="1:24">
      <c r="A36" s="15"/>
      <c r="B36" s="15"/>
      <c r="C36" s="15"/>
      <c r="D36" s="67"/>
      <c r="E36" s="67"/>
      <c r="F36" s="67"/>
      <c r="G36" s="67"/>
      <c r="H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</row>
    <row r="37" spans="1:24">
      <c r="A37" s="15"/>
      <c r="B37" s="15"/>
      <c r="C37" s="15"/>
      <c r="D37" s="68"/>
      <c r="E37" s="68"/>
      <c r="F37" s="68"/>
      <c r="G37" s="68"/>
      <c r="H37" s="68"/>
      <c r="I37" t="s">
        <v>1130</v>
      </c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</row>
    <row r="38" spans="1:24">
      <c r="A38" s="15"/>
      <c r="B38" s="15"/>
      <c r="C38" s="15"/>
      <c r="D38" s="67"/>
      <c r="E38" s="67"/>
      <c r="F38" s="67"/>
      <c r="G38" s="67"/>
      <c r="H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</row>
    <row r="39" spans="1:24">
      <c r="A39" s="15"/>
      <c r="B39" s="15"/>
      <c r="C39" s="15"/>
      <c r="D39" s="68"/>
      <c r="E39" s="68"/>
      <c r="F39" s="68"/>
      <c r="G39" s="68"/>
      <c r="H39" s="68"/>
      <c r="L39" s="68"/>
      <c r="M39" s="68"/>
      <c r="N39" s="68"/>
      <c r="O39" s="68"/>
      <c r="P39" s="68"/>
      <c r="Q39" s="68"/>
      <c r="R39" s="68"/>
      <c r="S39" s="68"/>
      <c r="T39" s="68"/>
      <c r="U39" s="68"/>
      <c r="V39" s="68"/>
      <c r="W39" s="68"/>
      <c r="X39" s="68"/>
    </row>
    <row r="40" spans="1:24">
      <c r="A40" s="15"/>
      <c r="B40" s="15"/>
      <c r="C40" s="15"/>
    </row>
    <row r="41" spans="1:24">
      <c r="A41" s="15"/>
      <c r="B41" s="15"/>
      <c r="C41" s="15"/>
      <c r="D41" s="56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</row>
    <row r="42" spans="1:24">
      <c r="A42" s="15"/>
      <c r="B42" s="15"/>
      <c r="C42" s="15"/>
      <c r="I42" s="261" t="s">
        <v>733</v>
      </c>
      <c r="J42" s="267" t="str">
        <f>'Model and Assumptions'!B15</f>
        <v>AZ, Phoenix</v>
      </c>
    </row>
    <row r="43" spans="1:24">
      <c r="A43" s="15"/>
      <c r="B43" s="15"/>
      <c r="C43" s="15"/>
      <c r="I43" s="261" t="s">
        <v>834</v>
      </c>
      <c r="J43" s="267" t="str">
        <f>'Model and Assumptions'!C15</f>
        <v>Arizona</v>
      </c>
    </row>
    <row r="44" spans="1:24">
      <c r="A44" s="15"/>
      <c r="B44" s="15"/>
      <c r="C44" s="15"/>
      <c r="I44" s="261"/>
      <c r="J44" s="267"/>
    </row>
    <row r="45" spans="1:24">
      <c r="A45" s="15"/>
      <c r="B45" s="15"/>
      <c r="C45" s="15"/>
      <c r="D45" s="20"/>
      <c r="E45" s="20"/>
      <c r="F45" s="20"/>
      <c r="G45" s="20"/>
      <c r="H45" s="20"/>
      <c r="I45" s="261" t="s">
        <v>992</v>
      </c>
      <c r="J45" s="267">
        <f>'Model and Assumptions'!B61</f>
        <v>1</v>
      </c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</row>
    <row r="46" spans="1:24">
      <c r="A46" s="15"/>
      <c r="B46" s="15"/>
      <c r="C46" s="15"/>
      <c r="D46" s="5"/>
      <c r="E46" s="5"/>
      <c r="F46" s="5"/>
      <c r="G46" s="5"/>
      <c r="H46" s="5"/>
      <c r="I46" s="261" t="s">
        <v>993</v>
      </c>
      <c r="J46">
        <f>'Model and Assumptions'!B17</f>
        <v>6.58</v>
      </c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</row>
    <row r="47" spans="1:24">
      <c r="A47" s="15"/>
      <c r="B47" s="15"/>
      <c r="C47" s="15"/>
      <c r="D47" s="5"/>
      <c r="E47" s="5"/>
      <c r="F47" s="5"/>
      <c r="G47" s="5"/>
      <c r="H47" s="5"/>
      <c r="I47" s="261" t="s">
        <v>985</v>
      </c>
      <c r="J47">
        <f>J45*J46</f>
        <v>6.58</v>
      </c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</row>
    <row r="48" spans="1:24">
      <c r="A48" s="15"/>
      <c r="B48" s="15"/>
      <c r="C48" s="15"/>
      <c r="D48" s="4"/>
      <c r="E48" s="4"/>
      <c r="F48" s="4"/>
      <c r="G48" s="123"/>
      <c r="H48" s="4"/>
      <c r="I48" s="261" t="s">
        <v>986</v>
      </c>
      <c r="J48" s="259">
        <v>1</v>
      </c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</row>
    <row r="49" spans="1:24">
      <c r="A49" s="15"/>
      <c r="B49" s="15"/>
      <c r="C49" s="15"/>
      <c r="D49" s="4"/>
      <c r="E49" s="4"/>
      <c r="F49" s="4"/>
      <c r="G49" s="4"/>
      <c r="H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</row>
    <row r="50" spans="1:24">
      <c r="A50" s="15"/>
      <c r="B50" s="15"/>
      <c r="C50" s="15"/>
      <c r="D50" s="64"/>
      <c r="E50" s="64"/>
      <c r="F50" s="64"/>
      <c r="G50" s="64"/>
      <c r="H50" s="64"/>
      <c r="K50" s="67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</row>
    <row r="51" spans="1:24">
      <c r="A51" s="15"/>
      <c r="B51" s="15"/>
      <c r="C51" s="15"/>
      <c r="K51" s="261" t="s">
        <v>1017</v>
      </c>
    </row>
    <row r="52" spans="1:24">
      <c r="A52" s="15"/>
      <c r="B52" s="15"/>
      <c r="C52" s="15"/>
      <c r="K52" s="67"/>
      <c r="V52" s="4"/>
      <c r="X52" s="4"/>
    </row>
    <row r="53" spans="1:24">
      <c r="A53" s="15"/>
      <c r="B53" s="15"/>
      <c r="C53" s="15"/>
      <c r="I53" s="68"/>
      <c r="J53" s="68"/>
      <c r="K53" s="68"/>
    </row>
    <row r="54" spans="1:24">
      <c r="A54" s="15"/>
      <c r="B54" s="15"/>
      <c r="C54" s="15"/>
      <c r="I54" s="261" t="s">
        <v>1018</v>
      </c>
    </row>
    <row r="55" spans="1:24">
      <c r="A55" s="15"/>
      <c r="B55" s="15"/>
      <c r="C55" s="15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</row>
    <row r="56" spans="1:24">
      <c r="A56" s="15"/>
      <c r="B56" s="15"/>
      <c r="C56" s="15"/>
    </row>
    <row r="57" spans="1:24">
      <c r="A57" s="15"/>
      <c r="B57" s="15"/>
      <c r="C57" s="15"/>
    </row>
    <row r="58" spans="1:24">
      <c r="A58" s="57"/>
      <c r="B58" s="5"/>
    </row>
  </sheetData>
  <pageMargins left="0.7" right="0.7" top="0.75" bottom="0.75" header="0.3" footer="0.3"/>
  <drawing r:id="rId1"/>
  <mc:AlternateContent xmlns:mc="http://schemas.openxmlformats.org/markup-compatibility/2006">
    <mc:Choice Requires="v">
      <legacyDrawing r:id="rId2"/>
    </mc:Choice>
  </mc:AlternateContent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56084-82B8-084B-AB18-4E2975431E74}">
  <dimension ref="A2:F29"/>
  <sheetViews>
    <sheetView showGridLines="0" topLeftCell="A4" workbookViewId="0">
      <selection activeCell="F14" sqref="F14"/>
    </sheetView>
  </sheetViews>
  <sheetFormatPr baseColWidth="10" defaultRowHeight="16"/>
  <cols>
    <col min="1" max="1" width="52.5" bestFit="1" customWidth="1"/>
    <col min="2" max="2" width="24.33203125" customWidth="1"/>
  </cols>
  <sheetData>
    <row r="2" spans="1:6">
      <c r="A2" s="254" t="s">
        <v>1000</v>
      </c>
    </row>
    <row r="4" spans="1:6">
      <c r="A4" s="261" t="s">
        <v>19</v>
      </c>
      <c r="B4" s="295">
        <f>'Model and Assumptions'!B8</f>
        <v>0.12</v>
      </c>
    </row>
    <row r="5" spans="1:6">
      <c r="A5" s="261" t="s">
        <v>734</v>
      </c>
      <c r="B5" s="305">
        <f>'Model and Assumptions'!B9</f>
        <v>20</v>
      </c>
    </row>
    <row r="6" spans="1:6">
      <c r="A6" s="261" t="s">
        <v>760</v>
      </c>
      <c r="B6" s="305">
        <f>'Model and Assumptions'!B10</f>
        <v>350</v>
      </c>
    </row>
    <row r="7" spans="1:6">
      <c r="A7" s="261" t="s">
        <v>865</v>
      </c>
      <c r="B7" s="305">
        <f>'Model and Assumptions'!B11</f>
        <v>2022</v>
      </c>
    </row>
    <row r="8" spans="1:6">
      <c r="A8" s="261" t="s">
        <v>878</v>
      </c>
      <c r="B8" s="295">
        <f>'Model and Assumptions'!B12</f>
        <v>2.92E-2</v>
      </c>
    </row>
    <row r="9" spans="1:6">
      <c r="A9" s="261" t="s">
        <v>1113</v>
      </c>
      <c r="B9" s="295">
        <f>'Model and Assumptions'!G20</f>
        <v>0.06</v>
      </c>
    </row>
    <row r="11" spans="1:6">
      <c r="A11" s="261" t="s">
        <v>735</v>
      </c>
      <c r="B11" s="306" t="str">
        <f>'Model and Assumptions'!B18</f>
        <v>Distribution SO</v>
      </c>
    </row>
    <row r="12" spans="1:6">
      <c r="A12" s="261" t="s">
        <v>1003</v>
      </c>
      <c r="B12" s="307">
        <f>ROUND('Model and Assumptions'!G27,2)</f>
        <v>323.01</v>
      </c>
    </row>
    <row r="13" spans="1:6">
      <c r="A13" s="261" t="s">
        <v>880</v>
      </c>
      <c r="B13" s="307">
        <f>'Model and Assumptions'!G16</f>
        <v>20000</v>
      </c>
      <c r="F13" s="254" t="s">
        <v>1004</v>
      </c>
    </row>
    <row r="14" spans="1:6">
      <c r="A14" s="261" t="s">
        <v>882</v>
      </c>
      <c r="B14" s="307">
        <f>'Model and Assumptions'!G17</f>
        <v>0</v>
      </c>
      <c r="F14" t="s">
        <v>1007</v>
      </c>
    </row>
    <row r="15" spans="1:6">
      <c r="A15" s="261" t="s">
        <v>881</v>
      </c>
      <c r="B15" s="307">
        <f>'Model and Assumptions'!G18</f>
        <v>0</v>
      </c>
      <c r="F15" t="s">
        <v>1012</v>
      </c>
    </row>
    <row r="16" spans="1:6">
      <c r="A16" s="261" t="s">
        <v>883</v>
      </c>
      <c r="B16" s="307">
        <f>'Model and Assumptions'!G19</f>
        <v>21280</v>
      </c>
    </row>
    <row r="18" spans="1:2">
      <c r="A18" s="261" t="s">
        <v>1006</v>
      </c>
      <c r="B18" s="307">
        <f>ROUND('Model and Assumptions'!G27,2)</f>
        <v>323.01</v>
      </c>
    </row>
    <row r="19" spans="1:2">
      <c r="A19" s="261" t="s">
        <v>1005</v>
      </c>
      <c r="B19" s="301">
        <f>B18*(POWER(1+B8, B5+1)-1)/(B8*B5)</f>
        <v>459.17553969098861</v>
      </c>
    </row>
    <row r="20" spans="1:2">
      <c r="A20" s="261" t="s">
        <v>1008</v>
      </c>
      <c r="B20" s="301">
        <f>($B$15*$B$26+$B$16)*(POWER(1+B8,B5+1)-1)/B8</f>
        <v>605012.56831827108</v>
      </c>
    </row>
    <row r="21" spans="1:2">
      <c r="A21" s="261" t="s">
        <v>1009</v>
      </c>
      <c r="B21" s="301">
        <f>B20+(1-$B$9)*B14+(1-$B$9)*B13*B26</f>
        <v>608772.56831827108</v>
      </c>
    </row>
    <row r="22" spans="1:2">
      <c r="A22" s="261" t="s">
        <v>1010</v>
      </c>
      <c r="B22" s="301">
        <f>B21/(B27*B5)</f>
        <v>434.83754879876506</v>
      </c>
    </row>
    <row r="24" spans="1:2">
      <c r="A24" s="261" t="s">
        <v>1011</v>
      </c>
      <c r="B24" s="301">
        <f>B19+B22</f>
        <v>894.01308848975373</v>
      </c>
    </row>
    <row r="26" spans="1:2">
      <c r="A26" s="261" t="s">
        <v>1002</v>
      </c>
      <c r="B26" s="109">
        <f>'Final Numerics'!C38</f>
        <v>0.2</v>
      </c>
    </row>
    <row r="27" spans="1:2">
      <c r="A27" s="261" t="s">
        <v>1001</v>
      </c>
      <c r="B27">
        <f>B26*B6</f>
        <v>70</v>
      </c>
    </row>
    <row r="28" spans="1:2">
      <c r="A28" s="261"/>
    </row>
    <row r="29" spans="1:2">
      <c r="A29" s="261"/>
    </row>
  </sheetData>
  <pageMargins left="0.7" right="0.7" top="0.75" bottom="0.75" header="0.3" footer="0.3"/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AE66C-B4A1-2748-876D-8BAAF258A3B1}">
  <dimension ref="A1:G26"/>
  <sheetViews>
    <sheetView showGridLines="0" workbookViewId="0">
      <selection activeCell="B15" sqref="B15"/>
    </sheetView>
  </sheetViews>
  <sheetFormatPr baseColWidth="10" defaultRowHeight="16"/>
  <cols>
    <col min="1" max="1" width="41.33203125" bestFit="1" customWidth="1"/>
    <col min="2" max="2" width="15" bestFit="1" customWidth="1"/>
    <col min="4" max="4" width="15.6640625" bestFit="1" customWidth="1"/>
    <col min="6" max="6" width="82.6640625" bestFit="1" customWidth="1"/>
  </cols>
  <sheetData>
    <row r="1" spans="1:6">
      <c r="A1" s="254" t="s">
        <v>1086</v>
      </c>
    </row>
    <row r="2" spans="1:6">
      <c r="A2" s="261" t="s">
        <v>978</v>
      </c>
      <c r="B2" s="80">
        <f>'Model and Assumptions'!B8</f>
        <v>0.12</v>
      </c>
    </row>
    <row r="3" spans="1:6">
      <c r="A3" s="261" t="s">
        <v>1094</v>
      </c>
      <c r="B3" s="80">
        <f>'Model and Assumptions'!B12</f>
        <v>2.92E-2</v>
      </c>
    </row>
    <row r="4" spans="1:6">
      <c r="A4" s="261" t="s">
        <v>1101</v>
      </c>
      <c r="B4" s="20">
        <f>'Model and Assumptions'!G61</f>
        <v>0.06</v>
      </c>
    </row>
    <row r="5" spans="1:6">
      <c r="A5" s="254"/>
    </row>
    <row r="6" spans="1:6">
      <c r="A6" s="261" t="s">
        <v>1091</v>
      </c>
      <c r="B6">
        <f>'Final Numerics'!C7</f>
        <v>56</v>
      </c>
    </row>
    <row r="10" spans="1:6">
      <c r="A10" s="261" t="s">
        <v>1089</v>
      </c>
      <c r="B10" s="314">
        <f>'Model and Assumptions'!G55</f>
        <v>10</v>
      </c>
    </row>
    <row r="11" spans="1:6">
      <c r="F11" s="254" t="s">
        <v>1096</v>
      </c>
    </row>
    <row r="12" spans="1:6">
      <c r="F12" t="s">
        <v>1097</v>
      </c>
    </row>
    <row r="13" spans="1:6">
      <c r="A13" s="254" t="s">
        <v>1093</v>
      </c>
    </row>
    <row r="14" spans="1:6">
      <c r="A14" s="261" t="s">
        <v>1087</v>
      </c>
      <c r="B14" s="297">
        <f>(CapEx!C85*B17 + CapEx!D85)/$B$17</f>
        <v>1599089.7129245249</v>
      </c>
      <c r="C14" s="70" t="s">
        <v>1134</v>
      </c>
    </row>
    <row r="15" spans="1:6">
      <c r="A15" s="261" t="s">
        <v>1088</v>
      </c>
      <c r="B15" s="297">
        <f>(CapEx!E85*B17+CapEx!F85)*(POWER(1+B3, B10+1) - 1)/(B3*B17)</f>
        <v>735013.04336767271</v>
      </c>
      <c r="C15" s="70" t="s">
        <v>1135</v>
      </c>
    </row>
    <row r="16" spans="1:6">
      <c r="A16" s="261" t="s">
        <v>1090</v>
      </c>
      <c r="B16" s="80">
        <f>'Model and Assumptions'!G57</f>
        <v>0.6</v>
      </c>
    </row>
    <row r="17" spans="1:7">
      <c r="A17" s="261" t="s">
        <v>1092</v>
      </c>
      <c r="B17">
        <f>ROUND(B6/B16,2)</f>
        <v>93.33</v>
      </c>
    </row>
    <row r="18" spans="1:7">
      <c r="A18" s="261"/>
    </row>
    <row r="19" spans="1:7">
      <c r="A19" s="254" t="s">
        <v>1099</v>
      </c>
    </row>
    <row r="20" spans="1:7">
      <c r="A20" s="261" t="s">
        <v>1087</v>
      </c>
      <c r="B20" s="297">
        <f>POWER((1-B4)*(1-B2),B10)*(CapEx!C85*B23 + CapEx!D85)/$B$23</f>
        <v>240160.82324504349</v>
      </c>
    </row>
    <row r="21" spans="1:7">
      <c r="A21" s="261" t="s">
        <v>1088</v>
      </c>
      <c r="B21" s="297">
        <f>POWER((1+B3)*(1-B2),B10)*(CapEx!E85*B23+CapEx!F85)*(POWER(1+B3, B10+1) - 1)/(B3*B23)</f>
        <v>280150.51039834839</v>
      </c>
      <c r="F21" s="254" t="s">
        <v>952</v>
      </c>
    </row>
    <row r="22" spans="1:7">
      <c r="A22" s="261" t="s">
        <v>1090</v>
      </c>
      <c r="B22" s="80">
        <f>B16+'Model and Assumptions'!G60*B10</f>
        <v>0.7</v>
      </c>
      <c r="F22" t="s">
        <v>1095</v>
      </c>
    </row>
    <row r="23" spans="1:7">
      <c r="A23" s="261" t="s">
        <v>1092</v>
      </c>
      <c r="B23">
        <f>ROUND(B6/B22,2)</f>
        <v>80</v>
      </c>
      <c r="F23" t="s">
        <v>1098</v>
      </c>
    </row>
    <row r="24" spans="1:7">
      <c r="F24" t="s">
        <v>1102</v>
      </c>
    </row>
    <row r="25" spans="1:7">
      <c r="F25" t="s">
        <v>1108</v>
      </c>
      <c r="G25" s="70" t="s">
        <v>1116</v>
      </c>
    </row>
    <row r="26" spans="1:7">
      <c r="A26" s="261" t="s">
        <v>1109</v>
      </c>
      <c r="B26" s="301">
        <f>B14+B15+B20+B21</f>
        <v>2854414.0899355896</v>
      </c>
      <c r="F26" t="s">
        <v>1107</v>
      </c>
    </row>
  </sheetData>
  <pageMargins left="0.7" right="0.7" top="0.75" bottom="0.75" header="0.3" footer="0.3"/>
</worksheet>
</file>

<file path=xl/worksheets/sheet1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B83A6-EC4F-6248-9584-689D6D18D456}">
  <dimension ref="A1:N201"/>
  <sheetViews>
    <sheetView showGridLines="0" workbookViewId="0">
      <selection activeCell="I76" sqref="I76"/>
    </sheetView>
  </sheetViews>
  <sheetFormatPr baseColWidth="10" defaultRowHeight="16"/>
  <cols>
    <col min="1" max="1" width="35.33203125" customWidth="1"/>
    <col min="2" max="2" width="20.5" customWidth="1"/>
    <col min="3" max="3" width="15.1640625" bestFit="1" customWidth="1"/>
    <col min="4" max="4" width="14" customWidth="1"/>
    <col min="5" max="5" width="20.1640625" customWidth="1"/>
    <col min="6" max="6" width="19.33203125" customWidth="1"/>
    <col min="7" max="7" width="30.33203125" customWidth="1"/>
    <col min="8" max="8" width="28.5" customWidth="1"/>
    <col min="9" max="9" width="22.5" customWidth="1"/>
    <col min="10" max="10" width="24.1640625" bestFit="1" customWidth="1"/>
    <col min="11" max="11" width="19.5" bestFit="1" customWidth="1"/>
  </cols>
  <sheetData>
    <row r="1" spans="1:13">
      <c r="G1" s="254" t="s">
        <v>709</v>
      </c>
      <c r="H1" s="295">
        <f>'Model and Assumptions'!G2</f>
        <v>0.26</v>
      </c>
    </row>
    <row r="2" spans="1:13" ht="18">
      <c r="A2" s="253" t="s">
        <v>525</v>
      </c>
      <c r="G2" s="254" t="s">
        <v>161</v>
      </c>
      <c r="H2" s="267">
        <f>'Model and Assumptions'!B9</f>
        <v>20</v>
      </c>
    </row>
    <row r="3" spans="1:13">
      <c r="A3" s="37" t="s">
        <v>715</v>
      </c>
      <c r="G3" s="254" t="s">
        <v>19</v>
      </c>
      <c r="H3" s="295">
        <f>'Model and Assumptions'!B8</f>
        <v>0.12</v>
      </c>
    </row>
    <row r="4" spans="1:13">
      <c r="A4" s="37" t="s">
        <v>524</v>
      </c>
      <c r="G4" s="254" t="s">
        <v>712</v>
      </c>
      <c r="H4" s="295">
        <f>'Model and Assumptions'!G4</f>
        <v>5.0000000000000001E-3</v>
      </c>
    </row>
    <row r="5" spans="1:13">
      <c r="A5" s="37" t="s">
        <v>714</v>
      </c>
      <c r="G5" s="254" t="s">
        <v>934</v>
      </c>
      <c r="H5" s="295">
        <f>'Model and Assumptions'!G5</f>
        <v>0.02</v>
      </c>
    </row>
    <row r="6" spans="1:13">
      <c r="A6" s="37"/>
      <c r="G6" s="254" t="s">
        <v>878</v>
      </c>
      <c r="H6" s="295">
        <f>'Model and Assumptions'!B12</f>
        <v>2.92E-2</v>
      </c>
    </row>
    <row r="7" spans="1:13">
      <c r="A7" s="37"/>
      <c r="G7" s="254" t="s">
        <v>940</v>
      </c>
      <c r="H7" s="295">
        <f>'Model and Assumptions'!G6</f>
        <v>0.1023</v>
      </c>
    </row>
    <row r="8" spans="1:13">
      <c r="F8" s="41"/>
      <c r="G8" s="254" t="s">
        <v>937</v>
      </c>
      <c r="H8" s="267">
        <f>'Final Numerics'!C18</f>
        <v>69.5</v>
      </c>
    </row>
    <row r="9" spans="1:13">
      <c r="F9" s="41"/>
      <c r="G9" s="254" t="s">
        <v>938</v>
      </c>
      <c r="H9" s="295">
        <f>1-'Model and Assumptions'!G5</f>
        <v>0.98</v>
      </c>
    </row>
    <row r="10" spans="1:13">
      <c r="F10" s="41"/>
      <c r="G10" s="254" t="s">
        <v>954</v>
      </c>
      <c r="H10" s="267">
        <f>'Model and Assumptions'!B10</f>
        <v>350</v>
      </c>
    </row>
    <row r="11" spans="1:13">
      <c r="F11" s="41"/>
      <c r="G11" s="254" t="s">
        <v>941</v>
      </c>
      <c r="H11" s="80">
        <f>'Model and Assumptions'!G7/H13</f>
        <v>0.11350737797956867</v>
      </c>
    </row>
    <row r="12" spans="1:13">
      <c r="F12" s="41"/>
      <c r="H12" s="293" t="s">
        <v>521</v>
      </c>
      <c r="I12" s="294" t="s">
        <v>520</v>
      </c>
      <c r="J12" s="294" t="s">
        <v>519</v>
      </c>
      <c r="K12" s="294" t="s">
        <v>518</v>
      </c>
    </row>
    <row r="13" spans="1:13">
      <c r="F13" s="41"/>
      <c r="G13" s="254" t="s">
        <v>707</v>
      </c>
      <c r="H13" s="241">
        <f>CapEx!C117</f>
        <v>881000</v>
      </c>
      <c r="I13" s="241">
        <f>CapEx!D117</f>
        <v>0</v>
      </c>
      <c r="J13" s="241">
        <f>CapEx!E117</f>
        <v>0</v>
      </c>
      <c r="K13" s="241">
        <f>CapEx!F117</f>
        <v>0</v>
      </c>
    </row>
    <row r="14" spans="1:13">
      <c r="F14" s="41"/>
      <c r="G14" s="254" t="s">
        <v>939</v>
      </c>
      <c r="H14" s="241">
        <f>H13*POWER((1-$H$7)*(1-$H$4), $H$2)*H11</f>
        <v>10449.274029405491</v>
      </c>
      <c r="I14" s="241">
        <v>0</v>
      </c>
      <c r="J14" s="241"/>
      <c r="K14" s="241"/>
      <c r="M14" t="s">
        <v>948</v>
      </c>
    </row>
    <row r="15" spans="1:13">
      <c r="F15" s="41"/>
      <c r="G15" s="254"/>
      <c r="H15" s="241"/>
      <c r="I15" s="241"/>
      <c r="J15" s="241"/>
      <c r="K15" s="241"/>
    </row>
    <row r="16" spans="1:13">
      <c r="F16" s="41"/>
      <c r="G16" s="254" t="s">
        <v>955</v>
      </c>
      <c r="H16" s="241">
        <f>ROUND((1-$H$1)*($H$13*$H$8 + $I$13 - $I$14)/$H$8,2) - $H$14</f>
        <v>641490.72597059456</v>
      </c>
      <c r="I16" t="s">
        <v>956</v>
      </c>
      <c r="J16" s="241"/>
      <c r="K16" s="241"/>
    </row>
    <row r="17" spans="1:11">
      <c r="F17" s="41"/>
      <c r="G17" s="254" t="s">
        <v>962</v>
      </c>
      <c r="H17" s="241">
        <f>ROUND((($J$13*$H$8 + $K$13)/$H$8)*(1-POWER(1-$H$6,$H$2+1))/($H$6),2)</f>
        <v>0</v>
      </c>
      <c r="I17" s="241"/>
      <c r="J17" s="241"/>
      <c r="K17" s="241"/>
    </row>
    <row r="18" spans="1:11">
      <c r="F18" s="41" t="s">
        <v>708</v>
      </c>
    </row>
    <row r="19" spans="1:11" ht="31">
      <c r="A19" s="254" t="s">
        <v>526</v>
      </c>
      <c r="B19" s="254" t="s">
        <v>527</v>
      </c>
      <c r="C19" s="254" t="s">
        <v>528</v>
      </c>
      <c r="D19" s="255" t="s">
        <v>573</v>
      </c>
      <c r="E19" s="255" t="s">
        <v>711</v>
      </c>
      <c r="F19" s="255" t="s">
        <v>710</v>
      </c>
      <c r="G19" s="254" t="s">
        <v>574</v>
      </c>
      <c r="H19" s="254" t="s">
        <v>575</v>
      </c>
      <c r="J19" s="254" t="s">
        <v>952</v>
      </c>
    </row>
    <row r="20" spans="1:11">
      <c r="A20" s="249" t="s">
        <v>529</v>
      </c>
      <c r="B20" s="249">
        <v>17.8</v>
      </c>
      <c r="C20" s="249">
        <v>29393</v>
      </c>
      <c r="D20" s="249">
        <f>ROUND(C20/(B20*365),2)</f>
        <v>4.5199999999999996</v>
      </c>
      <c r="E20" s="252">
        <f t="shared" ref="E20:E63" si="0">(1-$H$1)*$H$13/(D20*365)</f>
        <v>395.16305006667477</v>
      </c>
      <c r="F20" s="252">
        <f t="shared" ref="F20:F63" si="1">E20*$H$3/(1-POWER(1-$H$3,$H$2))</f>
        <v>51.40682279613236</v>
      </c>
      <c r="G20" s="249">
        <v>37.644873762800003</v>
      </c>
      <c r="H20" s="249">
        <v>-121.882288836</v>
      </c>
      <c r="J20" t="s">
        <v>942</v>
      </c>
    </row>
    <row r="21" spans="1:11">
      <c r="A21" s="249" t="s">
        <v>530</v>
      </c>
      <c r="B21" s="249">
        <v>1.5</v>
      </c>
      <c r="C21" s="249">
        <v>1971</v>
      </c>
      <c r="D21" s="249">
        <f>ROUND(C21/(B21*365),2)</f>
        <v>3.6</v>
      </c>
      <c r="E21" s="252">
        <f t="shared" si="0"/>
        <v>496.14916286149162</v>
      </c>
      <c r="F21" s="252">
        <f t="shared" si="1"/>
        <v>64.544121955143964</v>
      </c>
      <c r="G21" s="249">
        <v>38.446117377299998</v>
      </c>
      <c r="H21" s="249">
        <v>-120.65157196</v>
      </c>
      <c r="J21" t="s">
        <v>943</v>
      </c>
    </row>
    <row r="22" spans="1:11">
      <c r="A22" s="249" t="s">
        <v>531</v>
      </c>
      <c r="B22" s="249">
        <v>8.6999999999999993</v>
      </c>
      <c r="C22" s="249">
        <v>13324</v>
      </c>
      <c r="D22" s="249">
        <f>ROUND(C22/(B22*365),2)</f>
        <v>4.2</v>
      </c>
      <c r="E22" s="252">
        <f t="shared" si="0"/>
        <v>425.27071102413566</v>
      </c>
      <c r="F22" s="252">
        <f t="shared" si="1"/>
        <v>55.323533104409108</v>
      </c>
      <c r="G22" s="249">
        <v>39.667011307300001</v>
      </c>
      <c r="H22" s="249">
        <v>-121.600718282</v>
      </c>
      <c r="J22" t="s">
        <v>944</v>
      </c>
    </row>
    <row r="23" spans="1:11">
      <c r="A23" s="249" t="s">
        <v>532</v>
      </c>
      <c r="B23" s="249">
        <v>1.8</v>
      </c>
      <c r="C23" s="249">
        <v>2838</v>
      </c>
      <c r="D23" s="249">
        <f>ROUND(C23/(B23*365),2)</f>
        <v>4.32</v>
      </c>
      <c r="E23" s="252">
        <f t="shared" si="0"/>
        <v>413.45763571790962</v>
      </c>
      <c r="F23" s="252">
        <f t="shared" si="1"/>
        <v>53.786768295953294</v>
      </c>
      <c r="G23" s="249">
        <v>38.205014792699998</v>
      </c>
      <c r="H23" s="249">
        <v>-120.553756737</v>
      </c>
      <c r="J23" t="s">
        <v>945</v>
      </c>
    </row>
    <row r="24" spans="1:11">
      <c r="A24" s="249" t="s">
        <v>533</v>
      </c>
      <c r="B24" s="249">
        <v>42.5</v>
      </c>
      <c r="C24" s="249">
        <v>76815</v>
      </c>
      <c r="D24" s="249">
        <f t="shared" ref="D24:D63" si="2">ROUND(C24/(B24*365),2)</f>
        <v>4.95</v>
      </c>
      <c r="E24" s="252">
        <f t="shared" si="0"/>
        <v>360.83575480835754</v>
      </c>
      <c r="F24" s="252">
        <f t="shared" si="1"/>
        <v>46.941179603741062</v>
      </c>
      <c r="G24" s="249">
        <v>37.915534666500001</v>
      </c>
      <c r="H24" s="249">
        <v>-121.927176832</v>
      </c>
      <c r="I24" s="247"/>
      <c r="J24" t="s">
        <v>946</v>
      </c>
    </row>
    <row r="25" spans="1:11">
      <c r="A25" s="249" t="s">
        <v>534</v>
      </c>
      <c r="B25" s="249">
        <v>1008.1</v>
      </c>
      <c r="C25" s="249">
        <v>2257616</v>
      </c>
      <c r="D25" s="249">
        <f t="shared" si="2"/>
        <v>6.14</v>
      </c>
      <c r="E25" s="252">
        <f t="shared" si="0"/>
        <v>290.90178929989736</v>
      </c>
      <c r="F25" s="252">
        <f t="shared" si="1"/>
        <v>37.843459126794507</v>
      </c>
      <c r="G25" s="249">
        <v>36.758370970500003</v>
      </c>
      <c r="H25" s="249">
        <v>-119.651022678</v>
      </c>
      <c r="J25" t="s">
        <v>947</v>
      </c>
    </row>
    <row r="26" spans="1:11">
      <c r="A26" s="249" t="s">
        <v>535</v>
      </c>
      <c r="B26" s="249">
        <v>1.5</v>
      </c>
      <c r="C26" s="249">
        <v>3211</v>
      </c>
      <c r="D26" s="249">
        <f t="shared" si="2"/>
        <v>5.86</v>
      </c>
      <c r="E26" s="252">
        <f t="shared" si="0"/>
        <v>304.80153349852725</v>
      </c>
      <c r="F26" s="252">
        <f t="shared" si="1"/>
        <v>39.651679016811983</v>
      </c>
      <c r="G26" s="249">
        <v>39.598365648200001</v>
      </c>
      <c r="H26" s="249">
        <v>-122.392092433</v>
      </c>
      <c r="J26" t="s">
        <v>949</v>
      </c>
    </row>
    <row r="27" spans="1:11">
      <c r="A27" s="249" t="s">
        <v>536</v>
      </c>
      <c r="B27" s="249">
        <v>10.8</v>
      </c>
      <c r="C27" s="249">
        <v>14916</v>
      </c>
      <c r="D27" s="249">
        <f t="shared" si="2"/>
        <v>3.78</v>
      </c>
      <c r="E27" s="252">
        <f t="shared" si="0"/>
        <v>472.52301224903971</v>
      </c>
      <c r="F27" s="252">
        <f t="shared" si="1"/>
        <v>61.47059233823235</v>
      </c>
      <c r="G27" s="249">
        <v>40.698631032500003</v>
      </c>
      <c r="H27" s="249">
        <v>-123.873713677</v>
      </c>
      <c r="J27" t="s">
        <v>957</v>
      </c>
    </row>
    <row r="28" spans="1:11">
      <c r="A28" s="249" t="s">
        <v>537</v>
      </c>
      <c r="B28" s="249">
        <v>1708.5</v>
      </c>
      <c r="C28" s="249">
        <v>4119994</v>
      </c>
      <c r="D28" s="249">
        <f t="shared" si="2"/>
        <v>6.61</v>
      </c>
      <c r="E28" s="252">
        <f t="shared" si="0"/>
        <v>270.21739580958695</v>
      </c>
      <c r="F28" s="252">
        <f t="shared" si="1"/>
        <v>35.15262315257462</v>
      </c>
      <c r="G28" s="249">
        <v>33.039666631599999</v>
      </c>
      <c r="H28" s="249">
        <v>-115.365267034</v>
      </c>
      <c r="J28" t="s">
        <v>959</v>
      </c>
    </row>
    <row r="29" spans="1:11">
      <c r="A29" s="249" t="s">
        <v>538</v>
      </c>
      <c r="B29" s="249">
        <v>3198.8</v>
      </c>
      <c r="C29" s="249">
        <v>8258050</v>
      </c>
      <c r="D29" s="249">
        <f t="shared" si="2"/>
        <v>7.07</v>
      </c>
      <c r="E29" s="252">
        <f t="shared" si="0"/>
        <v>252.63606595493206</v>
      </c>
      <c r="F29" s="252">
        <f t="shared" si="1"/>
        <v>32.865465210540059</v>
      </c>
      <c r="G29" s="249">
        <v>35.342838648399997</v>
      </c>
      <c r="H29" s="249">
        <v>-118.729938045</v>
      </c>
      <c r="J29" t="s">
        <v>960</v>
      </c>
    </row>
    <row r="30" spans="1:11" s="259" customFormat="1">
      <c r="A30" s="257" t="s">
        <v>539</v>
      </c>
      <c r="B30" s="257">
        <v>1140.3</v>
      </c>
      <c r="C30" s="257">
        <v>1485032</v>
      </c>
      <c r="D30" s="257">
        <f t="shared" si="2"/>
        <v>3.57</v>
      </c>
      <c r="E30" s="258">
        <f t="shared" si="0"/>
        <v>500.3184835578067</v>
      </c>
      <c r="F30" s="258">
        <f t="shared" si="1"/>
        <v>65.08650953459896</v>
      </c>
      <c r="G30" s="257">
        <v>36.075306112</v>
      </c>
      <c r="H30" s="257">
        <v>-119.815547843</v>
      </c>
      <c r="I30" s="259" t="s">
        <v>856</v>
      </c>
    </row>
    <row r="31" spans="1:11">
      <c r="A31" s="249" t="s">
        <v>540</v>
      </c>
      <c r="B31" s="249">
        <v>3</v>
      </c>
      <c r="C31" s="249">
        <v>4866</v>
      </c>
      <c r="D31" s="249">
        <f t="shared" si="2"/>
        <v>4.4400000000000004</v>
      </c>
      <c r="E31" s="252">
        <f t="shared" si="0"/>
        <v>402.28310502283102</v>
      </c>
      <c r="F31" s="252">
        <f t="shared" si="1"/>
        <v>52.333071855522128</v>
      </c>
      <c r="G31" s="249">
        <v>39.099607407500002</v>
      </c>
      <c r="H31" s="249">
        <v>-122.75338429599999</v>
      </c>
      <c r="J31" s="254" t="s">
        <v>950</v>
      </c>
    </row>
    <row r="32" spans="1:11">
      <c r="A32" s="249" t="s">
        <v>541</v>
      </c>
      <c r="B32" s="249">
        <v>2.5</v>
      </c>
      <c r="C32" s="249">
        <v>5992</v>
      </c>
      <c r="D32" s="249">
        <f t="shared" si="2"/>
        <v>6.57</v>
      </c>
      <c r="E32" s="252">
        <f t="shared" si="0"/>
        <v>271.86255499259812</v>
      </c>
      <c r="F32" s="252">
        <f t="shared" si="1"/>
        <v>35.366642167202166</v>
      </c>
      <c r="G32" s="249">
        <v>40.673519790599997</v>
      </c>
      <c r="H32" s="249">
        <v>-120.594276729</v>
      </c>
      <c r="J32" t="s">
        <v>951</v>
      </c>
    </row>
    <row r="33" spans="1:10">
      <c r="A33" s="249" t="s">
        <v>542</v>
      </c>
      <c r="B33" s="249">
        <v>1287.9000000000001</v>
      </c>
      <c r="C33" s="249">
        <v>3112714</v>
      </c>
      <c r="D33" s="249">
        <f t="shared" si="2"/>
        <v>6.62</v>
      </c>
      <c r="E33" s="252">
        <f t="shared" si="0"/>
        <v>269.80921243223105</v>
      </c>
      <c r="F33" s="252">
        <f t="shared" si="1"/>
        <v>35.099522513371333</v>
      </c>
      <c r="G33" s="249">
        <v>34.361593504699997</v>
      </c>
      <c r="H33" s="249">
        <v>-118.216981811</v>
      </c>
    </row>
    <row r="34" spans="1:10">
      <c r="A34" s="249" t="s">
        <v>543</v>
      </c>
      <c r="B34" s="249">
        <v>25</v>
      </c>
      <c r="C34" s="249">
        <v>35047</v>
      </c>
      <c r="D34" s="249">
        <f t="shared" si="2"/>
        <v>3.84</v>
      </c>
      <c r="E34" s="252">
        <f t="shared" si="0"/>
        <v>465.13984018264841</v>
      </c>
      <c r="F34" s="252">
        <f t="shared" si="1"/>
        <v>60.510114332947467</v>
      </c>
      <c r="G34" s="249">
        <v>37.218163769999997</v>
      </c>
      <c r="H34" s="249">
        <v>-119.762685404</v>
      </c>
      <c r="J34" s="254" t="s">
        <v>953</v>
      </c>
    </row>
    <row r="35" spans="1:10">
      <c r="A35" s="249" t="s">
        <v>544</v>
      </c>
      <c r="B35" s="249">
        <v>2.5</v>
      </c>
      <c r="C35" s="249">
        <v>3929</v>
      </c>
      <c r="D35" s="249">
        <f t="shared" si="2"/>
        <v>4.3099999999999996</v>
      </c>
      <c r="E35" s="252">
        <f t="shared" si="0"/>
        <v>414.41693417665198</v>
      </c>
      <c r="F35" s="252">
        <f t="shared" si="1"/>
        <v>53.911563582022801</v>
      </c>
      <c r="G35" s="249">
        <v>38.072890067199999</v>
      </c>
      <c r="H35" s="249">
        <v>-122.71915116</v>
      </c>
    </row>
    <row r="36" spans="1:10">
      <c r="A36" s="249" t="s">
        <v>545</v>
      </c>
      <c r="B36" s="249">
        <v>7</v>
      </c>
      <c r="C36" s="249">
        <v>12134</v>
      </c>
      <c r="D36" s="249">
        <f t="shared" si="2"/>
        <v>4.75</v>
      </c>
      <c r="E36" s="252">
        <f t="shared" si="0"/>
        <v>376.028839221341</v>
      </c>
      <c r="F36" s="252">
        <f t="shared" si="1"/>
        <v>48.917650323898577</v>
      </c>
      <c r="G36" s="249">
        <v>39.440445801999999</v>
      </c>
      <c r="H36" s="249">
        <v>-123.391375934</v>
      </c>
    </row>
    <row r="37" spans="1:10">
      <c r="A37" s="249" t="s">
        <v>546</v>
      </c>
      <c r="B37" s="249">
        <v>339</v>
      </c>
      <c r="C37" s="249">
        <v>852955</v>
      </c>
      <c r="D37" s="249">
        <f t="shared" si="2"/>
        <v>6.89</v>
      </c>
      <c r="E37" s="252">
        <f t="shared" si="0"/>
        <v>259.23613734417563</v>
      </c>
      <c r="F37" s="252">
        <f t="shared" si="1"/>
        <v>33.724069526635454</v>
      </c>
      <c r="G37" s="249">
        <v>37.192804625100003</v>
      </c>
      <c r="H37" s="249">
        <v>-120.717925436</v>
      </c>
    </row>
    <row r="38" spans="1:10">
      <c r="A38" s="249" t="s">
        <v>547</v>
      </c>
      <c r="B38" s="249">
        <v>140.1</v>
      </c>
      <c r="C38" s="249">
        <v>359662</v>
      </c>
      <c r="D38" s="249">
        <f t="shared" si="2"/>
        <v>7.03</v>
      </c>
      <c r="E38" s="252">
        <f t="shared" si="0"/>
        <v>254.07354001441959</v>
      </c>
      <c r="F38" s="252">
        <f t="shared" si="1"/>
        <v>33.052466435066606</v>
      </c>
      <c r="G38" s="249">
        <v>36.217293851900003</v>
      </c>
      <c r="H38" s="249">
        <v>-121.23941124</v>
      </c>
    </row>
    <row r="39" spans="1:10">
      <c r="A39" s="249" t="s">
        <v>548</v>
      </c>
      <c r="B39" s="249">
        <v>2</v>
      </c>
      <c r="C39" s="249">
        <v>3244</v>
      </c>
      <c r="D39" s="249">
        <f t="shared" si="2"/>
        <v>4.4400000000000004</v>
      </c>
      <c r="E39" s="252">
        <f t="shared" si="0"/>
        <v>402.28310502283102</v>
      </c>
      <c r="F39" s="252">
        <f t="shared" si="1"/>
        <v>52.333071855522128</v>
      </c>
      <c r="G39" s="249">
        <v>38.507603030600002</v>
      </c>
      <c r="H39" s="249">
        <v>-122.330530356</v>
      </c>
    </row>
    <row r="40" spans="1:10">
      <c r="A40" s="249" t="s">
        <v>549</v>
      </c>
      <c r="B40" s="249">
        <v>2.8</v>
      </c>
      <c r="C40" s="249">
        <v>4906</v>
      </c>
      <c r="D40" s="249">
        <f t="shared" si="2"/>
        <v>4.8</v>
      </c>
      <c r="E40" s="252">
        <f t="shared" si="0"/>
        <v>372.11187214611874</v>
      </c>
      <c r="F40" s="252">
        <f t="shared" si="1"/>
        <v>48.408091466357973</v>
      </c>
      <c r="G40" s="249">
        <v>33.703091524999998</v>
      </c>
      <c r="H40" s="249">
        <v>-117.761211249</v>
      </c>
    </row>
    <row r="41" spans="1:10">
      <c r="A41" s="249" t="s">
        <v>550</v>
      </c>
      <c r="B41" s="249">
        <v>5.5</v>
      </c>
      <c r="C41" s="249">
        <v>7535</v>
      </c>
      <c r="D41" s="249">
        <f t="shared" si="2"/>
        <v>3.75</v>
      </c>
      <c r="E41" s="252">
        <f t="shared" si="0"/>
        <v>476.30319634703199</v>
      </c>
      <c r="F41" s="252">
        <f t="shared" si="1"/>
        <v>61.962357076938204</v>
      </c>
      <c r="G41" s="249">
        <v>39.063936061</v>
      </c>
      <c r="H41" s="249">
        <v>-120.71723833199999</v>
      </c>
    </row>
    <row r="42" spans="1:10">
      <c r="A42" s="249" t="s">
        <v>551</v>
      </c>
      <c r="B42" s="249">
        <v>2275</v>
      </c>
      <c r="C42" s="249">
        <v>5057430</v>
      </c>
      <c r="D42" s="249">
        <f t="shared" si="2"/>
        <v>6.09</v>
      </c>
      <c r="E42" s="252">
        <f t="shared" si="0"/>
        <v>293.29014553388669</v>
      </c>
      <c r="F42" s="252">
        <f t="shared" si="1"/>
        <v>38.154160761661458</v>
      </c>
      <c r="G42" s="249">
        <v>33.743640509999999</v>
      </c>
      <c r="H42" s="249">
        <v>-115.994021641</v>
      </c>
    </row>
    <row r="43" spans="1:10">
      <c r="A43" s="249" t="s">
        <v>552</v>
      </c>
      <c r="B43" s="249">
        <v>313.2</v>
      </c>
      <c r="C43" s="249">
        <v>624798</v>
      </c>
      <c r="D43" s="249">
        <f t="shared" si="2"/>
        <v>5.47</v>
      </c>
      <c r="E43" s="252">
        <f t="shared" si="0"/>
        <v>326.5332698905612</v>
      </c>
      <c r="F43" s="252">
        <f t="shared" si="1"/>
        <v>42.478763992416503</v>
      </c>
      <c r="G43" s="249">
        <v>38.454384180200002</v>
      </c>
      <c r="H43" s="249">
        <v>-121.33880939300001</v>
      </c>
    </row>
    <row r="44" spans="1:10">
      <c r="A44" s="249" t="s">
        <v>553</v>
      </c>
      <c r="B44" s="249">
        <v>146.19999999999999</v>
      </c>
      <c r="C44" s="249">
        <v>368126</v>
      </c>
      <c r="D44" s="249">
        <f t="shared" si="2"/>
        <v>6.9</v>
      </c>
      <c r="E44" s="252">
        <f t="shared" si="0"/>
        <v>258.86043279730001</v>
      </c>
      <c r="F44" s="252">
        <f t="shared" si="1"/>
        <v>33.675194063553377</v>
      </c>
      <c r="G44" s="249">
        <v>36.6055494282</v>
      </c>
      <c r="H44" s="249">
        <v>-121.074869757</v>
      </c>
    </row>
    <row r="45" spans="1:10">
      <c r="A45" s="249" t="s">
        <v>554</v>
      </c>
      <c r="B45" s="249">
        <v>1793.6</v>
      </c>
      <c r="C45" s="249">
        <v>3041629</v>
      </c>
      <c r="D45" s="249">
        <f t="shared" si="2"/>
        <v>4.6500000000000004</v>
      </c>
      <c r="E45" s="252">
        <f t="shared" si="0"/>
        <v>384.11548092502574</v>
      </c>
      <c r="F45" s="252">
        <f t="shared" si="1"/>
        <v>49.969642803982417</v>
      </c>
      <c r="G45" s="249">
        <v>34.8413712057</v>
      </c>
      <c r="H45" s="249">
        <v>-116.178482683</v>
      </c>
    </row>
    <row r="46" spans="1:10">
      <c r="A46" s="249" t="s">
        <v>555</v>
      </c>
      <c r="B46" s="249">
        <v>153.1</v>
      </c>
      <c r="C46" s="249">
        <v>349290</v>
      </c>
      <c r="D46" s="249">
        <f t="shared" si="2"/>
        <v>6.25</v>
      </c>
      <c r="E46" s="252">
        <f t="shared" si="0"/>
        <v>285.78191780821919</v>
      </c>
      <c r="F46" s="252">
        <f t="shared" si="1"/>
        <v>37.177414246162925</v>
      </c>
      <c r="G46" s="249">
        <v>33.03590414</v>
      </c>
      <c r="H46" s="249">
        <v>-116.73311551800001</v>
      </c>
    </row>
    <row r="47" spans="1:10">
      <c r="A47" s="249" t="s">
        <v>556</v>
      </c>
      <c r="B47" s="249">
        <v>14.4</v>
      </c>
      <c r="C47" s="249">
        <v>22339</v>
      </c>
      <c r="D47" s="249">
        <f t="shared" si="2"/>
        <v>4.25</v>
      </c>
      <c r="E47" s="252">
        <f t="shared" si="0"/>
        <v>420.26752618855761</v>
      </c>
      <c r="F47" s="252">
        <f t="shared" si="1"/>
        <v>54.672668009063123</v>
      </c>
      <c r="G47" s="249">
        <v>37.7545101587</v>
      </c>
      <c r="H47" s="249">
        <v>-122.442201158</v>
      </c>
    </row>
    <row r="48" spans="1:10">
      <c r="A48" s="249" t="s">
        <v>557</v>
      </c>
      <c r="B48" s="249">
        <v>33.799999999999997</v>
      </c>
      <c r="C48" s="249">
        <v>54991</v>
      </c>
      <c r="D48" s="249">
        <f t="shared" si="2"/>
        <v>4.46</v>
      </c>
      <c r="E48" s="252">
        <f t="shared" si="0"/>
        <v>400.47914491062102</v>
      </c>
      <c r="F48" s="252">
        <f t="shared" si="1"/>
        <v>52.098394403255213</v>
      </c>
      <c r="G48" s="249">
        <v>37.934788875599999</v>
      </c>
      <c r="H48" s="249">
        <v>-121.27103109399999</v>
      </c>
    </row>
    <row r="49" spans="1:8">
      <c r="A49" s="249" t="s">
        <v>558</v>
      </c>
      <c r="B49" s="249">
        <v>961.8</v>
      </c>
      <c r="C49" s="249">
        <v>2381214</v>
      </c>
      <c r="D49" s="249">
        <f t="shared" si="2"/>
        <v>6.78</v>
      </c>
      <c r="E49" s="252">
        <f t="shared" si="0"/>
        <v>263.44203337778316</v>
      </c>
      <c r="F49" s="252">
        <f t="shared" si="1"/>
        <v>34.271215197421576</v>
      </c>
      <c r="G49" s="249">
        <v>35.387169938699998</v>
      </c>
      <c r="H49" s="249">
        <v>-120.404113779</v>
      </c>
    </row>
    <row r="50" spans="1:8">
      <c r="A50" s="249" t="s">
        <v>559</v>
      </c>
      <c r="B50" s="249">
        <v>40</v>
      </c>
      <c r="C50" s="249">
        <v>78187</v>
      </c>
      <c r="D50" s="249">
        <f t="shared" si="2"/>
        <v>5.36</v>
      </c>
      <c r="E50" s="252">
        <f t="shared" si="0"/>
        <v>333.23451236965855</v>
      </c>
      <c r="F50" s="252">
        <f t="shared" si="1"/>
        <v>43.350529671365351</v>
      </c>
      <c r="G50" s="249">
        <v>34.724764230600002</v>
      </c>
      <c r="H50" s="249">
        <v>-120.022280302</v>
      </c>
    </row>
    <row r="51" spans="1:8">
      <c r="A51" s="249" t="s">
        <v>560</v>
      </c>
      <c r="B51" s="249">
        <v>29.5</v>
      </c>
      <c r="C51" s="249">
        <v>47959</v>
      </c>
      <c r="D51" s="249">
        <f t="shared" si="2"/>
        <v>4.45</v>
      </c>
      <c r="E51" s="252">
        <f t="shared" si="0"/>
        <v>401.37909804525168</v>
      </c>
      <c r="F51" s="252">
        <f t="shared" si="1"/>
        <v>52.215469446858037</v>
      </c>
      <c r="G51" s="249">
        <v>37.231465615899999</v>
      </c>
      <c r="H51" s="249">
        <v>-121.69437076200001</v>
      </c>
    </row>
    <row r="52" spans="1:8">
      <c r="A52" s="249" t="s">
        <v>561</v>
      </c>
      <c r="B52" s="249">
        <v>1.3</v>
      </c>
      <c r="C52" s="249">
        <v>2108</v>
      </c>
      <c r="D52" s="249">
        <f t="shared" si="2"/>
        <v>4.4400000000000004</v>
      </c>
      <c r="E52" s="252">
        <f t="shared" si="0"/>
        <v>402.28310502283102</v>
      </c>
      <c r="F52" s="252">
        <f t="shared" si="1"/>
        <v>52.333071855522128</v>
      </c>
      <c r="G52" s="249">
        <v>37.056273833699997</v>
      </c>
      <c r="H52" s="249">
        <v>-122.00150323299999</v>
      </c>
    </row>
    <row r="53" spans="1:8">
      <c r="A53" s="249" t="s">
        <v>562</v>
      </c>
      <c r="B53" s="249">
        <v>8</v>
      </c>
      <c r="C53" s="249">
        <v>21447</v>
      </c>
      <c r="D53" s="249">
        <f t="shared" si="2"/>
        <v>7.34</v>
      </c>
      <c r="E53" s="252">
        <f t="shared" si="0"/>
        <v>243.34291366503678</v>
      </c>
      <c r="F53" s="252">
        <f t="shared" si="1"/>
        <v>31.656517580179603</v>
      </c>
      <c r="G53" s="249">
        <v>40.763803596800003</v>
      </c>
      <c r="H53" s="249">
        <v>-122.040258069</v>
      </c>
    </row>
    <row r="54" spans="1:8">
      <c r="A54" s="249" t="s">
        <v>563</v>
      </c>
      <c r="B54" s="249">
        <v>30.5</v>
      </c>
      <c r="C54" s="249">
        <v>46023</v>
      </c>
      <c r="D54" s="249">
        <f t="shared" si="2"/>
        <v>4.13</v>
      </c>
      <c r="E54" s="252">
        <f t="shared" si="0"/>
        <v>432.47868917708712</v>
      </c>
      <c r="F54" s="252">
        <f t="shared" si="1"/>
        <v>56.261220106178754</v>
      </c>
      <c r="G54" s="249">
        <v>38.280961709800003</v>
      </c>
      <c r="H54" s="249">
        <v>-121.925388545</v>
      </c>
    </row>
    <row r="55" spans="1:8">
      <c r="A55" s="249" t="s">
        <v>564</v>
      </c>
      <c r="B55" s="249">
        <v>15.2</v>
      </c>
      <c r="C55" s="249">
        <v>22779</v>
      </c>
      <c r="D55" s="249">
        <f t="shared" si="2"/>
        <v>4.1100000000000003</v>
      </c>
      <c r="E55" s="252">
        <f t="shared" si="0"/>
        <v>434.58320834583208</v>
      </c>
      <c r="F55" s="252">
        <f t="shared" si="1"/>
        <v>56.534997332972814</v>
      </c>
      <c r="G55" s="249">
        <v>38.528559987900003</v>
      </c>
      <c r="H55" s="249">
        <v>-122.88748333300001</v>
      </c>
    </row>
    <row r="56" spans="1:8">
      <c r="A56" s="249" t="s">
        <v>565</v>
      </c>
      <c r="B56" s="249">
        <v>48.2</v>
      </c>
      <c r="C56" s="249">
        <v>117644</v>
      </c>
      <c r="D56" s="249">
        <f t="shared" si="2"/>
        <v>6.69</v>
      </c>
      <c r="E56" s="252">
        <f t="shared" si="0"/>
        <v>266.98609660708064</v>
      </c>
      <c r="F56" s="252">
        <f t="shared" si="1"/>
        <v>34.732262935503464</v>
      </c>
      <c r="G56" s="249">
        <v>37.559623117299999</v>
      </c>
      <c r="H56" s="249">
        <v>-120.997728951</v>
      </c>
    </row>
    <row r="57" spans="1:8">
      <c r="A57" s="249" t="s">
        <v>566</v>
      </c>
      <c r="B57" s="249">
        <v>2.5</v>
      </c>
      <c r="C57" s="249">
        <v>3941</v>
      </c>
      <c r="D57" s="249">
        <f t="shared" si="2"/>
        <v>4.32</v>
      </c>
      <c r="E57" s="252">
        <f t="shared" si="0"/>
        <v>413.45763571790962</v>
      </c>
      <c r="F57" s="252">
        <f t="shared" si="1"/>
        <v>53.786768295953294</v>
      </c>
      <c r="G57" s="249">
        <v>39.0347176537</v>
      </c>
      <c r="H57" s="249">
        <v>-121.694837777</v>
      </c>
    </row>
    <row r="58" spans="1:8">
      <c r="A58" s="249" t="s">
        <v>567</v>
      </c>
      <c r="B58" s="249">
        <v>17.399999999999999</v>
      </c>
      <c r="C58" s="249">
        <v>29969</v>
      </c>
      <c r="D58" s="249">
        <f t="shared" si="2"/>
        <v>4.72</v>
      </c>
      <c r="E58" s="252">
        <f t="shared" si="0"/>
        <v>378.41885302995126</v>
      </c>
      <c r="F58" s="252">
        <f t="shared" si="1"/>
        <v>49.228567592906415</v>
      </c>
      <c r="G58" s="249">
        <v>40.125748933200001</v>
      </c>
      <c r="H58" s="249">
        <v>-122.234030581</v>
      </c>
    </row>
    <row r="59" spans="1:8">
      <c r="A59" s="249" t="s">
        <v>568</v>
      </c>
      <c r="B59" s="249">
        <v>346.4</v>
      </c>
      <c r="C59" s="249">
        <v>702961</v>
      </c>
      <c r="D59" s="249">
        <f t="shared" si="2"/>
        <v>5.56</v>
      </c>
      <c r="E59" s="252">
        <f t="shared" si="0"/>
        <v>321.2476594067212</v>
      </c>
      <c r="F59" s="252">
        <f t="shared" si="1"/>
        <v>41.791158100452925</v>
      </c>
      <c r="G59" s="249">
        <v>36.220431435400002</v>
      </c>
      <c r="H59" s="249">
        <v>-118.800475359</v>
      </c>
    </row>
    <row r="60" spans="1:8">
      <c r="A60" s="249" t="s">
        <v>569</v>
      </c>
      <c r="B60" s="249">
        <v>1.5</v>
      </c>
      <c r="C60" s="249">
        <v>3694</v>
      </c>
      <c r="D60" s="249">
        <f t="shared" si="2"/>
        <v>6.75</v>
      </c>
      <c r="E60" s="252">
        <f t="shared" si="0"/>
        <v>264.61288685946221</v>
      </c>
      <c r="F60" s="252">
        <f t="shared" si="1"/>
        <v>34.423531709410113</v>
      </c>
      <c r="G60" s="249">
        <v>38.0277827472</v>
      </c>
      <c r="H60" s="249">
        <v>-119.954608354</v>
      </c>
    </row>
    <row r="61" spans="1:8">
      <c r="A61" s="249" t="s">
        <v>570</v>
      </c>
      <c r="B61" s="249">
        <v>3.7</v>
      </c>
      <c r="C61" s="249">
        <v>6491</v>
      </c>
      <c r="D61" s="249">
        <f t="shared" si="2"/>
        <v>4.8099999999999996</v>
      </c>
      <c r="E61" s="252">
        <f t="shared" si="0"/>
        <v>371.33825079030561</v>
      </c>
      <c r="F61" s="252">
        <f t="shared" si="1"/>
        <v>48.307450943558891</v>
      </c>
      <c r="G61" s="249">
        <v>34.4716370318</v>
      </c>
      <c r="H61" s="249">
        <v>-119.078252096</v>
      </c>
    </row>
    <row r="62" spans="1:8">
      <c r="A62" s="249" t="s">
        <v>571</v>
      </c>
      <c r="B62" s="249">
        <v>12.1</v>
      </c>
      <c r="C62" s="249">
        <v>18791</v>
      </c>
      <c r="D62" s="249">
        <f t="shared" si="2"/>
        <v>4.25</v>
      </c>
      <c r="E62" s="252">
        <f t="shared" si="0"/>
        <v>420.26752618855761</v>
      </c>
      <c r="F62" s="252">
        <f t="shared" si="1"/>
        <v>54.672668009063123</v>
      </c>
      <c r="G62" s="249">
        <v>38.687010976499998</v>
      </c>
      <c r="H62" s="249">
        <v>-121.90150951699999</v>
      </c>
    </row>
    <row r="63" spans="1:8">
      <c r="A63" s="249" t="s">
        <v>572</v>
      </c>
      <c r="B63" s="249">
        <v>1</v>
      </c>
      <c r="C63" s="249">
        <v>1622</v>
      </c>
      <c r="D63" s="249">
        <f t="shared" si="2"/>
        <v>4.4400000000000004</v>
      </c>
      <c r="E63" s="252">
        <f t="shared" si="0"/>
        <v>402.28310502283102</v>
      </c>
      <c r="F63" s="252">
        <f t="shared" si="1"/>
        <v>52.333071855522128</v>
      </c>
      <c r="G63" s="249">
        <v>39.269286796000003</v>
      </c>
      <c r="H63" s="249">
        <v>-121.35122880999999</v>
      </c>
    </row>
    <row r="64" spans="1:8" ht="21">
      <c r="A64" s="245"/>
      <c r="B64" s="245"/>
      <c r="C64" s="246"/>
    </row>
    <row r="67" spans="1:10" ht="17" thickBot="1">
      <c r="A67" s="254" t="s">
        <v>713</v>
      </c>
      <c r="B67" s="254" t="s">
        <v>102</v>
      </c>
    </row>
    <row r="68" spans="1:10" ht="17" thickBot="1">
      <c r="A68" s="256" t="s">
        <v>581</v>
      </c>
      <c r="B68">
        <f>INDEX($I$76:$I$200,MATCH($A$68,$A$76:$A$200,0))</f>
        <v>58.017021524092065</v>
      </c>
      <c r="D68" t="s">
        <v>716</v>
      </c>
    </row>
    <row r="69" spans="1:10">
      <c r="D69" t="s">
        <v>582</v>
      </c>
    </row>
    <row r="75" spans="1:10" ht="32" customHeight="1">
      <c r="A75" s="321" t="s">
        <v>576</v>
      </c>
      <c r="B75" s="321" t="s">
        <v>834</v>
      </c>
      <c r="C75" s="321" t="s">
        <v>577</v>
      </c>
      <c r="D75" s="321" t="s">
        <v>578</v>
      </c>
      <c r="E75" s="321" t="s">
        <v>579</v>
      </c>
      <c r="F75" s="322" t="s">
        <v>711</v>
      </c>
      <c r="G75" s="322" t="s">
        <v>958</v>
      </c>
      <c r="H75" s="322" t="s">
        <v>961</v>
      </c>
      <c r="I75" s="322" t="s">
        <v>963</v>
      </c>
      <c r="J75" s="254"/>
    </row>
    <row r="76" spans="1:10">
      <c r="A76" s="249" t="s">
        <v>580</v>
      </c>
      <c r="B76" s="249" t="s">
        <v>782</v>
      </c>
      <c r="C76" s="249">
        <v>4.6900000000000004</v>
      </c>
      <c r="D76" s="249">
        <v>3.37</v>
      </c>
      <c r="E76" s="249">
        <v>4.2300000000000004</v>
      </c>
      <c r="F76" s="252">
        <f>ROUND((1-$H$1)*($H$13*$H$8 + $I$13)/(E76*$H$8*$H$10),2)</f>
        <v>440.35</v>
      </c>
      <c r="G76" s="249">
        <f>ROUND(E76*$H$10*(1-POWER($H$3/(1-$H$4),$H$2+1))/($H$3/(1-$H$4)),2)</f>
        <v>12275.81</v>
      </c>
      <c r="H76">
        <f>ROUND(E76*$H$10*(1-POWER((1-$H$4),$H$2+1))/$H$4,2)</f>
        <v>29584.11</v>
      </c>
      <c r="I76" s="252">
        <f>($H$16+$H$17)/G76</f>
        <v>52.256488652935701</v>
      </c>
    </row>
    <row r="77" spans="1:10">
      <c r="A77" s="249" t="s">
        <v>581</v>
      </c>
      <c r="B77" s="249" t="s">
        <v>783</v>
      </c>
      <c r="C77" s="249">
        <v>6.29</v>
      </c>
      <c r="D77" s="249">
        <v>2.37</v>
      </c>
      <c r="E77" s="249">
        <v>3.81</v>
      </c>
      <c r="F77" s="252">
        <f t="shared" ref="F77:F140" si="3">ROUND((1-$H$1)*($H$13*$H$8 + $I$13)/(E77*$H$8*$H$10),2)</f>
        <v>488.89</v>
      </c>
      <c r="G77" s="249">
        <f t="shared" ref="G77:G140" si="4">ROUND(E77*$H$10*(1-POWER($H$3/(1-$H$4),$H$2+1))/($H$3/(1-$H$4)),2)</f>
        <v>11056.94</v>
      </c>
      <c r="H77">
        <f t="shared" ref="H77:H140" si="5">ROUND(E77*$H$10*(1-POWER((1-$H$4),$H$2+1))/$H$4,2)</f>
        <v>26646.68</v>
      </c>
      <c r="I77" s="252">
        <f>($H$16+$H$17)/G77</f>
        <v>58.017021524092065</v>
      </c>
    </row>
    <row r="78" spans="1:10">
      <c r="A78" s="249" t="s">
        <v>582</v>
      </c>
      <c r="B78" s="249" t="s">
        <v>783</v>
      </c>
      <c r="C78" s="249">
        <v>5.87</v>
      </c>
      <c r="D78" s="249">
        <v>2.12</v>
      </c>
      <c r="E78" s="249">
        <v>3.99</v>
      </c>
      <c r="F78" s="252">
        <f t="shared" si="3"/>
        <v>466.84</v>
      </c>
      <c r="G78" s="249">
        <f t="shared" si="4"/>
        <v>11579.31</v>
      </c>
      <c r="H78">
        <f t="shared" si="5"/>
        <v>27905.58</v>
      </c>
      <c r="I78" s="252">
        <f t="shared" ref="I78:I141" si="6">($H$16+$H$17)/G78</f>
        <v>55.399736769340713</v>
      </c>
    </row>
    <row r="79" spans="1:10">
      <c r="A79" s="249" t="s">
        <v>583</v>
      </c>
      <c r="B79" s="249" t="s">
        <v>783</v>
      </c>
      <c r="C79" s="249">
        <v>5.24</v>
      </c>
      <c r="D79" s="249">
        <v>1.74</v>
      </c>
      <c r="E79" s="249">
        <v>3.55</v>
      </c>
      <c r="F79" s="252">
        <f t="shared" si="3"/>
        <v>524.70000000000005</v>
      </c>
      <c r="G79" s="249">
        <f t="shared" si="4"/>
        <v>10302.4</v>
      </c>
      <c r="H79">
        <f t="shared" si="5"/>
        <v>24828.27</v>
      </c>
      <c r="I79" s="252">
        <f t="shared" si="6"/>
        <v>62.266144390685142</v>
      </c>
    </row>
    <row r="80" spans="1:10">
      <c r="A80" s="249" t="s">
        <v>584</v>
      </c>
      <c r="B80" s="249" t="s">
        <v>784</v>
      </c>
      <c r="C80" s="249">
        <v>7.3</v>
      </c>
      <c r="D80" s="249">
        <v>5.65</v>
      </c>
      <c r="E80" s="249">
        <v>6.36</v>
      </c>
      <c r="F80" s="252">
        <f t="shared" si="3"/>
        <v>292.88</v>
      </c>
      <c r="G80" s="249">
        <f t="shared" si="4"/>
        <v>18457.25</v>
      </c>
      <c r="H80">
        <f t="shared" si="5"/>
        <v>44481.08</v>
      </c>
      <c r="I80" s="252">
        <f t="shared" si="6"/>
        <v>34.755487733578654</v>
      </c>
    </row>
    <row r="81" spans="1:10">
      <c r="A81" s="249" t="s">
        <v>585</v>
      </c>
      <c r="B81" s="249" t="s">
        <v>784</v>
      </c>
      <c r="C81" s="249">
        <v>7.13</v>
      </c>
      <c r="D81" s="249">
        <v>5.78</v>
      </c>
      <c r="E81" s="249">
        <v>6.58</v>
      </c>
      <c r="F81" s="252">
        <f t="shared" si="3"/>
        <v>283.08</v>
      </c>
      <c r="G81" s="249">
        <f t="shared" si="4"/>
        <v>19095.71</v>
      </c>
      <c r="H81">
        <f t="shared" si="5"/>
        <v>46019.73</v>
      </c>
      <c r="I81" s="252">
        <f t="shared" si="6"/>
        <v>33.593447217757003</v>
      </c>
    </row>
    <row r="82" spans="1:10">
      <c r="A82" s="249" t="s">
        <v>586</v>
      </c>
      <c r="B82" s="249" t="s">
        <v>784</v>
      </c>
      <c r="C82" s="249">
        <v>7.42</v>
      </c>
      <c r="D82" s="249">
        <v>6.01</v>
      </c>
      <c r="E82" s="249">
        <v>6.57</v>
      </c>
      <c r="F82" s="252">
        <f t="shared" si="3"/>
        <v>283.51</v>
      </c>
      <c r="G82" s="249">
        <f t="shared" si="4"/>
        <v>19066.689999999999</v>
      </c>
      <c r="H82">
        <f t="shared" si="5"/>
        <v>45949.79</v>
      </c>
      <c r="I82" s="252">
        <f t="shared" si="6"/>
        <v>33.644577321527471</v>
      </c>
    </row>
    <row r="83" spans="1:10">
      <c r="A83" s="249" t="s">
        <v>587</v>
      </c>
      <c r="B83" s="249" t="s">
        <v>785</v>
      </c>
      <c r="C83" s="249">
        <v>5.29</v>
      </c>
      <c r="D83" s="249">
        <v>3.88</v>
      </c>
      <c r="E83" s="249">
        <v>4.6900000000000004</v>
      </c>
      <c r="F83" s="252">
        <f t="shared" si="3"/>
        <v>397.16</v>
      </c>
      <c r="G83" s="249">
        <f t="shared" si="4"/>
        <v>13610.77</v>
      </c>
      <c r="H83">
        <f t="shared" si="5"/>
        <v>32801.300000000003</v>
      </c>
      <c r="I83" s="252">
        <f t="shared" si="6"/>
        <v>47.13111205101508</v>
      </c>
    </row>
    <row r="84" spans="1:10">
      <c r="A84" s="249" t="s">
        <v>588</v>
      </c>
      <c r="B84" s="249" t="s">
        <v>786</v>
      </c>
      <c r="C84" s="249">
        <v>6.09</v>
      </c>
      <c r="D84" s="249">
        <v>3.31</v>
      </c>
      <c r="E84" s="249">
        <v>5.0999999999999996</v>
      </c>
      <c r="F84" s="252">
        <f t="shared" si="3"/>
        <v>365.23</v>
      </c>
      <c r="G84" s="249">
        <f t="shared" si="4"/>
        <v>14800.63</v>
      </c>
      <c r="H84">
        <f t="shared" si="5"/>
        <v>35668.79</v>
      </c>
      <c r="I84" s="252">
        <f t="shared" si="6"/>
        <v>43.342123002236704</v>
      </c>
    </row>
    <row r="85" spans="1:10">
      <c r="A85" s="249" t="s">
        <v>589</v>
      </c>
      <c r="B85" s="249" t="s">
        <v>786</v>
      </c>
      <c r="C85" s="249">
        <v>6.19</v>
      </c>
      <c r="D85" s="249">
        <v>3.42</v>
      </c>
      <c r="E85" s="249">
        <v>5.38</v>
      </c>
      <c r="F85" s="252">
        <f t="shared" si="3"/>
        <v>346.22</v>
      </c>
      <c r="G85" s="249">
        <f t="shared" si="4"/>
        <v>15613.21</v>
      </c>
      <c r="H85">
        <f t="shared" si="5"/>
        <v>37627.07</v>
      </c>
      <c r="I85" s="252">
        <f t="shared" si="6"/>
        <v>41.086408622608332</v>
      </c>
    </row>
    <row r="86" spans="1:10">
      <c r="A86" s="249" t="s">
        <v>590</v>
      </c>
      <c r="B86" s="249" t="s">
        <v>786</v>
      </c>
      <c r="C86" s="249">
        <v>8.6999999999999993</v>
      </c>
      <c r="D86" s="249">
        <v>6.97</v>
      </c>
      <c r="E86" s="249">
        <v>7.66</v>
      </c>
      <c r="F86" s="252">
        <f t="shared" si="3"/>
        <v>243.17</v>
      </c>
      <c r="G86" s="249">
        <f t="shared" si="4"/>
        <v>22229.96</v>
      </c>
      <c r="H86">
        <f t="shared" si="5"/>
        <v>53573.120000000003</v>
      </c>
      <c r="I86" s="252">
        <f t="shared" si="6"/>
        <v>28.857034649211901</v>
      </c>
    </row>
    <row r="87" spans="1:10">
      <c r="A87" s="249" t="s">
        <v>591</v>
      </c>
      <c r="B87" s="249" t="s">
        <v>786</v>
      </c>
      <c r="C87" s="249">
        <v>5.24</v>
      </c>
      <c r="D87" s="249">
        <v>4.29</v>
      </c>
      <c r="E87" s="249">
        <v>4.7699999999999996</v>
      </c>
      <c r="F87" s="252">
        <f t="shared" si="3"/>
        <v>390.5</v>
      </c>
      <c r="G87" s="249">
        <f t="shared" si="4"/>
        <v>13842.94</v>
      </c>
      <c r="H87">
        <f t="shared" si="5"/>
        <v>33360.81</v>
      </c>
      <c r="I87" s="252">
        <f t="shared" si="6"/>
        <v>46.340641942433798</v>
      </c>
    </row>
    <row r="88" spans="1:10">
      <c r="A88" s="249" t="s">
        <v>592</v>
      </c>
      <c r="B88" s="249" t="s">
        <v>786</v>
      </c>
      <c r="C88" s="249">
        <v>6.14</v>
      </c>
      <c r="D88" s="249">
        <v>5.03</v>
      </c>
      <c r="E88" s="249">
        <v>5.62</v>
      </c>
      <c r="F88" s="252">
        <f t="shared" si="3"/>
        <v>331.44</v>
      </c>
      <c r="G88" s="249">
        <f t="shared" si="4"/>
        <v>16309.71</v>
      </c>
      <c r="H88">
        <f t="shared" si="5"/>
        <v>39305.61</v>
      </c>
      <c r="I88" s="252">
        <f t="shared" si="6"/>
        <v>39.331829074250528</v>
      </c>
    </row>
    <row r="89" spans="1:10">
      <c r="A89" s="249" t="s">
        <v>593</v>
      </c>
      <c r="B89" s="249" t="s">
        <v>786</v>
      </c>
      <c r="C89" s="249">
        <v>6.35</v>
      </c>
      <c r="D89" s="249">
        <v>5.35</v>
      </c>
      <c r="E89" s="249">
        <v>5.87</v>
      </c>
      <c r="F89" s="252">
        <f t="shared" si="3"/>
        <v>317.32</v>
      </c>
      <c r="G89" s="249">
        <f t="shared" si="4"/>
        <v>17035.23</v>
      </c>
      <c r="H89">
        <f t="shared" si="5"/>
        <v>41054.080000000002</v>
      </c>
      <c r="I89" s="252">
        <f t="shared" si="6"/>
        <v>37.65671059155612</v>
      </c>
    </row>
    <row r="90" spans="1:10">
      <c r="A90" s="249" t="s">
        <v>594</v>
      </c>
      <c r="B90" s="249" t="s">
        <v>786</v>
      </c>
      <c r="C90" s="249">
        <v>6.52</v>
      </c>
      <c r="D90" s="249">
        <v>5.42</v>
      </c>
      <c r="E90" s="249">
        <v>5.94</v>
      </c>
      <c r="F90" s="252">
        <f t="shared" si="3"/>
        <v>313.58</v>
      </c>
      <c r="G90" s="249">
        <f t="shared" si="4"/>
        <v>17238.38</v>
      </c>
      <c r="H90">
        <f t="shared" si="5"/>
        <v>41543.65</v>
      </c>
      <c r="I90" s="252">
        <f t="shared" si="6"/>
        <v>37.212935668583391</v>
      </c>
    </row>
    <row r="91" spans="1:10">
      <c r="A91" s="249" t="s">
        <v>595</v>
      </c>
      <c r="B91" s="249" t="s">
        <v>786</v>
      </c>
      <c r="C91" s="249">
        <v>6.47</v>
      </c>
      <c r="D91" s="249">
        <v>4.4000000000000004</v>
      </c>
      <c r="E91" s="249">
        <v>5.6</v>
      </c>
      <c r="F91" s="252">
        <f t="shared" si="3"/>
        <v>332.62</v>
      </c>
      <c r="G91" s="249">
        <f t="shared" si="4"/>
        <v>16251.67</v>
      </c>
      <c r="H91">
        <f t="shared" si="5"/>
        <v>39165.730000000003</v>
      </c>
      <c r="I91" s="252">
        <f t="shared" si="6"/>
        <v>39.472295829942063</v>
      </c>
    </row>
    <row r="92" spans="1:10">
      <c r="A92" s="249" t="s">
        <v>596</v>
      </c>
      <c r="B92" s="249" t="s">
        <v>787</v>
      </c>
      <c r="C92" s="249">
        <v>5.72</v>
      </c>
      <c r="D92" s="249">
        <v>4.4400000000000004</v>
      </c>
      <c r="E92" s="249">
        <v>4.87</v>
      </c>
      <c r="F92" s="252">
        <f t="shared" si="3"/>
        <v>382.48</v>
      </c>
      <c r="G92" s="249">
        <f t="shared" si="4"/>
        <v>14133.15</v>
      </c>
      <c r="H92">
        <f t="shared" si="5"/>
        <v>34060.199999999997</v>
      </c>
      <c r="I92" s="252">
        <f t="shared" si="6"/>
        <v>45.389083535559628</v>
      </c>
    </row>
    <row r="93" spans="1:10">
      <c r="A93" s="249" t="s">
        <v>597</v>
      </c>
      <c r="B93" s="249" t="s">
        <v>787</v>
      </c>
      <c r="C93" s="249">
        <v>7.47</v>
      </c>
      <c r="D93" s="249">
        <v>5.15</v>
      </c>
      <c r="E93" s="249">
        <v>5.69</v>
      </c>
      <c r="F93" s="252">
        <f t="shared" si="3"/>
        <v>327.36</v>
      </c>
      <c r="G93" s="249">
        <f t="shared" si="4"/>
        <v>16512.849999999999</v>
      </c>
      <c r="H93">
        <f t="shared" si="5"/>
        <v>39795.18</v>
      </c>
      <c r="I93" s="252">
        <f t="shared" si="6"/>
        <v>38.847971487090028</v>
      </c>
    </row>
    <row r="94" spans="1:10">
      <c r="A94" s="249" t="s">
        <v>598</v>
      </c>
      <c r="B94" s="249" t="s">
        <v>787</v>
      </c>
      <c r="C94" s="249">
        <v>6.34</v>
      </c>
      <c r="D94" s="249">
        <v>5.23</v>
      </c>
      <c r="E94" s="249">
        <v>5.86</v>
      </c>
      <c r="F94" s="252">
        <f t="shared" si="3"/>
        <v>317.86</v>
      </c>
      <c r="G94" s="249">
        <f t="shared" si="4"/>
        <v>17006.21</v>
      </c>
      <c r="H94">
        <f t="shared" si="5"/>
        <v>40984.14</v>
      </c>
      <c r="I94" s="252">
        <f t="shared" si="6"/>
        <v>37.720969338294339</v>
      </c>
    </row>
    <row r="95" spans="1:10">
      <c r="A95" s="249" t="s">
        <v>599</v>
      </c>
      <c r="B95" s="249" t="s">
        <v>787</v>
      </c>
      <c r="C95" s="249">
        <v>5.86</v>
      </c>
      <c r="D95" s="249">
        <v>3.56</v>
      </c>
      <c r="E95" s="249">
        <v>5.08</v>
      </c>
      <c r="F95" s="252">
        <f t="shared" si="3"/>
        <v>366.67</v>
      </c>
      <c r="G95" s="249">
        <f t="shared" si="4"/>
        <v>14742.58</v>
      </c>
      <c r="H95">
        <f t="shared" si="5"/>
        <v>35528.910000000003</v>
      </c>
      <c r="I95" s="252">
        <f t="shared" si="6"/>
        <v>43.512785819754384</v>
      </c>
    </row>
    <row r="96" spans="1:10">
      <c r="A96" s="249" t="s">
        <v>849</v>
      </c>
      <c r="B96" s="249" t="s">
        <v>788</v>
      </c>
      <c r="C96" s="249">
        <f>C119/2+C147/2</f>
        <v>4.6199999999999992</v>
      </c>
      <c r="D96" s="249">
        <f>D119/2+D147/2</f>
        <v>3.01</v>
      </c>
      <c r="E96" s="249">
        <f>E119/2+E147/2</f>
        <v>3.96</v>
      </c>
      <c r="F96" s="252">
        <f t="shared" si="3"/>
        <v>470.38</v>
      </c>
      <c r="G96" s="249">
        <f t="shared" si="4"/>
        <v>11492.25</v>
      </c>
      <c r="H96">
        <f t="shared" si="5"/>
        <v>27695.759999999998</v>
      </c>
      <c r="I96" s="252">
        <f t="shared" si="6"/>
        <v>55.81941969332329</v>
      </c>
      <c r="J96" t="s">
        <v>850</v>
      </c>
    </row>
    <row r="97" spans="1:14">
      <c r="A97" s="249" t="s">
        <v>835</v>
      </c>
      <c r="B97" s="249" t="s">
        <v>790</v>
      </c>
      <c r="C97" s="249">
        <v>4.6900000000000004</v>
      </c>
      <c r="D97" s="249">
        <v>3.37</v>
      </c>
      <c r="E97" s="249">
        <v>4.2300000000000004</v>
      </c>
      <c r="F97" s="252">
        <f t="shared" si="3"/>
        <v>440.35</v>
      </c>
      <c r="G97" s="249">
        <f t="shared" si="4"/>
        <v>12275.81</v>
      </c>
      <c r="H97">
        <f t="shared" si="5"/>
        <v>29584.11</v>
      </c>
      <c r="I97" s="252">
        <f t="shared" si="6"/>
        <v>52.256488652935701</v>
      </c>
    </row>
    <row r="98" spans="1:14">
      <c r="A98" s="249" t="s">
        <v>851</v>
      </c>
      <c r="B98" s="249" t="s">
        <v>789</v>
      </c>
      <c r="C98" s="249">
        <f>C97/2+C123/2</f>
        <v>4.7</v>
      </c>
      <c r="D98" s="249">
        <f>ROUND(D97/2+D123/2,2)</f>
        <v>3.61</v>
      </c>
      <c r="E98" s="249">
        <f>E97/2+E123/2</f>
        <v>4.3499999999999996</v>
      </c>
      <c r="F98" s="252">
        <f t="shared" si="3"/>
        <v>428.2</v>
      </c>
      <c r="G98" s="249">
        <f t="shared" si="4"/>
        <v>12624.06</v>
      </c>
      <c r="H98">
        <f t="shared" si="5"/>
        <v>30423.38</v>
      </c>
      <c r="I98" s="252">
        <f t="shared" si="6"/>
        <v>50.814930059790164</v>
      </c>
      <c r="J98" t="s">
        <v>852</v>
      </c>
    </row>
    <row r="99" spans="1:14">
      <c r="A99" s="249" t="s">
        <v>600</v>
      </c>
      <c r="B99" s="249" t="s">
        <v>791</v>
      </c>
      <c r="C99" s="249">
        <v>5.98</v>
      </c>
      <c r="D99" s="249">
        <v>4.92</v>
      </c>
      <c r="E99" s="249">
        <v>5.49</v>
      </c>
      <c r="F99" s="252">
        <f t="shared" si="3"/>
        <v>339.29</v>
      </c>
      <c r="G99" s="249">
        <f t="shared" si="4"/>
        <v>15932.44</v>
      </c>
      <c r="H99">
        <f t="shared" si="5"/>
        <v>38396.400000000001</v>
      </c>
      <c r="I99" s="252">
        <f t="shared" si="6"/>
        <v>40.263181657711847</v>
      </c>
    </row>
    <row r="100" spans="1:14">
      <c r="A100" s="249" t="s">
        <v>601</v>
      </c>
      <c r="B100" s="249" t="s">
        <v>791</v>
      </c>
      <c r="C100" s="249">
        <v>5.31</v>
      </c>
      <c r="D100" s="249">
        <v>4.58</v>
      </c>
      <c r="E100" s="249">
        <v>4.99</v>
      </c>
      <c r="F100" s="252">
        <f t="shared" si="3"/>
        <v>373.28</v>
      </c>
      <c r="G100" s="249">
        <f t="shared" si="4"/>
        <v>14481.4</v>
      </c>
      <c r="H100">
        <f t="shared" si="5"/>
        <v>34899.46</v>
      </c>
      <c r="I100" s="252">
        <f t="shared" si="6"/>
        <v>44.29756280267064</v>
      </c>
    </row>
    <row r="101" spans="1:14">
      <c r="A101" s="249" t="s">
        <v>602</v>
      </c>
      <c r="B101" s="249" t="s">
        <v>791</v>
      </c>
      <c r="C101" s="249">
        <v>5.81</v>
      </c>
      <c r="D101" s="249">
        <v>4.71</v>
      </c>
      <c r="E101" s="249">
        <v>5.27</v>
      </c>
      <c r="F101" s="252">
        <f t="shared" si="3"/>
        <v>353.45</v>
      </c>
      <c r="G101" s="249">
        <f t="shared" si="4"/>
        <v>15293.98</v>
      </c>
      <c r="H101">
        <f t="shared" si="5"/>
        <v>36857.75</v>
      </c>
      <c r="I101" s="252">
        <f t="shared" si="6"/>
        <v>41.944001886402006</v>
      </c>
      <c r="J101" s="248"/>
      <c r="N101" s="248"/>
    </row>
    <row r="102" spans="1:14">
      <c r="A102" s="249" t="s">
        <v>603</v>
      </c>
      <c r="B102" s="249" t="s">
        <v>791</v>
      </c>
      <c r="C102" s="249">
        <v>6.26</v>
      </c>
      <c r="D102" s="249">
        <v>5.05</v>
      </c>
      <c r="E102" s="249">
        <v>5.62</v>
      </c>
      <c r="F102" s="252">
        <f t="shared" si="3"/>
        <v>331.44</v>
      </c>
      <c r="G102" s="249">
        <f t="shared" si="4"/>
        <v>16309.71</v>
      </c>
      <c r="H102">
        <f t="shared" si="5"/>
        <v>39305.61</v>
      </c>
      <c r="I102" s="252">
        <f t="shared" si="6"/>
        <v>39.331829074250528</v>
      </c>
    </row>
    <row r="103" spans="1:14">
      <c r="A103" s="249" t="s">
        <v>604</v>
      </c>
      <c r="B103" s="249" t="s">
        <v>791</v>
      </c>
      <c r="C103" s="249">
        <v>6.16</v>
      </c>
      <c r="D103" s="249">
        <v>5.26</v>
      </c>
      <c r="E103" s="249">
        <v>5.67</v>
      </c>
      <c r="F103" s="252">
        <f t="shared" si="3"/>
        <v>328.52</v>
      </c>
      <c r="G103" s="249">
        <f t="shared" si="4"/>
        <v>16454.810000000001</v>
      </c>
      <c r="H103">
        <f t="shared" si="5"/>
        <v>39655.300000000003</v>
      </c>
      <c r="I103" s="252">
        <f t="shared" si="6"/>
        <v>38.984997454883676</v>
      </c>
    </row>
    <row r="104" spans="1:14">
      <c r="A104" s="249" t="s">
        <v>605</v>
      </c>
      <c r="B104" s="249" t="s">
        <v>792</v>
      </c>
      <c r="C104" s="249">
        <v>5.16</v>
      </c>
      <c r="D104" s="249">
        <v>4.09</v>
      </c>
      <c r="E104" s="249">
        <v>4.74</v>
      </c>
      <c r="F104" s="252">
        <f t="shared" si="3"/>
        <v>392.97</v>
      </c>
      <c r="G104" s="249">
        <f t="shared" si="4"/>
        <v>13755.88</v>
      </c>
      <c r="H104">
        <f t="shared" si="5"/>
        <v>33150.99</v>
      </c>
      <c r="I104" s="252">
        <f t="shared" si="6"/>
        <v>46.633928616024171</v>
      </c>
    </row>
    <row r="105" spans="1:14">
      <c r="A105" s="249" t="s">
        <v>606</v>
      </c>
      <c r="B105" s="249" t="s">
        <v>792</v>
      </c>
      <c r="C105" s="249">
        <v>5.41</v>
      </c>
      <c r="D105" s="249">
        <v>4.26</v>
      </c>
      <c r="E105" s="249">
        <v>4.99</v>
      </c>
      <c r="F105" s="252">
        <f t="shared" si="3"/>
        <v>373.28</v>
      </c>
      <c r="G105" s="249">
        <f t="shared" si="4"/>
        <v>14481.4</v>
      </c>
      <c r="H105">
        <f t="shared" si="5"/>
        <v>34899.46</v>
      </c>
      <c r="I105" s="252">
        <f t="shared" si="6"/>
        <v>44.29756280267064</v>
      </c>
    </row>
    <row r="106" spans="1:14">
      <c r="A106" s="249" t="s">
        <v>607</v>
      </c>
      <c r="B106" s="249" t="s">
        <v>793</v>
      </c>
      <c r="C106" s="249">
        <v>6.71</v>
      </c>
      <c r="D106" s="249">
        <v>5.59</v>
      </c>
      <c r="E106" s="249">
        <v>6.02</v>
      </c>
      <c r="F106" s="252">
        <f t="shared" si="3"/>
        <v>309.42</v>
      </c>
      <c r="G106" s="249">
        <f t="shared" si="4"/>
        <v>17470.54</v>
      </c>
      <c r="H106">
        <f t="shared" si="5"/>
        <v>42103.16</v>
      </c>
      <c r="I106" s="252">
        <f t="shared" si="6"/>
        <v>36.718425759627038</v>
      </c>
    </row>
    <row r="107" spans="1:14">
      <c r="A107" s="249" t="s">
        <v>608</v>
      </c>
      <c r="B107" s="249" t="s">
        <v>797</v>
      </c>
      <c r="C107" s="249">
        <v>4.8</v>
      </c>
      <c r="D107" s="249">
        <v>3.73</v>
      </c>
      <c r="E107" s="249">
        <v>4.4000000000000004</v>
      </c>
      <c r="F107" s="252">
        <f t="shared" si="3"/>
        <v>423.34</v>
      </c>
      <c r="G107" s="249">
        <f t="shared" si="4"/>
        <v>12769.17</v>
      </c>
      <c r="H107">
        <f t="shared" si="5"/>
        <v>30773.07</v>
      </c>
      <c r="I107" s="252">
        <f t="shared" si="6"/>
        <v>50.237464609727539</v>
      </c>
    </row>
    <row r="108" spans="1:14">
      <c r="A108" s="249" t="s">
        <v>609</v>
      </c>
      <c r="B108" s="249" t="s">
        <v>794</v>
      </c>
      <c r="C108" s="249">
        <v>5.42</v>
      </c>
      <c r="D108" s="249">
        <v>3.41</v>
      </c>
      <c r="E108" s="249">
        <v>4.7</v>
      </c>
      <c r="F108" s="252">
        <f t="shared" si="3"/>
        <v>396.32</v>
      </c>
      <c r="G108" s="249">
        <f t="shared" si="4"/>
        <v>13639.79</v>
      </c>
      <c r="H108">
        <f t="shared" si="5"/>
        <v>32871.24</v>
      </c>
      <c r="I108" s="252">
        <f t="shared" si="6"/>
        <v>47.030835956462269</v>
      </c>
    </row>
    <row r="109" spans="1:14">
      <c r="A109" s="249" t="s">
        <v>610</v>
      </c>
      <c r="B109" s="249" t="s">
        <v>794</v>
      </c>
      <c r="C109" s="249">
        <v>5.83</v>
      </c>
      <c r="D109" s="249">
        <v>3.33</v>
      </c>
      <c r="E109" s="249">
        <v>4.92</v>
      </c>
      <c r="F109" s="252">
        <f t="shared" si="3"/>
        <v>378.59</v>
      </c>
      <c r="G109" s="249">
        <f t="shared" si="4"/>
        <v>14278.25</v>
      </c>
      <c r="H109">
        <f t="shared" si="5"/>
        <v>34409.89</v>
      </c>
      <c r="I109" s="252">
        <f t="shared" si="6"/>
        <v>44.92782560682118</v>
      </c>
    </row>
    <row r="110" spans="1:14">
      <c r="A110" s="249" t="s">
        <v>611</v>
      </c>
      <c r="B110" s="249" t="s">
        <v>795</v>
      </c>
      <c r="C110" s="249">
        <v>4.08</v>
      </c>
      <c r="D110" s="249">
        <v>1.47</v>
      </c>
      <c r="E110" s="249">
        <v>3.14</v>
      </c>
      <c r="F110" s="252">
        <f t="shared" si="3"/>
        <v>593.21</v>
      </c>
      <c r="G110" s="249">
        <f t="shared" si="4"/>
        <v>9112.5400000000009</v>
      </c>
      <c r="H110">
        <f t="shared" si="5"/>
        <v>21960.78</v>
      </c>
      <c r="I110" s="252">
        <f t="shared" si="6"/>
        <v>70.396478475879888</v>
      </c>
    </row>
    <row r="111" spans="1:14">
      <c r="A111" s="249" t="s">
        <v>612</v>
      </c>
      <c r="B111" s="249" t="s">
        <v>796</v>
      </c>
      <c r="C111" s="249">
        <v>5.0199999999999996</v>
      </c>
      <c r="D111" s="249">
        <v>2.5499999999999998</v>
      </c>
      <c r="E111" s="249">
        <v>4.21</v>
      </c>
      <c r="F111" s="252">
        <f t="shared" si="3"/>
        <v>442.44</v>
      </c>
      <c r="G111" s="249">
        <f t="shared" si="4"/>
        <v>12217.77</v>
      </c>
      <c r="H111">
        <f t="shared" si="5"/>
        <v>29444.240000000002</v>
      </c>
      <c r="I111" s="252">
        <f t="shared" si="6"/>
        <v>52.504730893656905</v>
      </c>
    </row>
    <row r="112" spans="1:14">
      <c r="A112" s="249" t="s">
        <v>613</v>
      </c>
      <c r="B112" s="249" t="s">
        <v>798</v>
      </c>
      <c r="C112" s="249">
        <v>4.1399999999999997</v>
      </c>
      <c r="D112" s="249">
        <v>5.28</v>
      </c>
      <c r="E112" s="249">
        <v>5.79</v>
      </c>
      <c r="F112" s="252">
        <f t="shared" si="3"/>
        <v>321.70999999999998</v>
      </c>
      <c r="G112" s="249">
        <f t="shared" si="4"/>
        <v>16803.060000000001</v>
      </c>
      <c r="H112">
        <f t="shared" si="5"/>
        <v>40494.57</v>
      </c>
      <c r="I112" s="252">
        <f t="shared" si="6"/>
        <v>38.177018112807694</v>
      </c>
    </row>
    <row r="113" spans="1:9">
      <c r="A113" s="249" t="s">
        <v>614</v>
      </c>
      <c r="B113" s="249" t="s">
        <v>798</v>
      </c>
      <c r="C113" s="249">
        <v>5.08</v>
      </c>
      <c r="D113" s="249">
        <v>3.62</v>
      </c>
      <c r="E113" s="249">
        <v>4.57</v>
      </c>
      <c r="F113" s="252">
        <f t="shared" si="3"/>
        <v>407.59</v>
      </c>
      <c r="G113" s="249">
        <f t="shared" si="4"/>
        <v>13262.52</v>
      </c>
      <c r="H113">
        <f t="shared" si="5"/>
        <v>31962.03</v>
      </c>
      <c r="I113" s="252">
        <f t="shared" si="6"/>
        <v>48.368690563376681</v>
      </c>
    </row>
    <row r="114" spans="1:9">
      <c r="A114" s="249" t="s">
        <v>615</v>
      </c>
      <c r="B114" s="249" t="s">
        <v>799</v>
      </c>
      <c r="C114" s="249">
        <v>5.97</v>
      </c>
      <c r="D114" s="249">
        <v>3.6</v>
      </c>
      <c r="E114" s="249">
        <v>4.9400000000000004</v>
      </c>
      <c r="F114" s="252">
        <f t="shared" si="3"/>
        <v>377.06</v>
      </c>
      <c r="G114" s="249">
        <f t="shared" si="4"/>
        <v>14336.29</v>
      </c>
      <c r="H114">
        <f t="shared" si="5"/>
        <v>34549.769999999997</v>
      </c>
      <c r="I114" s="252">
        <f t="shared" si="6"/>
        <v>44.745936777966584</v>
      </c>
    </row>
    <row r="115" spans="1:9">
      <c r="A115" s="249" t="s">
        <v>616</v>
      </c>
      <c r="B115" s="249" t="s">
        <v>800</v>
      </c>
      <c r="C115" s="249">
        <v>5.73</v>
      </c>
      <c r="D115" s="249">
        <v>4.29</v>
      </c>
      <c r="E115" s="249">
        <v>4.93</v>
      </c>
      <c r="F115" s="252">
        <f t="shared" si="3"/>
        <v>377.83</v>
      </c>
      <c r="G115" s="249">
        <f t="shared" si="4"/>
        <v>14307.27</v>
      </c>
      <c r="H115">
        <f t="shared" si="5"/>
        <v>34479.83</v>
      </c>
      <c r="I115" s="252">
        <f t="shared" si="6"/>
        <v>44.836696726251375</v>
      </c>
    </row>
    <row r="116" spans="1:9">
      <c r="A116" s="249" t="s">
        <v>617</v>
      </c>
      <c r="B116" s="249" t="s">
        <v>800</v>
      </c>
      <c r="C116" s="249">
        <v>5.71</v>
      </c>
      <c r="D116" s="249">
        <v>3.63</v>
      </c>
      <c r="E116" s="249">
        <v>4.92</v>
      </c>
      <c r="F116" s="252">
        <f t="shared" si="3"/>
        <v>378.59</v>
      </c>
      <c r="G116" s="249">
        <f t="shared" si="4"/>
        <v>14278.25</v>
      </c>
      <c r="H116">
        <f t="shared" si="5"/>
        <v>34409.89</v>
      </c>
      <c r="I116" s="252">
        <f t="shared" si="6"/>
        <v>44.92782560682118</v>
      </c>
    </row>
    <row r="117" spans="1:9">
      <c r="A117" s="249" t="s">
        <v>618</v>
      </c>
      <c r="B117" s="249" t="s">
        <v>800</v>
      </c>
      <c r="C117" s="249">
        <v>4.99</v>
      </c>
      <c r="D117" s="249">
        <v>3.87</v>
      </c>
      <c r="E117" s="249">
        <v>4.63</v>
      </c>
      <c r="F117" s="252">
        <f t="shared" si="3"/>
        <v>402.31</v>
      </c>
      <c r="G117" s="249">
        <f t="shared" si="4"/>
        <v>13436.65</v>
      </c>
      <c r="H117">
        <f t="shared" si="5"/>
        <v>32381.66</v>
      </c>
      <c r="I117" s="252">
        <f t="shared" si="6"/>
        <v>47.74186467390269</v>
      </c>
    </row>
    <row r="118" spans="1:9">
      <c r="A118" s="249" t="s">
        <v>619</v>
      </c>
      <c r="B118" s="249" t="s">
        <v>803</v>
      </c>
      <c r="C118" s="249">
        <v>4.38</v>
      </c>
      <c r="D118" s="249">
        <v>3.33</v>
      </c>
      <c r="E118" s="249">
        <v>4.05</v>
      </c>
      <c r="F118" s="252">
        <f t="shared" si="3"/>
        <v>459.92</v>
      </c>
      <c r="G118" s="249">
        <f t="shared" si="4"/>
        <v>11753.44</v>
      </c>
      <c r="H118">
        <f t="shared" si="5"/>
        <v>28325.21</v>
      </c>
      <c r="I118" s="252">
        <f t="shared" si="6"/>
        <v>54.578976535430861</v>
      </c>
    </row>
    <row r="119" spans="1:9">
      <c r="A119" s="249" t="s">
        <v>620</v>
      </c>
      <c r="B119" s="249" t="s">
        <v>803</v>
      </c>
      <c r="C119" s="249">
        <v>4.2699999999999996</v>
      </c>
      <c r="D119" s="249">
        <v>2.99</v>
      </c>
      <c r="E119" s="249">
        <v>3.84</v>
      </c>
      <c r="F119" s="252">
        <f t="shared" si="3"/>
        <v>485.07</v>
      </c>
      <c r="G119" s="249">
        <f t="shared" si="4"/>
        <v>11144</v>
      </c>
      <c r="H119">
        <f t="shared" si="5"/>
        <v>26856.5</v>
      </c>
      <c r="I119" s="252">
        <f t="shared" si="6"/>
        <v>57.56377655873964</v>
      </c>
    </row>
    <row r="120" spans="1:9">
      <c r="A120" s="249" t="s">
        <v>621</v>
      </c>
      <c r="B120" s="249" t="s">
        <v>803</v>
      </c>
      <c r="C120" s="249">
        <v>4.4800000000000004</v>
      </c>
      <c r="D120" s="249">
        <v>3.06</v>
      </c>
      <c r="E120" s="249">
        <v>3.99</v>
      </c>
      <c r="F120" s="252">
        <f t="shared" si="3"/>
        <v>466.84</v>
      </c>
      <c r="G120" s="249">
        <f t="shared" si="4"/>
        <v>11579.31</v>
      </c>
      <c r="H120">
        <f t="shared" si="5"/>
        <v>27905.58</v>
      </c>
      <c r="I120" s="252">
        <f t="shared" si="6"/>
        <v>55.399736769340713</v>
      </c>
    </row>
    <row r="121" spans="1:9">
      <c r="A121" s="249" t="s">
        <v>622</v>
      </c>
      <c r="B121" s="249" t="s">
        <v>803</v>
      </c>
      <c r="C121" s="249">
        <v>4.5999999999999996</v>
      </c>
      <c r="D121" s="249">
        <v>2.33</v>
      </c>
      <c r="E121" s="249">
        <v>3.79</v>
      </c>
      <c r="F121" s="252">
        <f t="shared" si="3"/>
        <v>491.47</v>
      </c>
      <c r="G121" s="249">
        <f t="shared" si="4"/>
        <v>10998.9</v>
      </c>
      <c r="H121">
        <f t="shared" si="5"/>
        <v>26506.81</v>
      </c>
      <c r="I121" s="252">
        <f t="shared" si="6"/>
        <v>58.323171041703681</v>
      </c>
    </row>
    <row r="122" spans="1:9">
      <c r="A122" s="249" t="s">
        <v>623</v>
      </c>
      <c r="B122" s="249" t="s">
        <v>803</v>
      </c>
      <c r="C122" s="249">
        <v>4.62</v>
      </c>
      <c r="D122" s="249">
        <v>3.09</v>
      </c>
      <c r="E122" s="249">
        <v>4.0999999999999996</v>
      </c>
      <c r="F122" s="252">
        <f t="shared" si="3"/>
        <v>454.31</v>
      </c>
      <c r="G122" s="249">
        <f t="shared" si="4"/>
        <v>11898.54</v>
      </c>
      <c r="H122">
        <f t="shared" si="5"/>
        <v>28674.91</v>
      </c>
      <c r="I122" s="252">
        <f t="shared" si="6"/>
        <v>53.913398280007002</v>
      </c>
    </row>
    <row r="123" spans="1:9">
      <c r="A123" s="249" t="s">
        <v>624</v>
      </c>
      <c r="B123" s="249" t="s">
        <v>802</v>
      </c>
      <c r="C123" s="249">
        <v>4.71</v>
      </c>
      <c r="D123" s="249">
        <v>3.84</v>
      </c>
      <c r="E123" s="249">
        <v>4.47</v>
      </c>
      <c r="F123" s="252">
        <f t="shared" si="3"/>
        <v>416.71</v>
      </c>
      <c r="G123" s="249">
        <f t="shared" si="4"/>
        <v>12972.31</v>
      </c>
      <c r="H123">
        <f t="shared" si="5"/>
        <v>31262.639999999999</v>
      </c>
      <c r="I123" s="252">
        <f t="shared" si="6"/>
        <v>49.4507706006559</v>
      </c>
    </row>
    <row r="124" spans="1:9">
      <c r="A124" s="249" t="s">
        <v>625</v>
      </c>
      <c r="B124" s="249" t="s">
        <v>801</v>
      </c>
      <c r="C124" s="249">
        <v>5.62</v>
      </c>
      <c r="D124" s="249">
        <v>2.57</v>
      </c>
      <c r="E124" s="249">
        <v>4.1900000000000004</v>
      </c>
      <c r="F124" s="252">
        <f t="shared" si="3"/>
        <v>444.56</v>
      </c>
      <c r="G124" s="249">
        <f t="shared" si="4"/>
        <v>12159.73</v>
      </c>
      <c r="H124">
        <f t="shared" si="5"/>
        <v>29304.36</v>
      </c>
      <c r="I124" s="252">
        <f t="shared" si="6"/>
        <v>52.755342920492033</v>
      </c>
    </row>
    <row r="125" spans="1:9">
      <c r="A125" s="249" t="s">
        <v>626</v>
      </c>
      <c r="B125" s="249" t="s">
        <v>801</v>
      </c>
      <c r="C125" s="249">
        <v>5.2</v>
      </c>
      <c r="D125" s="249">
        <v>3.56</v>
      </c>
      <c r="E125" s="249">
        <v>4.51</v>
      </c>
      <c r="F125" s="252">
        <f t="shared" si="3"/>
        <v>413.01</v>
      </c>
      <c r="G125" s="249">
        <f t="shared" si="4"/>
        <v>13088.4</v>
      </c>
      <c r="H125">
        <f t="shared" si="5"/>
        <v>31542.400000000001</v>
      </c>
      <c r="I125" s="252">
        <f t="shared" si="6"/>
        <v>49.012157786329468</v>
      </c>
    </row>
    <row r="126" spans="1:9">
      <c r="A126" s="249" t="s">
        <v>627</v>
      </c>
      <c r="B126" s="249" t="s">
        <v>804</v>
      </c>
      <c r="C126" s="249">
        <v>4.71</v>
      </c>
      <c r="D126" s="249">
        <v>2.7</v>
      </c>
      <c r="E126" s="249">
        <v>4</v>
      </c>
      <c r="F126" s="252">
        <f t="shared" si="3"/>
        <v>465.67</v>
      </c>
      <c r="G126" s="249">
        <f t="shared" si="4"/>
        <v>11608.33</v>
      </c>
      <c r="H126">
        <f t="shared" si="5"/>
        <v>27975.52</v>
      </c>
      <c r="I126" s="252">
        <f t="shared" si="6"/>
        <v>55.261241364657501</v>
      </c>
    </row>
    <row r="127" spans="1:9">
      <c r="A127" s="249" t="s">
        <v>628</v>
      </c>
      <c r="B127" s="249" t="s">
        <v>804</v>
      </c>
      <c r="C127" s="249">
        <v>4.83</v>
      </c>
      <c r="D127" s="249">
        <v>2.33</v>
      </c>
      <c r="E127" s="249">
        <v>4.2</v>
      </c>
      <c r="F127" s="252">
        <f t="shared" si="3"/>
        <v>443.5</v>
      </c>
      <c r="G127" s="249">
        <f t="shared" si="4"/>
        <v>12188.75</v>
      </c>
      <c r="H127">
        <f t="shared" si="5"/>
        <v>29374.3</v>
      </c>
      <c r="I127" s="252">
        <f t="shared" si="6"/>
        <v>52.629738567990529</v>
      </c>
    </row>
    <row r="128" spans="1:9">
      <c r="A128" s="249" t="s">
        <v>629</v>
      </c>
      <c r="B128" s="249" t="s">
        <v>805</v>
      </c>
      <c r="C128" s="249">
        <v>5.43</v>
      </c>
      <c r="D128" s="249">
        <v>3.53</v>
      </c>
      <c r="E128" s="249">
        <v>4.53</v>
      </c>
      <c r="F128" s="252">
        <f t="shared" si="3"/>
        <v>411.19</v>
      </c>
      <c r="G128" s="249">
        <f t="shared" si="4"/>
        <v>13146.44</v>
      </c>
      <c r="H128">
        <f t="shared" si="5"/>
        <v>31682.28</v>
      </c>
      <c r="I128" s="252">
        <f t="shared" si="6"/>
        <v>48.795774823495528</v>
      </c>
    </row>
    <row r="129" spans="1:10">
      <c r="A129" s="249" t="s">
        <v>630</v>
      </c>
      <c r="B129" s="249" t="s">
        <v>807</v>
      </c>
      <c r="C129" s="249">
        <v>5.5</v>
      </c>
      <c r="D129" s="249">
        <v>3.97</v>
      </c>
      <c r="E129" s="249">
        <v>4.7300000000000004</v>
      </c>
      <c r="F129" s="252">
        <f t="shared" si="3"/>
        <v>393.8</v>
      </c>
      <c r="G129" s="249">
        <f t="shared" si="4"/>
        <v>13726.85</v>
      </c>
      <c r="H129">
        <f t="shared" si="5"/>
        <v>33081.050000000003</v>
      </c>
      <c r="I129" s="252">
        <f t="shared" si="6"/>
        <v>46.732551602923799</v>
      </c>
    </row>
    <row r="130" spans="1:10">
      <c r="A130" s="249" t="s">
        <v>631</v>
      </c>
      <c r="B130" s="249" t="s">
        <v>807</v>
      </c>
      <c r="C130" s="249">
        <v>4.87</v>
      </c>
      <c r="D130" s="249">
        <v>3.24</v>
      </c>
      <c r="E130" s="249">
        <v>3.78</v>
      </c>
      <c r="F130" s="252">
        <f t="shared" si="3"/>
        <v>492.77</v>
      </c>
      <c r="G130" s="249">
        <f t="shared" si="4"/>
        <v>10969.88</v>
      </c>
      <c r="H130">
        <f t="shared" si="5"/>
        <v>26436.87</v>
      </c>
      <c r="I130" s="252">
        <f t="shared" si="6"/>
        <v>58.477460644108653</v>
      </c>
    </row>
    <row r="131" spans="1:10">
      <c r="A131" s="249" t="s">
        <v>632</v>
      </c>
      <c r="B131" s="249" t="s">
        <v>806</v>
      </c>
      <c r="C131" s="249">
        <v>4.8600000000000003</v>
      </c>
      <c r="D131" s="249">
        <v>3.64</v>
      </c>
      <c r="E131" s="249">
        <v>4.4400000000000004</v>
      </c>
      <c r="F131" s="252">
        <f t="shared" si="3"/>
        <v>419.52</v>
      </c>
      <c r="G131" s="249">
        <f t="shared" si="4"/>
        <v>12885.25</v>
      </c>
      <c r="H131">
        <f t="shared" si="5"/>
        <v>31052.83</v>
      </c>
      <c r="I131" s="252">
        <f t="shared" si="6"/>
        <v>49.784887834585639</v>
      </c>
    </row>
    <row r="132" spans="1:10">
      <c r="A132" s="249" t="s">
        <v>633</v>
      </c>
      <c r="B132" s="249" t="s">
        <v>808</v>
      </c>
      <c r="C132" s="249">
        <v>5.97</v>
      </c>
      <c r="D132" s="249">
        <v>4.09</v>
      </c>
      <c r="E132" s="249">
        <v>5.15</v>
      </c>
      <c r="F132" s="252">
        <f t="shared" si="3"/>
        <v>361.69</v>
      </c>
      <c r="G132" s="249">
        <f t="shared" si="4"/>
        <v>14945.73</v>
      </c>
      <c r="H132">
        <f t="shared" si="5"/>
        <v>36018.480000000003</v>
      </c>
      <c r="I132" s="252">
        <f t="shared" si="6"/>
        <v>42.921337798193505</v>
      </c>
    </row>
    <row r="133" spans="1:10">
      <c r="A133" s="249" t="s">
        <v>634</v>
      </c>
      <c r="B133" s="249" t="s">
        <v>808</v>
      </c>
      <c r="C133" s="249">
        <v>5.7</v>
      </c>
      <c r="D133" s="249">
        <v>3.66</v>
      </c>
      <c r="E133" s="249">
        <v>4.93</v>
      </c>
      <c r="F133" s="252">
        <f t="shared" si="3"/>
        <v>377.83</v>
      </c>
      <c r="G133" s="249">
        <f t="shared" si="4"/>
        <v>14307.27</v>
      </c>
      <c r="H133">
        <f t="shared" si="5"/>
        <v>34479.83</v>
      </c>
      <c r="I133" s="252">
        <f t="shared" si="6"/>
        <v>44.836696726251375</v>
      </c>
    </row>
    <row r="134" spans="1:10">
      <c r="A134" s="249" t="s">
        <v>635</v>
      </c>
      <c r="B134" s="249" t="s">
        <v>808</v>
      </c>
      <c r="C134" s="249">
        <v>5.17</v>
      </c>
      <c r="D134" s="249">
        <v>2.36</v>
      </c>
      <c r="E134" s="249">
        <v>3.99</v>
      </c>
      <c r="F134" s="252">
        <f t="shared" si="3"/>
        <v>466.84</v>
      </c>
      <c r="G134" s="249">
        <f t="shared" si="4"/>
        <v>11579.31</v>
      </c>
      <c r="H134">
        <f t="shared" si="5"/>
        <v>27905.58</v>
      </c>
      <c r="I134" s="252">
        <f t="shared" si="6"/>
        <v>55.399736769340713</v>
      </c>
    </row>
    <row r="135" spans="1:10">
      <c r="A135" s="249" t="s">
        <v>636</v>
      </c>
      <c r="B135" s="249" t="s">
        <v>815</v>
      </c>
      <c r="C135" s="249">
        <v>5.81</v>
      </c>
      <c r="D135" s="249">
        <v>4.6900000000000004</v>
      </c>
      <c r="E135" s="249">
        <v>5.31</v>
      </c>
      <c r="F135" s="252">
        <f t="shared" si="3"/>
        <v>350.79</v>
      </c>
      <c r="G135" s="249">
        <f t="shared" si="4"/>
        <v>15410.06</v>
      </c>
      <c r="H135">
        <f t="shared" si="5"/>
        <v>37137.5</v>
      </c>
      <c r="I135" s="252">
        <f t="shared" si="6"/>
        <v>41.628048558577618</v>
      </c>
    </row>
    <row r="136" spans="1:10">
      <c r="A136" s="249" t="s">
        <v>637</v>
      </c>
      <c r="B136" s="249" t="s">
        <v>815</v>
      </c>
      <c r="C136" s="249">
        <v>5.05</v>
      </c>
      <c r="D136" s="249">
        <v>4</v>
      </c>
      <c r="E136" s="249">
        <v>4.71</v>
      </c>
      <c r="F136" s="252">
        <f t="shared" si="3"/>
        <v>395.47</v>
      </c>
      <c r="G136" s="249">
        <f t="shared" si="4"/>
        <v>13668.81</v>
      </c>
      <c r="H136">
        <f t="shared" si="5"/>
        <v>32941.18</v>
      </c>
      <c r="I136" s="252">
        <f t="shared" si="6"/>
        <v>46.930985650586599</v>
      </c>
    </row>
    <row r="137" spans="1:10">
      <c r="A137" s="249" t="s">
        <v>638</v>
      </c>
      <c r="B137" s="249" t="s">
        <v>816</v>
      </c>
      <c r="C137" s="249">
        <v>5.48</v>
      </c>
      <c r="D137" s="249">
        <v>3.97</v>
      </c>
      <c r="E137" s="249">
        <v>5.01</v>
      </c>
      <c r="F137" s="252">
        <f t="shared" si="3"/>
        <v>371.79</v>
      </c>
      <c r="G137" s="249">
        <f t="shared" si="4"/>
        <v>14539.44</v>
      </c>
      <c r="H137">
        <f t="shared" si="5"/>
        <v>35039.339999999997</v>
      </c>
      <c r="I137" s="252">
        <f t="shared" si="6"/>
        <v>44.120731332884525</v>
      </c>
    </row>
    <row r="138" spans="1:10">
      <c r="A138" s="249" t="s">
        <v>639</v>
      </c>
      <c r="B138" s="249" t="s">
        <v>809</v>
      </c>
      <c r="C138" s="249">
        <v>5.4</v>
      </c>
      <c r="D138" s="249">
        <v>4.38</v>
      </c>
      <c r="E138" s="249">
        <v>4.79</v>
      </c>
      <c r="F138" s="252">
        <f t="shared" si="3"/>
        <v>388.87</v>
      </c>
      <c r="G138" s="249">
        <f t="shared" si="4"/>
        <v>13900.98</v>
      </c>
      <c r="H138">
        <f t="shared" si="5"/>
        <v>33500.69</v>
      </c>
      <c r="I138" s="252">
        <f t="shared" si="6"/>
        <v>46.147158399666395</v>
      </c>
    </row>
    <row r="139" spans="1:10">
      <c r="A139" s="249" t="s">
        <v>640</v>
      </c>
      <c r="B139" s="249" t="s">
        <v>809</v>
      </c>
      <c r="C139" s="249">
        <v>5.28</v>
      </c>
      <c r="D139" s="249">
        <v>4.26</v>
      </c>
      <c r="E139" s="249">
        <v>4.9000000000000004</v>
      </c>
      <c r="F139" s="252">
        <f t="shared" si="3"/>
        <v>380.14</v>
      </c>
      <c r="G139" s="249">
        <f t="shared" si="4"/>
        <v>14220.21</v>
      </c>
      <c r="H139">
        <f t="shared" si="5"/>
        <v>34270.01</v>
      </c>
      <c r="I139" s="252">
        <f t="shared" si="6"/>
        <v>45.111199199631692</v>
      </c>
    </row>
    <row r="140" spans="1:10">
      <c r="A140" s="249" t="s">
        <v>641</v>
      </c>
      <c r="B140" s="249" t="s">
        <v>812</v>
      </c>
      <c r="C140" s="249">
        <v>4.76</v>
      </c>
      <c r="D140" s="249">
        <v>3.2</v>
      </c>
      <c r="E140" s="249">
        <v>4.21</v>
      </c>
      <c r="F140" s="252">
        <f t="shared" si="3"/>
        <v>442.44</v>
      </c>
      <c r="G140" s="249">
        <f t="shared" si="4"/>
        <v>12217.77</v>
      </c>
      <c r="H140">
        <f t="shared" si="5"/>
        <v>29444.240000000002</v>
      </c>
      <c r="I140" s="252">
        <f t="shared" si="6"/>
        <v>52.504730893656905</v>
      </c>
    </row>
    <row r="141" spans="1:10">
      <c r="A141" s="249" t="s">
        <v>854</v>
      </c>
      <c r="B141" s="249" t="s">
        <v>811</v>
      </c>
      <c r="C141" s="249">
        <f>ROUND(C119/2+C172/2,2)</f>
        <v>4.26</v>
      </c>
      <c r="D141" s="249">
        <f>ROUND(D119/2+D172/2,2)</f>
        <v>2.82</v>
      </c>
      <c r="E141" s="249">
        <f>ROUND(E119/2+E172/2,2)</f>
        <v>3.76</v>
      </c>
      <c r="F141" s="252">
        <f t="shared" ref="F141:F200" si="7">ROUND((1-$H$1)*($H$13*$H$8 + $I$13)/(E141*$H$8*$H$10),2)</f>
        <v>495.4</v>
      </c>
      <c r="G141" s="249">
        <f t="shared" ref="G141:G200" si="8">ROUND(E141*$H$10*(1-POWER($H$3/(1-$H$4),$H$2+1))/($H$3/(1-$H$4)),2)</f>
        <v>10911.83</v>
      </c>
      <c r="H141">
        <f t="shared" ref="H141:H200" si="9">ROUND(E141*$H$10*(1-POWER((1-$H$4),$H$2+1))/$H$4,2)</f>
        <v>26296.99</v>
      </c>
      <c r="I141" s="252">
        <f t="shared" si="6"/>
        <v>58.78855572077228</v>
      </c>
      <c r="J141" t="s">
        <v>855</v>
      </c>
    </row>
    <row r="142" spans="1:10">
      <c r="A142" s="249" t="s">
        <v>642</v>
      </c>
      <c r="B142" s="249" t="s">
        <v>813</v>
      </c>
      <c r="C142" s="249">
        <v>7.16</v>
      </c>
      <c r="D142" s="249">
        <v>6.21</v>
      </c>
      <c r="E142" s="249">
        <v>6.77</v>
      </c>
      <c r="F142" s="252">
        <f t="shared" si="7"/>
        <v>275.14</v>
      </c>
      <c r="G142" s="249">
        <f t="shared" si="8"/>
        <v>19647.099999999999</v>
      </c>
      <c r="H142">
        <f t="shared" si="9"/>
        <v>47348.57</v>
      </c>
      <c r="I142" s="252">
        <f t="shared" ref="I142:I200" si="10">($H$16+$H$17)/G142</f>
        <v>32.65065714383266</v>
      </c>
    </row>
    <row r="143" spans="1:10">
      <c r="A143" s="249" t="s">
        <v>643</v>
      </c>
      <c r="B143" s="249" t="s">
        <v>810</v>
      </c>
      <c r="C143" s="249">
        <v>6.48</v>
      </c>
      <c r="D143" s="249">
        <v>5.49</v>
      </c>
      <c r="E143" s="249">
        <v>5.98</v>
      </c>
      <c r="F143" s="252">
        <f t="shared" si="7"/>
        <v>311.49</v>
      </c>
      <c r="G143" s="249">
        <f t="shared" si="8"/>
        <v>17354.46</v>
      </c>
      <c r="H143">
        <f t="shared" si="9"/>
        <v>41823.4</v>
      </c>
      <c r="I143" s="252">
        <f t="shared" si="10"/>
        <v>36.964026882461027</v>
      </c>
    </row>
    <row r="144" spans="1:10">
      <c r="A144" s="249" t="s">
        <v>644</v>
      </c>
      <c r="B144" s="249" t="s">
        <v>810</v>
      </c>
      <c r="C144" s="249">
        <v>7.13</v>
      </c>
      <c r="D144" s="249">
        <v>5.83</v>
      </c>
      <c r="E144" s="249">
        <v>6.41</v>
      </c>
      <c r="F144" s="252">
        <f t="shared" si="7"/>
        <v>290.58999999999997</v>
      </c>
      <c r="G144" s="249">
        <f t="shared" si="8"/>
        <v>18602.349999999999</v>
      </c>
      <c r="H144">
        <f t="shared" si="9"/>
        <v>44830.77</v>
      </c>
      <c r="I144" s="252">
        <f t="shared" si="10"/>
        <v>34.484391809131353</v>
      </c>
    </row>
    <row r="145" spans="1:9">
      <c r="A145" s="249" t="s">
        <v>645</v>
      </c>
      <c r="B145" s="249" t="s">
        <v>814</v>
      </c>
      <c r="C145" s="249">
        <v>3.93</v>
      </c>
      <c r="D145" s="249">
        <v>1.62</v>
      </c>
      <c r="E145" s="249">
        <v>3.16</v>
      </c>
      <c r="F145" s="252">
        <f t="shared" si="7"/>
        <v>589.46</v>
      </c>
      <c r="G145" s="249">
        <f t="shared" si="8"/>
        <v>9170.58</v>
      </c>
      <c r="H145">
        <f t="shared" si="9"/>
        <v>22100.66</v>
      </c>
      <c r="I145" s="252">
        <f t="shared" si="10"/>
        <v>69.950943775703891</v>
      </c>
    </row>
    <row r="146" spans="1:9">
      <c r="A146" s="249" t="s">
        <v>646</v>
      </c>
      <c r="B146" s="249" t="s">
        <v>814</v>
      </c>
      <c r="C146" s="249">
        <v>4.57</v>
      </c>
      <c r="D146" s="249">
        <v>2.29</v>
      </c>
      <c r="E146" s="249">
        <v>3.79</v>
      </c>
      <c r="F146" s="252">
        <f t="shared" si="7"/>
        <v>491.47</v>
      </c>
      <c r="G146" s="249">
        <f t="shared" si="8"/>
        <v>10998.9</v>
      </c>
      <c r="H146">
        <f t="shared" si="9"/>
        <v>26506.81</v>
      </c>
      <c r="I146" s="252">
        <f t="shared" si="10"/>
        <v>58.323171041703681</v>
      </c>
    </row>
    <row r="147" spans="1:9">
      <c r="A147" s="249" t="s">
        <v>647</v>
      </c>
      <c r="B147" s="249" t="s">
        <v>814</v>
      </c>
      <c r="C147" s="249">
        <v>4.97</v>
      </c>
      <c r="D147" s="249">
        <v>3.03</v>
      </c>
      <c r="E147" s="249">
        <v>4.08</v>
      </c>
      <c r="F147" s="252">
        <f t="shared" si="7"/>
        <v>456.54</v>
      </c>
      <c r="G147" s="249">
        <f t="shared" si="8"/>
        <v>11840.5</v>
      </c>
      <c r="H147">
        <f t="shared" si="9"/>
        <v>28535.03</v>
      </c>
      <c r="I147" s="252">
        <f t="shared" si="10"/>
        <v>54.177672055284368</v>
      </c>
    </row>
    <row r="148" spans="1:9">
      <c r="A148" s="249" t="s">
        <v>648</v>
      </c>
      <c r="B148" s="249" t="s">
        <v>814</v>
      </c>
      <c r="C148" s="249">
        <v>4.22</v>
      </c>
      <c r="D148" s="249">
        <v>1.58</v>
      </c>
      <c r="E148" s="249">
        <v>3.31</v>
      </c>
      <c r="F148" s="252">
        <f t="shared" si="7"/>
        <v>562.74</v>
      </c>
      <c r="G148" s="249">
        <f t="shared" si="8"/>
        <v>9605.9</v>
      </c>
      <c r="H148">
        <f t="shared" si="9"/>
        <v>23149.74</v>
      </c>
      <c r="I148" s="252">
        <f t="shared" si="10"/>
        <v>66.78090818877925</v>
      </c>
    </row>
    <row r="149" spans="1:9">
      <c r="A149" s="249" t="s">
        <v>649</v>
      </c>
      <c r="B149" s="249" t="s">
        <v>814</v>
      </c>
      <c r="C149" s="249">
        <v>3.92</v>
      </c>
      <c r="D149" s="249">
        <v>2.5299999999999998</v>
      </c>
      <c r="E149" s="249">
        <v>3.55</v>
      </c>
      <c r="F149" s="252">
        <f t="shared" si="7"/>
        <v>524.70000000000005</v>
      </c>
      <c r="G149" s="249">
        <f t="shared" si="8"/>
        <v>10302.4</v>
      </c>
      <c r="H149">
        <f t="shared" si="9"/>
        <v>24828.27</v>
      </c>
      <c r="I149" s="252">
        <f t="shared" si="10"/>
        <v>62.266144390685142</v>
      </c>
    </row>
    <row r="150" spans="1:9">
      <c r="A150" s="249" t="s">
        <v>650</v>
      </c>
      <c r="B150" s="249" t="s">
        <v>817</v>
      </c>
      <c r="C150" s="249">
        <v>4.79</v>
      </c>
      <c r="D150" s="249">
        <v>2.69</v>
      </c>
      <c r="E150" s="249">
        <v>3.94</v>
      </c>
      <c r="F150" s="252">
        <f t="shared" si="7"/>
        <v>472.76</v>
      </c>
      <c r="G150" s="249">
        <f t="shared" si="8"/>
        <v>11434.21</v>
      </c>
      <c r="H150">
        <f t="shared" si="9"/>
        <v>27555.89</v>
      </c>
      <c r="I150" s="252">
        <f t="shared" si="10"/>
        <v>56.102758823792342</v>
      </c>
    </row>
    <row r="151" spans="1:9">
      <c r="A151" s="249" t="s">
        <v>651</v>
      </c>
      <c r="B151" s="249" t="s">
        <v>817</v>
      </c>
      <c r="C151" s="249">
        <v>5.26</v>
      </c>
      <c r="D151" s="249">
        <v>2.66</v>
      </c>
      <c r="E151" s="249">
        <v>4.1500000000000004</v>
      </c>
      <c r="F151" s="252">
        <f t="shared" si="7"/>
        <v>448.84</v>
      </c>
      <c r="G151" s="249">
        <f t="shared" si="8"/>
        <v>12043.65</v>
      </c>
      <c r="H151">
        <f t="shared" si="9"/>
        <v>29024.6</v>
      </c>
      <c r="I151" s="252">
        <f t="shared" si="10"/>
        <v>53.263813376392918</v>
      </c>
    </row>
    <row r="152" spans="1:9">
      <c r="A152" s="249" t="s">
        <v>652</v>
      </c>
      <c r="B152" s="249" t="s">
        <v>818</v>
      </c>
      <c r="C152" s="249">
        <v>6.26</v>
      </c>
      <c r="D152" s="249">
        <v>4.9800000000000004</v>
      </c>
      <c r="E152" s="249">
        <v>5.59</v>
      </c>
      <c r="F152" s="252">
        <f t="shared" si="7"/>
        <v>333.22</v>
      </c>
      <c r="G152" s="249">
        <f t="shared" si="8"/>
        <v>16222.65</v>
      </c>
      <c r="H152">
        <f t="shared" si="9"/>
        <v>39095.79</v>
      </c>
      <c r="I152" s="252">
        <f t="shared" si="10"/>
        <v>39.542906120183481</v>
      </c>
    </row>
    <row r="153" spans="1:9">
      <c r="A153" s="249" t="s">
        <v>653</v>
      </c>
      <c r="B153" s="249" t="s">
        <v>818</v>
      </c>
      <c r="C153" s="249">
        <v>5.52</v>
      </c>
      <c r="D153" s="249">
        <v>4.22</v>
      </c>
      <c r="E153" s="249">
        <v>4.99</v>
      </c>
      <c r="F153" s="252">
        <f t="shared" si="7"/>
        <v>373.28</v>
      </c>
      <c r="G153" s="249">
        <f t="shared" si="8"/>
        <v>14481.4</v>
      </c>
      <c r="H153">
        <f t="shared" si="9"/>
        <v>34899.46</v>
      </c>
      <c r="I153" s="252">
        <f t="shared" si="10"/>
        <v>44.29756280267064</v>
      </c>
    </row>
    <row r="154" spans="1:9">
      <c r="A154" s="249" t="s">
        <v>654</v>
      </c>
      <c r="B154" s="249" t="s">
        <v>819</v>
      </c>
      <c r="C154" s="249">
        <v>4.76</v>
      </c>
      <c r="D154" s="249">
        <v>1.99</v>
      </c>
      <c r="E154" s="249">
        <v>3.72</v>
      </c>
      <c r="F154" s="252">
        <f t="shared" si="7"/>
        <v>500.72</v>
      </c>
      <c r="G154" s="249">
        <f t="shared" si="8"/>
        <v>10795.75</v>
      </c>
      <c r="H154">
        <f t="shared" si="9"/>
        <v>26017.23</v>
      </c>
      <c r="I154" s="252">
        <f t="shared" si="10"/>
        <v>59.420672576763501</v>
      </c>
    </row>
    <row r="155" spans="1:9">
      <c r="A155" s="249" t="s">
        <v>655</v>
      </c>
      <c r="B155" s="249" t="s">
        <v>819</v>
      </c>
      <c r="C155" s="249">
        <v>5.71</v>
      </c>
      <c r="D155" s="249">
        <v>1.9</v>
      </c>
      <c r="E155" s="249">
        <v>4.03</v>
      </c>
      <c r="F155" s="252">
        <f t="shared" si="7"/>
        <v>462.2</v>
      </c>
      <c r="G155" s="249">
        <f t="shared" si="8"/>
        <v>11695.4</v>
      </c>
      <c r="H155">
        <f t="shared" si="9"/>
        <v>28185.34</v>
      </c>
      <c r="I155" s="252">
        <f t="shared" si="10"/>
        <v>54.84983206821439</v>
      </c>
    </row>
    <row r="156" spans="1:9">
      <c r="A156" s="249" t="s">
        <v>656</v>
      </c>
      <c r="B156" s="249" t="s">
        <v>819</v>
      </c>
      <c r="C156" s="249">
        <v>5.84</v>
      </c>
      <c r="D156" s="249">
        <v>2.02</v>
      </c>
      <c r="E156" s="249">
        <v>4.51</v>
      </c>
      <c r="F156" s="252">
        <f t="shared" si="7"/>
        <v>413.01</v>
      </c>
      <c r="G156" s="249">
        <f t="shared" si="8"/>
        <v>13088.4</v>
      </c>
      <c r="H156">
        <f t="shared" si="9"/>
        <v>31542.400000000001</v>
      </c>
      <c r="I156" s="252">
        <f t="shared" si="10"/>
        <v>49.012157786329468</v>
      </c>
    </row>
    <row r="157" spans="1:9">
      <c r="A157" s="249" t="s">
        <v>657</v>
      </c>
      <c r="B157" s="249" t="s">
        <v>820</v>
      </c>
      <c r="C157" s="249">
        <v>4.1900000000000004</v>
      </c>
      <c r="D157" s="249">
        <v>1.45</v>
      </c>
      <c r="E157" s="249">
        <v>3.28</v>
      </c>
      <c r="F157" s="252">
        <f t="shared" si="7"/>
        <v>567.89</v>
      </c>
      <c r="G157" s="249">
        <f t="shared" si="8"/>
        <v>9518.83</v>
      </c>
      <c r="H157">
        <f t="shared" si="9"/>
        <v>22939.93</v>
      </c>
      <c r="I157" s="252">
        <f t="shared" si="10"/>
        <v>67.391762009679184</v>
      </c>
    </row>
    <row r="158" spans="1:9">
      <c r="A158" s="249" t="s">
        <v>658</v>
      </c>
      <c r="B158" s="249" t="s">
        <v>820</v>
      </c>
      <c r="C158" s="249">
        <v>4.4400000000000004</v>
      </c>
      <c r="D158" s="249">
        <v>2.78</v>
      </c>
      <c r="E158" s="249">
        <v>3.91</v>
      </c>
      <c r="F158" s="252">
        <f t="shared" si="7"/>
        <v>476.39</v>
      </c>
      <c r="G158" s="249">
        <f t="shared" si="8"/>
        <v>11347.15</v>
      </c>
      <c r="H158">
        <f t="shared" si="9"/>
        <v>27346.07</v>
      </c>
      <c r="I158" s="252">
        <f t="shared" si="10"/>
        <v>56.533202255244234</v>
      </c>
    </row>
    <row r="159" spans="1:9">
      <c r="A159" s="249" t="s">
        <v>659</v>
      </c>
      <c r="B159" s="249" t="s">
        <v>821</v>
      </c>
      <c r="C159" s="249">
        <v>4.6900000000000004</v>
      </c>
      <c r="D159" s="249">
        <v>3.58</v>
      </c>
      <c r="E159" s="249">
        <v>4.2300000000000004</v>
      </c>
      <c r="F159" s="252">
        <f t="shared" si="7"/>
        <v>440.35</v>
      </c>
      <c r="G159" s="249">
        <f t="shared" si="8"/>
        <v>12275.81</v>
      </c>
      <c r="H159">
        <f t="shared" si="9"/>
        <v>29584.11</v>
      </c>
      <c r="I159" s="252">
        <f t="shared" si="10"/>
        <v>52.256488652935701</v>
      </c>
    </row>
    <row r="160" spans="1:9">
      <c r="A160" s="249" t="s">
        <v>660</v>
      </c>
      <c r="B160" s="249" t="s">
        <v>822</v>
      </c>
      <c r="C160" s="249">
        <v>5.72</v>
      </c>
      <c r="D160" s="249">
        <v>4.2300000000000004</v>
      </c>
      <c r="E160" s="249">
        <v>5.0599999999999996</v>
      </c>
      <c r="F160" s="252">
        <f t="shared" si="7"/>
        <v>368.12</v>
      </c>
      <c r="G160" s="249">
        <f t="shared" si="8"/>
        <v>14684.54</v>
      </c>
      <c r="H160">
        <f t="shared" si="9"/>
        <v>35389.03</v>
      </c>
      <c r="I160" s="252">
        <f t="shared" si="10"/>
        <v>43.684768196388482</v>
      </c>
    </row>
    <row r="161" spans="1:9">
      <c r="A161" s="249" t="s">
        <v>661</v>
      </c>
      <c r="B161" s="249" t="s">
        <v>823</v>
      </c>
      <c r="C161" s="249">
        <v>5.91</v>
      </c>
      <c r="D161" s="249">
        <v>4.5599999999999996</v>
      </c>
      <c r="E161" s="249">
        <v>5.23</v>
      </c>
      <c r="F161" s="252">
        <f t="shared" si="7"/>
        <v>356.15</v>
      </c>
      <c r="G161" s="249">
        <f t="shared" si="8"/>
        <v>15177.9</v>
      </c>
      <c r="H161">
        <f t="shared" si="9"/>
        <v>36577.99</v>
      </c>
      <c r="I161" s="252">
        <f t="shared" si="10"/>
        <v>42.264788012214773</v>
      </c>
    </row>
    <row r="162" spans="1:9">
      <c r="A162" s="249" t="s">
        <v>662</v>
      </c>
      <c r="B162" s="249" t="s">
        <v>824</v>
      </c>
      <c r="C162" s="249">
        <v>5.2</v>
      </c>
      <c r="D162" s="249">
        <v>3.14</v>
      </c>
      <c r="E162" s="249">
        <v>4.45</v>
      </c>
      <c r="F162" s="252">
        <f t="shared" si="7"/>
        <v>418.58</v>
      </c>
      <c r="G162" s="249">
        <f t="shared" si="8"/>
        <v>12914.27</v>
      </c>
      <c r="H162">
        <f t="shared" si="9"/>
        <v>31122.77</v>
      </c>
      <c r="I162" s="252">
        <f t="shared" si="10"/>
        <v>49.673014887453533</v>
      </c>
    </row>
    <row r="163" spans="1:9">
      <c r="A163" s="249" t="s">
        <v>663</v>
      </c>
      <c r="B163" s="249" t="s">
        <v>824</v>
      </c>
      <c r="C163" s="249">
        <v>5.0599999999999996</v>
      </c>
      <c r="D163" s="249">
        <v>3.22</v>
      </c>
      <c r="E163" s="249">
        <v>4.37</v>
      </c>
      <c r="F163" s="252">
        <f t="shared" si="7"/>
        <v>426.24</v>
      </c>
      <c r="G163" s="249">
        <f t="shared" si="8"/>
        <v>12682.1</v>
      </c>
      <c r="H163">
        <f t="shared" si="9"/>
        <v>30563.26</v>
      </c>
      <c r="I163" s="252">
        <f t="shared" si="10"/>
        <v>50.582374052451449</v>
      </c>
    </row>
    <row r="164" spans="1:9">
      <c r="A164" s="249" t="s">
        <v>664</v>
      </c>
      <c r="B164" s="249" t="s">
        <v>825</v>
      </c>
      <c r="C164" s="249">
        <v>5.49</v>
      </c>
      <c r="D164" s="249">
        <v>4.42</v>
      </c>
      <c r="E164" s="249">
        <v>4.92</v>
      </c>
      <c r="F164" s="252">
        <f t="shared" si="7"/>
        <v>378.59</v>
      </c>
      <c r="G164" s="249">
        <f t="shared" si="8"/>
        <v>14278.25</v>
      </c>
      <c r="H164">
        <f t="shared" si="9"/>
        <v>34409.89</v>
      </c>
      <c r="I164" s="252">
        <f t="shared" si="10"/>
        <v>44.92782560682118</v>
      </c>
    </row>
    <row r="165" spans="1:9">
      <c r="A165" s="249" t="s">
        <v>665</v>
      </c>
      <c r="B165" s="249" t="s">
        <v>825</v>
      </c>
      <c r="C165" s="249">
        <v>7.42</v>
      </c>
      <c r="D165" s="249">
        <v>5.87</v>
      </c>
      <c r="E165" s="249">
        <v>6.72</v>
      </c>
      <c r="F165" s="252">
        <f t="shared" si="7"/>
        <v>277.19</v>
      </c>
      <c r="G165" s="249">
        <f t="shared" si="8"/>
        <v>19502</v>
      </c>
      <c r="H165">
        <f t="shared" si="9"/>
        <v>46998.87</v>
      </c>
      <c r="I165" s="252">
        <f t="shared" si="10"/>
        <v>32.893586604994084</v>
      </c>
    </row>
    <row r="166" spans="1:9">
      <c r="A166" s="249" t="s">
        <v>666</v>
      </c>
      <c r="B166" s="249" t="s">
        <v>825</v>
      </c>
      <c r="C166" s="249">
        <v>6</v>
      </c>
      <c r="D166" s="249">
        <v>4.8</v>
      </c>
      <c r="E166" s="249">
        <v>5.83</v>
      </c>
      <c r="F166" s="252">
        <f t="shared" si="7"/>
        <v>319.5</v>
      </c>
      <c r="G166" s="249">
        <f t="shared" si="8"/>
        <v>16919.150000000001</v>
      </c>
      <c r="H166">
        <f t="shared" si="9"/>
        <v>40774.32</v>
      </c>
      <c r="I166" s="252">
        <f t="shared" si="10"/>
        <v>37.915068190221994</v>
      </c>
    </row>
    <row r="167" spans="1:9">
      <c r="A167" s="249" t="s">
        <v>667</v>
      </c>
      <c r="B167" s="249" t="s">
        <v>825</v>
      </c>
      <c r="C167" s="249">
        <v>6.33</v>
      </c>
      <c r="D167" s="249">
        <v>5.23</v>
      </c>
      <c r="E167" s="249">
        <v>5.83</v>
      </c>
      <c r="F167" s="252">
        <f t="shared" si="7"/>
        <v>319.5</v>
      </c>
      <c r="G167" s="249">
        <f t="shared" si="8"/>
        <v>16919.150000000001</v>
      </c>
      <c r="H167">
        <f t="shared" si="9"/>
        <v>40774.32</v>
      </c>
      <c r="I167" s="252">
        <f t="shared" si="10"/>
        <v>37.915068190221994</v>
      </c>
    </row>
    <row r="168" spans="1:9">
      <c r="A168" s="249" t="s">
        <v>668</v>
      </c>
      <c r="B168" s="249" t="s">
        <v>825</v>
      </c>
      <c r="C168" s="249">
        <v>5.88</v>
      </c>
      <c r="D168" s="249">
        <v>4.6500000000000004</v>
      </c>
      <c r="E168" s="249">
        <v>5.3</v>
      </c>
      <c r="F168" s="252">
        <f t="shared" si="7"/>
        <v>351.45</v>
      </c>
      <c r="G168" s="249">
        <f t="shared" si="8"/>
        <v>15381.04</v>
      </c>
      <c r="H168">
        <f t="shared" si="9"/>
        <v>37067.56</v>
      </c>
      <c r="I168" s="252">
        <f t="shared" si="10"/>
        <v>41.70658979955806</v>
      </c>
    </row>
    <row r="169" spans="1:9">
      <c r="A169" s="249" t="s">
        <v>669</v>
      </c>
      <c r="B169" s="249" t="s">
        <v>826</v>
      </c>
      <c r="C169" s="249">
        <v>6.63</v>
      </c>
      <c r="D169" s="249">
        <v>5.48</v>
      </c>
      <c r="E169" s="249">
        <v>5.83</v>
      </c>
      <c r="F169" s="252">
        <f t="shared" si="7"/>
        <v>319.5</v>
      </c>
      <c r="G169" s="249">
        <f t="shared" si="8"/>
        <v>16919.150000000001</v>
      </c>
      <c r="H169">
        <f t="shared" si="9"/>
        <v>40774.32</v>
      </c>
      <c r="I169" s="252">
        <f t="shared" si="10"/>
        <v>37.915068190221994</v>
      </c>
    </row>
    <row r="170" spans="1:9">
      <c r="A170" s="249" t="s">
        <v>670</v>
      </c>
      <c r="B170" s="249" t="s">
        <v>826</v>
      </c>
      <c r="C170" s="249">
        <v>6.09</v>
      </c>
      <c r="D170" s="249">
        <v>3.78</v>
      </c>
      <c r="E170" s="249">
        <v>5.26</v>
      </c>
      <c r="F170" s="252">
        <f t="shared" si="7"/>
        <v>354.12</v>
      </c>
      <c r="G170" s="249">
        <f t="shared" si="8"/>
        <v>15264.96</v>
      </c>
      <c r="H170">
        <f t="shared" si="9"/>
        <v>36787.81</v>
      </c>
      <c r="I170" s="252">
        <f t="shared" si="10"/>
        <v>42.023741036373146</v>
      </c>
    </row>
    <row r="171" spans="1:9">
      <c r="A171" s="249" t="s">
        <v>671</v>
      </c>
      <c r="B171" s="249" t="s">
        <v>828</v>
      </c>
      <c r="C171" s="249">
        <v>4.5</v>
      </c>
      <c r="D171" s="249">
        <v>3.37</v>
      </c>
      <c r="E171" s="249">
        <v>4.13</v>
      </c>
      <c r="F171" s="252">
        <f t="shared" si="7"/>
        <v>451.01</v>
      </c>
      <c r="G171" s="249">
        <f t="shared" si="8"/>
        <v>11985.6</v>
      </c>
      <c r="H171">
        <f t="shared" si="9"/>
        <v>28884.720000000001</v>
      </c>
      <c r="I171" s="252">
        <f t="shared" si="10"/>
        <v>53.52178664151937</v>
      </c>
    </row>
    <row r="172" spans="1:9">
      <c r="A172" s="249" t="s">
        <v>853</v>
      </c>
      <c r="B172" s="249" t="s">
        <v>827</v>
      </c>
      <c r="C172" s="249">
        <f>C197/2+C119/2</f>
        <v>4.24</v>
      </c>
      <c r="D172" s="249">
        <f>D197/2+D119/2</f>
        <v>2.64</v>
      </c>
      <c r="E172" s="249">
        <f>E197/2+E119/2</f>
        <v>3.67</v>
      </c>
      <c r="F172" s="252">
        <f t="shared" si="7"/>
        <v>507.54</v>
      </c>
      <c r="G172" s="249">
        <f t="shared" si="8"/>
        <v>10650.65</v>
      </c>
      <c r="H172">
        <f t="shared" si="9"/>
        <v>25667.54</v>
      </c>
      <c r="I172" s="252">
        <f t="shared" si="10"/>
        <v>60.230194961865671</v>
      </c>
    </row>
    <row r="173" spans="1:9">
      <c r="A173" s="249" t="s">
        <v>672</v>
      </c>
      <c r="B173" s="249" t="s">
        <v>829</v>
      </c>
      <c r="C173" s="249">
        <v>6.21</v>
      </c>
      <c r="D173" s="249">
        <v>3.06</v>
      </c>
      <c r="E173" s="249">
        <v>5.03</v>
      </c>
      <c r="F173" s="252">
        <f t="shared" si="7"/>
        <v>370.32</v>
      </c>
      <c r="G173" s="249">
        <f t="shared" si="8"/>
        <v>14597.48</v>
      </c>
      <c r="H173">
        <f t="shared" si="9"/>
        <v>35179.22</v>
      </c>
      <c r="I173" s="252">
        <f t="shared" si="10"/>
        <v>43.945306037110143</v>
      </c>
    </row>
    <row r="174" spans="1:9">
      <c r="A174" s="249" t="s">
        <v>673</v>
      </c>
      <c r="B174" s="249" t="s">
        <v>829</v>
      </c>
      <c r="C174" s="249">
        <v>6.07</v>
      </c>
      <c r="D174" s="249">
        <v>2.9</v>
      </c>
      <c r="E174" s="249">
        <v>4.7300000000000004</v>
      </c>
      <c r="F174" s="252">
        <f t="shared" si="7"/>
        <v>393.8</v>
      </c>
      <c r="G174" s="249">
        <f t="shared" si="8"/>
        <v>13726.85</v>
      </c>
      <c r="H174">
        <f t="shared" si="9"/>
        <v>33081.050000000003</v>
      </c>
      <c r="I174" s="252">
        <f t="shared" si="10"/>
        <v>46.732551602923799</v>
      </c>
    </row>
    <row r="175" spans="1:9">
      <c r="A175" s="249" t="s">
        <v>674</v>
      </c>
      <c r="B175" s="249" t="s">
        <v>829</v>
      </c>
      <c r="C175" s="249">
        <v>6.13</v>
      </c>
      <c r="D175" s="249">
        <v>2.0099999999999998</v>
      </c>
      <c r="E175" s="249">
        <v>4.43</v>
      </c>
      <c r="F175" s="252">
        <f t="shared" si="7"/>
        <v>420.47</v>
      </c>
      <c r="G175" s="249">
        <f t="shared" si="8"/>
        <v>12856.23</v>
      </c>
      <c r="H175">
        <f t="shared" si="9"/>
        <v>30982.89</v>
      </c>
      <c r="I175" s="252">
        <f t="shared" si="10"/>
        <v>49.897265836920667</v>
      </c>
    </row>
    <row r="176" spans="1:9">
      <c r="A176" s="249" t="s">
        <v>675</v>
      </c>
      <c r="B176" s="249" t="s">
        <v>829</v>
      </c>
      <c r="C176" s="249">
        <v>4.83</v>
      </c>
      <c r="D176" s="249">
        <v>1.6</v>
      </c>
      <c r="E176" s="249">
        <v>3.57</v>
      </c>
      <c r="F176" s="252">
        <f t="shared" si="7"/>
        <v>521.76</v>
      </c>
      <c r="G176" s="249">
        <f t="shared" si="8"/>
        <v>10360.44</v>
      </c>
      <c r="H176">
        <f t="shared" si="9"/>
        <v>24968.15</v>
      </c>
      <c r="I176" s="252">
        <f t="shared" si="10"/>
        <v>61.917324550945182</v>
      </c>
    </row>
    <row r="177" spans="1:9">
      <c r="A177" s="249" t="s">
        <v>676</v>
      </c>
      <c r="B177" s="249" t="s">
        <v>829</v>
      </c>
      <c r="C177" s="249">
        <v>5.53</v>
      </c>
      <c r="D177" s="249">
        <v>1.1599999999999999</v>
      </c>
      <c r="E177" s="249">
        <v>4.4800000000000004</v>
      </c>
      <c r="F177" s="252">
        <f t="shared" si="7"/>
        <v>415.78</v>
      </c>
      <c r="G177" s="249">
        <f t="shared" si="8"/>
        <v>13001.33</v>
      </c>
      <c r="H177">
        <f t="shared" si="9"/>
        <v>31332.58</v>
      </c>
      <c r="I177" s="252">
        <f t="shared" si="10"/>
        <v>49.340392557576386</v>
      </c>
    </row>
    <row r="178" spans="1:9">
      <c r="A178" s="249" t="s">
        <v>677</v>
      </c>
      <c r="B178" s="249" t="s">
        <v>830</v>
      </c>
      <c r="C178" s="249">
        <v>4.12</v>
      </c>
      <c r="D178" s="249">
        <v>2.4700000000000002</v>
      </c>
      <c r="E178" s="249">
        <v>3.65</v>
      </c>
      <c r="F178" s="252">
        <f t="shared" si="7"/>
        <v>510.32</v>
      </c>
      <c r="G178" s="249">
        <f t="shared" si="8"/>
        <v>10592.6</v>
      </c>
      <c r="H178">
        <f t="shared" si="9"/>
        <v>25527.66</v>
      </c>
      <c r="I178" s="252">
        <f t="shared" si="10"/>
        <v>60.560270941090437</v>
      </c>
    </row>
    <row r="179" spans="1:9">
      <c r="A179" s="249" t="s">
        <v>678</v>
      </c>
      <c r="B179" s="249" t="s">
        <v>831</v>
      </c>
      <c r="C179" s="249">
        <v>4.8499999999999996</v>
      </c>
      <c r="D179" s="249">
        <v>3.28</v>
      </c>
      <c r="E179" s="249">
        <v>4.29</v>
      </c>
      <c r="F179" s="252">
        <f t="shared" si="7"/>
        <v>434.19</v>
      </c>
      <c r="G179" s="249">
        <f t="shared" si="8"/>
        <v>12449.94</v>
      </c>
      <c r="H179">
        <f t="shared" si="9"/>
        <v>30003.75</v>
      </c>
      <c r="I179" s="252">
        <f t="shared" si="10"/>
        <v>51.525607831892728</v>
      </c>
    </row>
    <row r="180" spans="1:9">
      <c r="A180" s="249" t="s">
        <v>679</v>
      </c>
      <c r="B180" s="249" t="s">
        <v>832</v>
      </c>
      <c r="C180" s="249">
        <v>6.81</v>
      </c>
      <c r="D180" s="249">
        <v>5.5</v>
      </c>
      <c r="E180" s="249">
        <v>6.06</v>
      </c>
      <c r="F180" s="252">
        <f t="shared" si="7"/>
        <v>307.37</v>
      </c>
      <c r="G180" s="249">
        <f t="shared" si="8"/>
        <v>17586.63</v>
      </c>
      <c r="H180">
        <f t="shared" si="9"/>
        <v>42382.91</v>
      </c>
      <c r="I180" s="252">
        <f t="shared" si="10"/>
        <v>36.476046062866764</v>
      </c>
    </row>
    <row r="181" spans="1:9">
      <c r="A181" s="249" t="s">
        <v>680</v>
      </c>
      <c r="B181" s="249" t="s">
        <v>836</v>
      </c>
      <c r="C181" s="249">
        <v>4.95</v>
      </c>
      <c r="D181" s="249">
        <v>2.13</v>
      </c>
      <c r="E181" s="249">
        <v>3.75</v>
      </c>
      <c r="F181" s="252">
        <f t="shared" si="7"/>
        <v>496.72</v>
      </c>
      <c r="G181" s="249">
        <f t="shared" si="8"/>
        <v>10882.81</v>
      </c>
      <c r="H181">
        <f t="shared" si="9"/>
        <v>26227.05</v>
      </c>
      <c r="I181" s="252">
        <f t="shared" si="10"/>
        <v>58.945320737070169</v>
      </c>
    </row>
    <row r="182" spans="1:9">
      <c r="A182" s="249" t="s">
        <v>681</v>
      </c>
      <c r="B182" s="249" t="s">
        <v>836</v>
      </c>
      <c r="C182" s="249">
        <v>5.19</v>
      </c>
      <c r="D182" s="249">
        <v>2.75</v>
      </c>
      <c r="E182" s="249">
        <v>4.0999999999999996</v>
      </c>
      <c r="F182" s="252">
        <f t="shared" si="7"/>
        <v>454.31</v>
      </c>
      <c r="G182" s="249">
        <f t="shared" si="8"/>
        <v>11898.54</v>
      </c>
      <c r="H182">
        <f t="shared" si="9"/>
        <v>28674.91</v>
      </c>
      <c r="I182" s="252">
        <f t="shared" si="10"/>
        <v>53.913398280007002</v>
      </c>
    </row>
    <row r="183" spans="1:9">
      <c r="A183" s="249" t="s">
        <v>682</v>
      </c>
      <c r="B183" s="249" t="s">
        <v>837</v>
      </c>
      <c r="C183" s="249">
        <v>4.4800000000000004</v>
      </c>
      <c r="D183" s="249">
        <v>1.46</v>
      </c>
      <c r="E183" s="249">
        <v>3.29</v>
      </c>
      <c r="F183" s="252">
        <f t="shared" si="7"/>
        <v>566.16999999999996</v>
      </c>
      <c r="G183" s="249">
        <f t="shared" si="8"/>
        <v>9547.85</v>
      </c>
      <c r="H183">
        <f t="shared" si="9"/>
        <v>23009.87</v>
      </c>
      <c r="I183" s="252">
        <f t="shared" si="10"/>
        <v>67.186929619819594</v>
      </c>
    </row>
    <row r="184" spans="1:9">
      <c r="A184" s="249" t="s">
        <v>683</v>
      </c>
      <c r="B184" s="249" t="s">
        <v>837</v>
      </c>
      <c r="C184" s="249">
        <v>4.13</v>
      </c>
      <c r="D184" s="249">
        <v>1.33</v>
      </c>
      <c r="E184" s="249">
        <v>3.14</v>
      </c>
      <c r="F184" s="252">
        <f t="shared" si="7"/>
        <v>593.21</v>
      </c>
      <c r="G184" s="249">
        <f t="shared" si="8"/>
        <v>9112.5400000000009</v>
      </c>
      <c r="H184">
        <f t="shared" si="9"/>
        <v>21960.78</v>
      </c>
      <c r="I184" s="252">
        <f t="shared" si="10"/>
        <v>70.396478475879888</v>
      </c>
    </row>
    <row r="185" spans="1:9">
      <c r="A185" s="249" t="s">
        <v>684</v>
      </c>
      <c r="B185" s="249" t="s">
        <v>837</v>
      </c>
      <c r="C185" s="249">
        <v>4.2300000000000004</v>
      </c>
      <c r="D185" s="249">
        <v>1.33</v>
      </c>
      <c r="E185" s="249">
        <v>3.14</v>
      </c>
      <c r="F185" s="252">
        <f t="shared" si="7"/>
        <v>593.21</v>
      </c>
      <c r="G185" s="249">
        <f t="shared" si="8"/>
        <v>9112.5400000000009</v>
      </c>
      <c r="H185">
        <f t="shared" si="9"/>
        <v>21960.78</v>
      </c>
      <c r="I185" s="252">
        <f t="shared" si="10"/>
        <v>70.396478475879888</v>
      </c>
    </row>
    <row r="186" spans="1:9">
      <c r="A186" s="249" t="s">
        <v>685</v>
      </c>
      <c r="B186" s="249" t="s">
        <v>838</v>
      </c>
      <c r="C186" s="249">
        <v>5.0199999999999996</v>
      </c>
      <c r="D186" s="249">
        <v>2.02</v>
      </c>
      <c r="E186" s="249">
        <v>3.56</v>
      </c>
      <c r="F186" s="252">
        <f t="shared" si="7"/>
        <v>523.23</v>
      </c>
      <c r="G186" s="249">
        <f t="shared" si="8"/>
        <v>10331.42</v>
      </c>
      <c r="H186">
        <f t="shared" si="9"/>
        <v>24898.21</v>
      </c>
      <c r="I186" s="252">
        <f t="shared" si="10"/>
        <v>62.091244569535895</v>
      </c>
    </row>
    <row r="187" spans="1:9">
      <c r="A187" s="249" t="s">
        <v>686</v>
      </c>
      <c r="B187" s="249" t="s">
        <v>838</v>
      </c>
      <c r="C187" s="249">
        <v>5.23</v>
      </c>
      <c r="D187" s="249">
        <v>2.77</v>
      </c>
      <c r="E187" s="249">
        <v>4.0199999999999996</v>
      </c>
      <c r="F187" s="252">
        <f t="shared" si="7"/>
        <v>463.35</v>
      </c>
      <c r="G187" s="249">
        <f t="shared" si="8"/>
        <v>11666.38</v>
      </c>
      <c r="H187">
        <f t="shared" si="9"/>
        <v>28115.4</v>
      </c>
      <c r="I187" s="252">
        <f t="shared" si="10"/>
        <v>54.986270460125127</v>
      </c>
    </row>
    <row r="188" spans="1:9">
      <c r="A188" s="249" t="s">
        <v>839</v>
      </c>
      <c r="B188" s="249" t="s">
        <v>840</v>
      </c>
      <c r="C188" s="249">
        <v>4.2300000000000004</v>
      </c>
      <c r="D188" s="249">
        <v>2.54</v>
      </c>
      <c r="E188" s="249">
        <v>3.56</v>
      </c>
      <c r="F188" s="252">
        <f t="shared" si="7"/>
        <v>523.23</v>
      </c>
      <c r="G188" s="249">
        <f t="shared" si="8"/>
        <v>10331.42</v>
      </c>
      <c r="H188">
        <f t="shared" si="9"/>
        <v>24898.21</v>
      </c>
      <c r="I188" s="252">
        <f t="shared" si="10"/>
        <v>62.091244569535895</v>
      </c>
    </row>
    <row r="189" spans="1:9">
      <c r="A189" s="249" t="s">
        <v>687</v>
      </c>
      <c r="B189" s="249" t="s">
        <v>841</v>
      </c>
      <c r="C189" s="249">
        <v>4.6500000000000004</v>
      </c>
      <c r="D189" s="249">
        <v>2.02</v>
      </c>
      <c r="E189" s="249">
        <v>3.33</v>
      </c>
      <c r="F189" s="252">
        <f t="shared" si="7"/>
        <v>559.37</v>
      </c>
      <c r="G189" s="249">
        <f t="shared" si="8"/>
        <v>9663.94</v>
      </c>
      <c r="H189">
        <f t="shared" si="9"/>
        <v>23289.62</v>
      </c>
      <c r="I189" s="252">
        <f t="shared" si="10"/>
        <v>66.379833274067778</v>
      </c>
    </row>
    <row r="190" spans="1:9">
      <c r="A190" s="249" t="s">
        <v>688</v>
      </c>
      <c r="B190" s="249" t="s">
        <v>841</v>
      </c>
      <c r="C190" s="249">
        <v>3.89</v>
      </c>
      <c r="D190" s="249">
        <v>1.83</v>
      </c>
      <c r="E190" s="249">
        <v>3.15</v>
      </c>
      <c r="F190" s="252">
        <f t="shared" si="7"/>
        <v>591.33000000000004</v>
      </c>
      <c r="G190" s="249">
        <f t="shared" si="8"/>
        <v>9141.56</v>
      </c>
      <c r="H190">
        <f t="shared" si="9"/>
        <v>22030.720000000001</v>
      </c>
      <c r="I190" s="252">
        <f t="shared" si="10"/>
        <v>70.173003947968908</v>
      </c>
    </row>
    <row r="191" spans="1:9">
      <c r="A191" s="249" t="s">
        <v>689</v>
      </c>
      <c r="B191" s="249" t="s">
        <v>842</v>
      </c>
      <c r="C191" s="249">
        <v>5.16</v>
      </c>
      <c r="D191" s="249">
        <v>0.88</v>
      </c>
      <c r="E191" s="249">
        <v>3.29</v>
      </c>
      <c r="F191" s="252">
        <f t="shared" si="7"/>
        <v>566.16999999999996</v>
      </c>
      <c r="G191" s="249">
        <f t="shared" si="8"/>
        <v>9547.85</v>
      </c>
      <c r="H191">
        <f t="shared" si="9"/>
        <v>23009.87</v>
      </c>
      <c r="I191" s="252">
        <f t="shared" si="10"/>
        <v>67.186929619819594</v>
      </c>
    </row>
    <row r="192" spans="1:9">
      <c r="A192" s="249" t="s">
        <v>690</v>
      </c>
      <c r="B192" s="249" t="s">
        <v>842</v>
      </c>
      <c r="C192" s="249">
        <v>5.04</v>
      </c>
      <c r="D192" s="249">
        <v>0.06</v>
      </c>
      <c r="E192" s="249">
        <v>2.89</v>
      </c>
      <c r="F192" s="252">
        <f t="shared" si="7"/>
        <v>644.53</v>
      </c>
      <c r="G192" s="249">
        <f t="shared" si="8"/>
        <v>8387.02</v>
      </c>
      <c r="H192">
        <f t="shared" si="9"/>
        <v>20212.310000000001</v>
      </c>
      <c r="I192" s="252">
        <f t="shared" si="10"/>
        <v>76.486132854171629</v>
      </c>
    </row>
    <row r="193" spans="1:9">
      <c r="A193" s="249" t="s">
        <v>691</v>
      </c>
      <c r="B193" s="249" t="s">
        <v>843</v>
      </c>
      <c r="C193" s="249">
        <v>4.0199999999999996</v>
      </c>
      <c r="D193" s="249">
        <v>2.16</v>
      </c>
      <c r="E193" s="249">
        <v>3.38</v>
      </c>
      <c r="F193" s="252">
        <f t="shared" si="7"/>
        <v>551.09</v>
      </c>
      <c r="G193" s="249">
        <f t="shared" si="8"/>
        <v>9809.0400000000009</v>
      </c>
      <c r="H193">
        <f t="shared" si="9"/>
        <v>23639.31</v>
      </c>
      <c r="I193" s="252">
        <f t="shared" si="10"/>
        <v>65.397911107569598</v>
      </c>
    </row>
    <row r="194" spans="1:9">
      <c r="A194" s="249" t="s">
        <v>692</v>
      </c>
      <c r="B194" s="249" t="s">
        <v>844</v>
      </c>
      <c r="C194" s="249">
        <v>4.63</v>
      </c>
      <c r="D194" s="249">
        <v>2.35</v>
      </c>
      <c r="E194" s="249">
        <v>3.7</v>
      </c>
      <c r="F194" s="252">
        <f t="shared" si="7"/>
        <v>503.43</v>
      </c>
      <c r="G194" s="249">
        <f t="shared" si="8"/>
        <v>10737.71</v>
      </c>
      <c r="H194">
        <f t="shared" si="9"/>
        <v>25877.360000000001</v>
      </c>
      <c r="I194" s="252">
        <f t="shared" si="10"/>
        <v>59.741856128596751</v>
      </c>
    </row>
    <row r="195" spans="1:9">
      <c r="A195" s="249" t="s">
        <v>693</v>
      </c>
      <c r="B195" s="249" t="s">
        <v>844</v>
      </c>
      <c r="C195" s="249">
        <v>3.98</v>
      </c>
      <c r="D195" s="249">
        <v>2.13</v>
      </c>
      <c r="E195" s="249">
        <v>3.44</v>
      </c>
      <c r="F195" s="252">
        <f t="shared" si="7"/>
        <v>541.48</v>
      </c>
      <c r="G195" s="249">
        <f t="shared" si="8"/>
        <v>9983.17</v>
      </c>
      <c r="H195">
        <f t="shared" si="9"/>
        <v>24058.95</v>
      </c>
      <c r="I195" s="252">
        <f t="shared" si="10"/>
        <v>64.257217494102036</v>
      </c>
    </row>
    <row r="196" spans="1:9">
      <c r="A196" s="249" t="s">
        <v>694</v>
      </c>
      <c r="B196" s="249" t="s">
        <v>845</v>
      </c>
      <c r="C196" s="249">
        <v>4.3099999999999996</v>
      </c>
      <c r="D196" s="249">
        <v>2.29</v>
      </c>
      <c r="E196" s="249">
        <v>3.56</v>
      </c>
      <c r="F196" s="252">
        <f t="shared" si="7"/>
        <v>523.23</v>
      </c>
      <c r="G196" s="249">
        <f t="shared" si="8"/>
        <v>10331.42</v>
      </c>
      <c r="H196">
        <f t="shared" si="9"/>
        <v>24898.21</v>
      </c>
      <c r="I196" s="252">
        <f t="shared" si="10"/>
        <v>62.091244569535895</v>
      </c>
    </row>
    <row r="197" spans="1:9">
      <c r="A197" s="249" t="s">
        <v>695</v>
      </c>
      <c r="B197" s="249" t="s">
        <v>846</v>
      </c>
      <c r="C197" s="249">
        <v>4.21</v>
      </c>
      <c r="D197" s="249">
        <v>2.29</v>
      </c>
      <c r="E197" s="249">
        <v>3.5</v>
      </c>
      <c r="F197" s="252">
        <f t="shared" si="7"/>
        <v>532.20000000000005</v>
      </c>
      <c r="G197" s="249">
        <f t="shared" si="8"/>
        <v>10157.290000000001</v>
      </c>
      <c r="H197">
        <f t="shared" si="9"/>
        <v>24478.58</v>
      </c>
      <c r="I197" s="252">
        <f t="shared" si="10"/>
        <v>63.155696644537521</v>
      </c>
    </row>
    <row r="198" spans="1:9">
      <c r="A198" s="249" t="s">
        <v>696</v>
      </c>
      <c r="B198" s="249" t="s">
        <v>846</v>
      </c>
      <c r="C198" s="249">
        <v>4.29</v>
      </c>
      <c r="D198" s="249">
        <v>2.33</v>
      </c>
      <c r="E198" s="249">
        <v>3.5</v>
      </c>
      <c r="F198" s="252">
        <f t="shared" si="7"/>
        <v>532.20000000000005</v>
      </c>
      <c r="G198" s="249">
        <f t="shared" si="8"/>
        <v>10157.290000000001</v>
      </c>
      <c r="H198">
        <f t="shared" si="9"/>
        <v>24478.58</v>
      </c>
      <c r="I198" s="252">
        <f t="shared" si="10"/>
        <v>63.155696644537521</v>
      </c>
    </row>
    <row r="199" spans="1:9">
      <c r="A199" s="249" t="s">
        <v>697</v>
      </c>
      <c r="B199" s="249" t="s">
        <v>847</v>
      </c>
      <c r="C199" s="249">
        <v>5.25</v>
      </c>
      <c r="D199" s="249">
        <v>2.77</v>
      </c>
      <c r="E199" s="249">
        <v>4.2300000000000004</v>
      </c>
      <c r="F199" s="252">
        <f t="shared" si="7"/>
        <v>440.35</v>
      </c>
      <c r="G199" s="249">
        <f t="shared" si="8"/>
        <v>12275.81</v>
      </c>
      <c r="H199">
        <f t="shared" si="9"/>
        <v>29584.11</v>
      </c>
      <c r="I199" s="252">
        <f t="shared" si="10"/>
        <v>52.256488652935701</v>
      </c>
    </row>
    <row r="200" spans="1:9">
      <c r="A200" s="249" t="s">
        <v>698</v>
      </c>
      <c r="B200" s="249" t="s">
        <v>848</v>
      </c>
      <c r="C200" s="249">
        <v>4.8099999999999996</v>
      </c>
      <c r="D200" s="249">
        <v>0.69</v>
      </c>
      <c r="E200" s="249">
        <v>3.1</v>
      </c>
      <c r="F200" s="252">
        <f t="shared" si="7"/>
        <v>600.87</v>
      </c>
      <c r="G200" s="249">
        <f t="shared" si="8"/>
        <v>8996.4599999999991</v>
      </c>
      <c r="H200">
        <f t="shared" si="9"/>
        <v>21681.03</v>
      </c>
      <c r="I200" s="252">
        <f t="shared" si="10"/>
        <v>71.30479388232645</v>
      </c>
    </row>
    <row r="201" spans="1:9">
      <c r="B201" s="249"/>
    </row>
  </sheetData>
  <dataValidations count="1">
    <dataValidation type="list" allowBlank="1" showInputMessage="1" showErrorMessage="1" sqref="A68 D69 A70" xr:uid="{671F5898-6977-AA48-A396-EBBA3B752F44}">
      <formula1>$A$76:$A$200</formula1>
    </dataValidation>
  </dataValidations>
  <hyperlinks>
    <hyperlink ref="A4" r:id="rId1" xr:uid="{59D20559-BB4E-F94E-9061-B87B09A0ACCC}"/>
    <hyperlink ref="A5" r:id="rId2" xr:uid="{4FDAE03C-8DF5-8A46-9E4C-38FD11653D2D}"/>
    <hyperlink ref="A3" r:id="rId3" xr:uid="{CB1C81A2-AF5E-5240-AA8C-632496C15388}"/>
    <hyperlink ref="B76" r:id="rId4" display="https://www.eia.gov/electricity/state/alabama" xr:uid="{35D82F7D-1497-B549-B2B9-92243010778F}"/>
    <hyperlink ref="B77" r:id="rId5" display="https://www.eia.gov/electricity/state/alaska" xr:uid="{D3415F59-C107-2C45-BCB1-3AD0C96651B0}"/>
    <hyperlink ref="B83" r:id="rId6" display="https://www.eia.gov/electricity/state/arkansas" xr:uid="{8A39B7A8-A3AD-F34D-A28F-150C571E372E}"/>
    <hyperlink ref="B92" r:id="rId7" display="https://www.eia.gov/electricity/state/colorado" xr:uid="{7E7A4C1E-2007-E242-8199-19E0B92AC69D}"/>
    <hyperlink ref="B96" r:id="rId8" display="https://www.eia.gov/electricity/state/connecticut" xr:uid="{9A1BFEA6-D018-E046-AA1F-06FF1E8EA9DC}"/>
    <hyperlink ref="B98" r:id="rId9" display="https://www.eia.gov/electricity/state/delaware" xr:uid="{2653170B-9FF9-EA4F-A70C-7D6E222DB3D8}"/>
    <hyperlink ref="B97" r:id="rId10" display="https://www.eia.gov/electricity/state/districtofcolumbia" xr:uid="{AD8F6280-69ED-9E44-B8DC-E24F6AD800AC}"/>
    <hyperlink ref="B99" r:id="rId11" display="https://www.eia.gov/electricity/state/florida" xr:uid="{10BAC61B-B1BE-CC4C-A46A-9461FC536EFC}"/>
    <hyperlink ref="B104" r:id="rId12" display="https://www.eia.gov/electricity/state/georgia" xr:uid="{B6F99C11-B154-3C4E-9C24-5D2F986E30FB}"/>
    <hyperlink ref="B106" r:id="rId13" display="https://www.eia.gov/electricity/state/hawaii" xr:uid="{45260FAF-6F2D-694F-B44B-513DAD20D033}"/>
    <hyperlink ref="B108" r:id="rId14" display="https://www.eia.gov/electricity/state/idaho" xr:uid="{37FAF73B-7D90-8949-AFCF-3DC90004614C}"/>
    <hyperlink ref="B110" r:id="rId15" display="https://www.eia.gov/electricity/state/illinois" xr:uid="{0C96B9DD-77AE-4A4B-90A8-9FE09765F67C}"/>
    <hyperlink ref="B111" r:id="rId16" display="https://www.eia.gov/electricity/state/indiana" xr:uid="{9291C7FE-BC36-4240-82E1-6B6EE8373E92}"/>
    <hyperlink ref="B107" r:id="rId17" display="https://www.eia.gov/electricity/state/iowa" xr:uid="{11FF0443-455C-6846-AE27-01345E731AEB}"/>
    <hyperlink ref="B112" r:id="rId18" display="https://www.eia.gov/electricity/state/kansas" xr:uid="{8B86940E-8851-CE43-AD23-5D49CD308AC5}"/>
    <hyperlink ref="B114" r:id="rId19" display="https://www.eia.gov/electricity/state/kentucky" xr:uid="{5A1B62DF-AAF1-104E-90F2-5E076C0BF73E}"/>
    <hyperlink ref="B115" r:id="rId20" display="https://www.eia.gov/electricity/state/louisiana" xr:uid="{B9D8F0C6-8BA9-5A45-9936-13109080ED63}"/>
    <hyperlink ref="B125" r:id="rId21" display="https://www.eia.gov/electricity/state/maine" xr:uid="{E2F0BC6D-928A-F447-A534-42B66AF50CCF}"/>
    <hyperlink ref="B123" r:id="rId22" display="https://www.eia.gov/electricity/state/maryland" xr:uid="{CC26BE31-7F78-404C-B8C6-F2F1DE2F46B3}"/>
    <hyperlink ref="B118" r:id="rId23" display="https://www.eia.gov/electricity/state/massachusetts" xr:uid="{23BD218E-7508-4945-9328-F7F39A3138CF}"/>
    <hyperlink ref="B127" r:id="rId24" display="https://www.eia.gov/electricity/state/michigan" xr:uid="{E2315163-F180-044D-96A1-6F16D513D510}"/>
    <hyperlink ref="B128" r:id="rId25" display="https://www.eia.gov/electricity/state/minnesota" xr:uid="{3ECC2415-7E76-194B-AFD7-8A73C1E4D210}"/>
    <hyperlink ref="B131" r:id="rId26" display="https://www.eia.gov/electricity/state/mississippi" xr:uid="{1A87A421-4E37-E645-AE00-096DD94C6DCB}"/>
    <hyperlink ref="B130" r:id="rId27" display="https://www.eia.gov/electricity/state/missouri" xr:uid="{E5A85251-84D8-2843-A8B7-BE526A14CD10}"/>
    <hyperlink ref="B132" r:id="rId28" display="https://www.eia.gov/electricity/state/montana" xr:uid="{03C67E53-CB9F-8541-85E4-4300C3880CB3}"/>
    <hyperlink ref="B138" r:id="rId29" display="https://www.eia.gov/electricity/state/nebraska" xr:uid="{66D84E8B-083E-9340-BFD0-B48D44A7E1C9}"/>
    <hyperlink ref="B143" r:id="rId30" display="https://www.eia.gov/electricity/state/nevada" xr:uid="{DCF20CDE-DEB2-AD48-A0CD-E38C0E09383B}"/>
    <hyperlink ref="B141" r:id="rId31" display="https://www.eia.gov/electricity/state/newhampshire" xr:uid="{E6F12C47-682C-1A4D-8126-1755F977961C}"/>
    <hyperlink ref="B140" r:id="rId32" display="https://www.eia.gov/electricity/state/newjersey" xr:uid="{EF00AB71-6882-6343-AEA9-D3D7BA0D1163}"/>
    <hyperlink ref="B142" r:id="rId33" display="https://www.eia.gov/electricity/state/newmexico" xr:uid="{E3176609-73D4-E44B-8AC3-2C6A70DE3C74}"/>
    <hyperlink ref="B145" r:id="rId34" display="https://www.eia.gov/electricity/state/newyork" xr:uid="{D7F5AC0E-197D-8040-A171-01176C40F03A}"/>
    <hyperlink ref="B135" r:id="rId35" display="https://www.eia.gov/electricity/state/northcarolina" xr:uid="{0992A85D-92E2-9C46-A28B-EBC32245B571}"/>
    <hyperlink ref="B137" r:id="rId36" display="https://www.eia.gov/electricity/state/northdakota" xr:uid="{5F6FE61D-3CCB-0847-8B65-12C5155EF8DA}"/>
    <hyperlink ref="B150" r:id="rId37" display="https://www.eia.gov/electricity/state/ohio" xr:uid="{2800FB8D-9534-454F-8C59-5EFCC4DB91B0}"/>
    <hyperlink ref="B152" r:id="rId38" display="https://www.eia.gov/electricity/state/oklahoma" xr:uid="{034218DA-5F02-EC44-A907-50D75D5E4E81}"/>
    <hyperlink ref="B154" r:id="rId39" display="https://www.eia.gov/electricity/state/oregon" xr:uid="{F87308A4-0BC2-024C-9AFF-582411B30D3B}"/>
    <hyperlink ref="B158" r:id="rId40" display="https://www.eia.gov/electricity/state/pennsylvania" xr:uid="{439944A6-378A-B641-8FB7-7A0293F633C9}"/>
    <hyperlink ref="B159" r:id="rId41" display="https://www.eia.gov/electricity/state/rhodeisland" xr:uid="{AC8F1E29-0BED-D646-AD44-FFCBDC8D4D63}"/>
    <hyperlink ref="B160" r:id="rId42" display="https://www.eia.gov/electricity/state/southcarolina" xr:uid="{EC631915-FF04-9D43-BEC7-CBF9CA355909}"/>
    <hyperlink ref="B161" r:id="rId43" display="https://www.eia.gov/electricity/state/southdakota" xr:uid="{01A8A26F-64E8-1243-B319-5218C00517CD}"/>
    <hyperlink ref="B162" r:id="rId44" display="https://www.eia.gov/electricity/state/tennessee" xr:uid="{1859E4E5-F2F7-794E-B540-349AD30D1796}"/>
    <hyperlink ref="B164" r:id="rId45" display="https://www.eia.gov/electricity/state/texas" xr:uid="{21238E31-B830-6842-8A23-617BB97108B7}"/>
    <hyperlink ref="B170" r:id="rId46" display="https://www.eia.gov/electricity/state/utah" xr:uid="{CEE45F86-4EFB-984E-ADA2-D6524C57B854}"/>
    <hyperlink ref="B172" r:id="rId47" display="https://www.eia.gov/electricity/state/vermont" xr:uid="{ADD18FCB-4EDD-9B43-88C4-28B941B0B581}"/>
    <hyperlink ref="B171" r:id="rId48" display="https://www.eia.gov/electricity/state/virginia" xr:uid="{0440BBDF-229C-3F4B-91A5-6CE4B90DA634}"/>
    <hyperlink ref="B173" r:id="rId49" display="https://www.eia.gov/electricity/state/washington" xr:uid="{E857B4AF-151E-3C48-882A-B87250F02486}"/>
    <hyperlink ref="B178" r:id="rId50" display="https://www.eia.gov/electricity/state/westvirginia" xr:uid="{03FFB8E8-F078-D044-994E-165C5F1BF268}"/>
    <hyperlink ref="B179" r:id="rId51" display="https://www.eia.gov/electricity/state/wisconsin" xr:uid="{11FF40FC-5ACD-EF48-B271-C421A23F05F1}"/>
    <hyperlink ref="B180" r:id="rId52" display="https://www.eia.gov/electricity/state/wyoming" xr:uid="{F80C95E3-DB93-604D-92BA-43A994F41FB8}"/>
    <hyperlink ref="B78:B79" r:id="rId53" display="https://www.eia.gov/electricity/state/alaska" xr:uid="{D9E151EE-9DE8-F84A-86BF-7277A79AD50B}"/>
    <hyperlink ref="B80:B82" r:id="rId54" display="https://www.eia.gov/electricity/state/arizona" xr:uid="{EE595407-995A-DC46-B171-EFD9C684CFA5}"/>
    <hyperlink ref="B84:B91" r:id="rId55" display="https://www.eia.gov/electricity/state/california" xr:uid="{4F8E5877-8EA4-C646-A96F-D1B64B3AD6CC}"/>
    <hyperlink ref="B93:B95" r:id="rId56" display="https://www.eia.gov/electricity/state/colorado" xr:uid="{DB140901-0593-BA4F-9D25-E66F3AF98F42}"/>
    <hyperlink ref="B100:B103" r:id="rId57" display="https://www.eia.gov/electricity/state/florida" xr:uid="{A91FA8E5-649F-954F-B04E-BB36878B32F1}"/>
    <hyperlink ref="B105" r:id="rId58" display="https://www.eia.gov/electricity/state/georgia" xr:uid="{90FF6460-F69B-204A-913A-7A1A0B0AF4D5}"/>
    <hyperlink ref="B109" r:id="rId59" display="https://www.eia.gov/electricity/state/idaho" xr:uid="{BCBFEE16-BD1A-214C-9251-7BB4D36D8DCF}"/>
    <hyperlink ref="B113" r:id="rId60" display="https://www.eia.gov/electricity/state/kansas" xr:uid="{CB571059-7490-394B-816E-D7F569FA7C24}"/>
    <hyperlink ref="B116:B117" r:id="rId61" display="https://www.eia.gov/electricity/state/louisiana" xr:uid="{3AF3275E-E219-9B48-BF49-C9C9451D16AF}"/>
    <hyperlink ref="B119:B122" r:id="rId62" display="https://www.eia.gov/electricity/state/massachusetts" xr:uid="{D3EFEB57-C8C9-9F46-BD33-92EF22F7667A}"/>
    <hyperlink ref="B126" r:id="rId63" display="https://www.eia.gov/electricity/state/michigan" xr:uid="{31E2C028-F89B-0A40-8316-406A29433DC5}"/>
    <hyperlink ref="B174:B177" r:id="rId64" display="https://www.eia.gov/electricity/state/washington" xr:uid="{67739DE1-38BE-8D43-A8CA-855F6E686476}"/>
    <hyperlink ref="B169" r:id="rId65" display="https://www.eia.gov/electricity/state/utah" xr:uid="{43A770A1-68B3-2C41-92C6-3289694E6C44}"/>
    <hyperlink ref="B165:B168" r:id="rId66" display="https://www.eia.gov/electricity/state/texas" xr:uid="{17D37D49-E9DF-664D-A13F-7AAADC656F3D}"/>
    <hyperlink ref="B163" r:id="rId67" display="https://www.eia.gov/electricity/state/tennessee" xr:uid="{866D76E0-B1AF-C440-9713-E9C832756636}"/>
    <hyperlink ref="B157" r:id="rId68" display="https://www.eia.gov/electricity/state/pennsylvania" xr:uid="{EE997434-1E24-FD42-9864-CCCD1221E0EB}"/>
    <hyperlink ref="B155:B156" r:id="rId69" display="https://www.eia.gov/electricity/state/oregon" xr:uid="{EDD0946A-3A9C-4440-AC67-86AF36400D5B}"/>
    <hyperlink ref="B153" r:id="rId70" display="https://www.eia.gov/electricity/state/oklahoma" xr:uid="{3CA6A689-1CDE-B444-B6ED-9C0262AFFC48}"/>
    <hyperlink ref="B151" r:id="rId71" display="https://www.eia.gov/electricity/state/ohio" xr:uid="{D13BDED4-4FA0-794D-842A-A81792C54DC1}"/>
    <hyperlink ref="B146:B149" r:id="rId72" display="https://www.eia.gov/electricity/state/newyork" xr:uid="{A0341BE3-3321-4C40-AD3F-2799513FD4B5}"/>
    <hyperlink ref="B144" r:id="rId73" display="https://www.eia.gov/electricity/state/nevada" xr:uid="{B0CA591F-EF02-0246-B6C6-523BE5E6FE24}"/>
    <hyperlink ref="B139" r:id="rId74" display="https://www.eia.gov/electricity/state/nebraska" xr:uid="{C0A9C2B8-F246-434F-AC8C-B9B846C8AB36}"/>
    <hyperlink ref="B136" r:id="rId75" display="https://www.eia.gov/electricity/state/northcarolina" xr:uid="{0C3DF63C-DFCD-0342-9A97-A94CB11A6599}"/>
    <hyperlink ref="B133:B134" r:id="rId76" display="https://www.eia.gov/electricity/state/montana" xr:uid="{E45E5491-574F-5D4D-9928-CA03A6D4087A}"/>
    <hyperlink ref="B129" r:id="rId77" display="https://www.eia.gov/electricity/state/missouri" xr:uid="{A9F49419-431D-3347-8003-876EEC783963}"/>
    <hyperlink ref="B124" r:id="rId78" display="https://www.eia.gov/electricity/state/maine" xr:uid="{4528B27A-4F83-0A47-9554-7843340430EF}"/>
  </hyperlinks>
  <pageMargins left="0.7" right="0.7" top="0.75" bottom="0.75" header="0.3" footer="0.3"/>
</worksheet>
</file>

<file path=xl/worksheets/sheet1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78373-7469-9644-84C2-3C9C3E841F71}">
  <sheetPr codeName="Sheet5"/>
  <dimension ref="A1:I57"/>
  <sheetViews>
    <sheetView showGridLines="0" topLeftCell="A8" workbookViewId="0">
      <selection activeCell="B18" sqref="B18"/>
    </sheetView>
  </sheetViews>
  <sheetFormatPr baseColWidth="10" defaultRowHeight="16"/>
  <cols>
    <col min="1" max="1" width="25.5" bestFit="1" customWidth="1"/>
    <col min="2" max="2" width="11.33203125" customWidth="1"/>
    <col min="3" max="3" width="14.1640625" customWidth="1"/>
    <col min="5" max="5" width="25" bestFit="1" customWidth="1"/>
  </cols>
  <sheetData>
    <row r="1" spans="1:7" s="32" customFormat="1">
      <c r="A1" t="s">
        <v>51</v>
      </c>
      <c r="B1"/>
      <c r="C1"/>
      <c r="D1" s="37" t="s">
        <v>87</v>
      </c>
      <c r="E1"/>
      <c r="F1"/>
      <c r="G1"/>
    </row>
    <row r="2" spans="1:7" s="32" customFormat="1">
      <c r="A2" t="s">
        <v>50</v>
      </c>
      <c r="B2"/>
      <c r="C2"/>
      <c r="D2" t="s">
        <v>49</v>
      </c>
      <c r="E2"/>
      <c r="F2"/>
      <c r="G2"/>
    </row>
    <row r="3" spans="1:7">
      <c r="A3" t="s">
        <v>52</v>
      </c>
      <c r="D3" s="37" t="s">
        <v>89</v>
      </c>
    </row>
    <row r="4" spans="1:7">
      <c r="C4" t="s">
        <v>59</v>
      </c>
      <c r="D4" s="37" t="s">
        <v>90</v>
      </c>
    </row>
    <row r="5" spans="1:7">
      <c r="C5" t="s">
        <v>58</v>
      </c>
      <c r="D5" s="37" t="s">
        <v>91</v>
      </c>
    </row>
    <row r="6" spans="1:7">
      <c r="C6" t="s">
        <v>61</v>
      </c>
      <c r="D6" s="37" t="s">
        <v>92</v>
      </c>
    </row>
    <row r="7" spans="1:7">
      <c r="D7" s="37" t="s">
        <v>93</v>
      </c>
    </row>
    <row r="8" spans="1:7">
      <c r="D8" t="s">
        <v>95</v>
      </c>
    </row>
    <row r="9" spans="1:7">
      <c r="C9" t="s">
        <v>97</v>
      </c>
      <c r="D9" s="37" t="s">
        <v>98</v>
      </c>
    </row>
    <row r="10" spans="1:7">
      <c r="D10" s="37"/>
    </row>
    <row r="11" spans="1:7">
      <c r="A11" s="13" t="s">
        <v>55</v>
      </c>
    </row>
    <row r="12" spans="1:7">
      <c r="A12" t="s">
        <v>53</v>
      </c>
      <c r="B12" t="s">
        <v>56</v>
      </c>
    </row>
    <row r="13" spans="1:7">
      <c r="A13" t="s">
        <v>10</v>
      </c>
      <c r="B13" t="s">
        <v>57</v>
      </c>
      <c r="D13" t="s">
        <v>60</v>
      </c>
    </row>
    <row r="15" spans="1:7" ht="21">
      <c r="A15" s="40" t="s">
        <v>101</v>
      </c>
    </row>
    <row r="16" spans="1:7">
      <c r="A16" s="39" t="s">
        <v>53</v>
      </c>
      <c r="B16" s="39" t="s">
        <v>10</v>
      </c>
      <c r="C16" s="39" t="s">
        <v>54</v>
      </c>
      <c r="D16" s="39" t="s">
        <v>62</v>
      </c>
      <c r="E16" s="39" t="s">
        <v>100</v>
      </c>
      <c r="F16" s="39" t="s">
        <v>28</v>
      </c>
      <c r="G16" s="39" t="s">
        <v>102</v>
      </c>
    </row>
    <row r="17" spans="1:7">
      <c r="A17" s="38">
        <v>25</v>
      </c>
      <c r="B17" s="38">
        <v>0.5</v>
      </c>
      <c r="C17" s="38">
        <v>20</v>
      </c>
      <c r="D17" s="38">
        <v>7800</v>
      </c>
      <c r="E17" s="38">
        <f>$B$32/($B$31*D17)</f>
        <v>3.8038884192730348E-2</v>
      </c>
      <c r="F17" s="38">
        <v>0.9</v>
      </c>
      <c r="G17" s="38">
        <v>300000</v>
      </c>
    </row>
    <row r="18" spans="1:7">
      <c r="A18" s="38">
        <v>25</v>
      </c>
      <c r="B18" s="38">
        <v>0.5</v>
      </c>
      <c r="C18" s="38">
        <v>60</v>
      </c>
      <c r="D18" s="38">
        <v>7200</v>
      </c>
      <c r="E18" s="38">
        <f>$B$32/($B$31*D18)</f>
        <v>4.1208791208791208E-2</v>
      </c>
      <c r="F18" s="38">
        <v>0.9</v>
      </c>
      <c r="G18" s="38">
        <v>300000</v>
      </c>
    </row>
    <row r="19" spans="1:7">
      <c r="A19" s="38">
        <v>25</v>
      </c>
      <c r="B19" s="38">
        <v>0.5</v>
      </c>
      <c r="C19" s="38">
        <v>100</v>
      </c>
      <c r="D19" s="38">
        <v>6400</v>
      </c>
      <c r="E19" s="38">
        <f>$B$32/($B$31*D19)</f>
        <v>4.6359890109890112E-2</v>
      </c>
      <c r="F19" s="38">
        <v>0.9</v>
      </c>
      <c r="G19" s="38">
        <v>300000</v>
      </c>
    </row>
    <row r="21" spans="1:7" ht="21">
      <c r="A21" s="40" t="s">
        <v>103</v>
      </c>
    </row>
    <row r="22" spans="1:7">
      <c r="A22" s="38" t="s">
        <v>102</v>
      </c>
      <c r="B22" s="38" t="s">
        <v>28</v>
      </c>
    </row>
    <row r="23" spans="1:7">
      <c r="A23" s="38">
        <v>300000</v>
      </c>
      <c r="B23" s="38">
        <v>0.9</v>
      </c>
    </row>
    <row r="29" spans="1:7">
      <c r="A29" s="13" t="s">
        <v>88</v>
      </c>
      <c r="B29" t="s">
        <v>94</v>
      </c>
    </row>
    <row r="31" spans="1:7">
      <c r="A31" t="s">
        <v>96</v>
      </c>
      <c r="B31">
        <v>0.91</v>
      </c>
    </row>
    <row r="32" spans="1:7">
      <c r="A32" t="s">
        <v>99</v>
      </c>
      <c r="B32">
        <v>270</v>
      </c>
    </row>
    <row r="36" spans="1:6">
      <c r="A36" t="s">
        <v>63</v>
      </c>
    </row>
    <row r="37" spans="1:6" ht="17" thickBot="1"/>
    <row r="38" spans="1:6">
      <c r="A38" s="35" t="s">
        <v>64</v>
      </c>
      <c r="B38" s="35"/>
    </row>
    <row r="39" spans="1:6">
      <c r="A39" t="s">
        <v>65</v>
      </c>
      <c r="B39">
        <v>0.99661589554012397</v>
      </c>
    </row>
    <row r="40" spans="1:6">
      <c r="A40" t="s">
        <v>66</v>
      </c>
      <c r="B40">
        <v>0.99324324324324331</v>
      </c>
    </row>
    <row r="41" spans="1:6">
      <c r="A41" t="s">
        <v>67</v>
      </c>
      <c r="B41">
        <v>0.98648648648648662</v>
      </c>
    </row>
    <row r="42" spans="1:6">
      <c r="A42" t="s">
        <v>68</v>
      </c>
      <c r="B42">
        <v>81.649658092772597</v>
      </c>
    </row>
    <row r="43" spans="1:6" ht="17" thickBot="1">
      <c r="A43" s="33" t="s">
        <v>69</v>
      </c>
      <c r="B43" s="33">
        <v>3</v>
      </c>
    </row>
    <row r="45" spans="1:6" ht="17" thickBot="1">
      <c r="A45" t="s">
        <v>70</v>
      </c>
    </row>
    <row r="46" spans="1:6">
      <c r="A46" s="34"/>
      <c r="B46" s="34" t="s">
        <v>75</v>
      </c>
      <c r="C46" s="34" t="s">
        <v>76</v>
      </c>
      <c r="D46" s="34" t="s">
        <v>77</v>
      </c>
      <c r="E46" s="34" t="s">
        <v>13</v>
      </c>
      <c r="F46" s="34" t="s">
        <v>78</v>
      </c>
    </row>
    <row r="47" spans="1:6">
      <c r="A47" t="s">
        <v>71</v>
      </c>
      <c r="B47">
        <v>1</v>
      </c>
      <c r="C47">
        <v>980000</v>
      </c>
      <c r="D47">
        <v>980000</v>
      </c>
      <c r="E47">
        <v>147</v>
      </c>
      <c r="F47">
        <v>5.2388932821646833E-2</v>
      </c>
    </row>
    <row r="48" spans="1:6">
      <c r="A48" t="s">
        <v>72</v>
      </c>
      <c r="B48">
        <v>1</v>
      </c>
      <c r="C48">
        <v>6666.6666666666661</v>
      </c>
      <c r="D48">
        <v>6666.6666666666661</v>
      </c>
    </row>
    <row r="49" spans="1:9" ht="17" thickBot="1">
      <c r="A49" s="33" t="s">
        <v>73</v>
      </c>
      <c r="B49" s="33">
        <v>2</v>
      </c>
      <c r="C49" s="33">
        <v>986666.66666666663</v>
      </c>
      <c r="D49" s="33"/>
      <c r="E49" s="33"/>
      <c r="F49" s="33"/>
    </row>
    <row r="50" spans="1:9" ht="17" thickBot="1"/>
    <row r="51" spans="1:9">
      <c r="A51" s="34"/>
      <c r="B51" s="34" t="s">
        <v>79</v>
      </c>
      <c r="C51" s="34" t="s">
        <v>68</v>
      </c>
      <c r="D51" s="34" t="s">
        <v>80</v>
      </c>
      <c r="E51" s="34" t="s">
        <v>81</v>
      </c>
      <c r="F51" s="34" t="s">
        <v>82</v>
      </c>
      <c r="G51" s="34" t="s">
        <v>83</v>
      </c>
      <c r="H51" s="34" t="s">
        <v>84</v>
      </c>
      <c r="I51" s="34" t="s">
        <v>85</v>
      </c>
    </row>
    <row r="52" spans="1:9">
      <c r="A52" t="s">
        <v>74</v>
      </c>
      <c r="B52" s="13">
        <v>8183.333333333333</v>
      </c>
      <c r="C52">
        <v>98.601329718326951</v>
      </c>
      <c r="D52">
        <v>82.994147814340309</v>
      </c>
      <c r="E52">
        <v>7.6702874092399037E-3</v>
      </c>
      <c r="F52">
        <v>6930.4846506732029</v>
      </c>
      <c r="G52">
        <v>9436.1820159934632</v>
      </c>
      <c r="H52">
        <v>6930.4846506732029</v>
      </c>
      <c r="I52">
        <v>9436.1820159934632</v>
      </c>
    </row>
    <row r="53" spans="1:9" ht="17" thickBot="1">
      <c r="A53" s="33" t="s">
        <v>86</v>
      </c>
      <c r="B53" s="36">
        <v>-17.500000000000004</v>
      </c>
      <c r="C53" s="33">
        <v>1.4433756729740645</v>
      </c>
      <c r="D53" s="33">
        <v>-12.124355652982143</v>
      </c>
      <c r="E53" s="33">
        <v>5.2388932821646826E-2</v>
      </c>
      <c r="F53" s="33">
        <v>-35.839826812022416</v>
      </c>
      <c r="G53" s="33">
        <v>0.83982681202240883</v>
      </c>
      <c r="H53" s="33">
        <v>-35.839826812022416</v>
      </c>
      <c r="I53" s="33">
        <v>0.83982681202240883</v>
      </c>
    </row>
    <row r="56" spans="1:9" ht="17" thickBot="1"/>
    <row r="57" spans="1:9" ht="17" thickBot="1">
      <c r="C57" s="256"/>
    </row>
  </sheetData>
  <dataValidations count="1">
    <dataValidation type="list" allowBlank="1" showInputMessage="1" showErrorMessage="1" sqref="C57" xr:uid="{EA48D4C6-3ABC-EA41-BA57-03B77B38A877}">
      <formula1>$A$65:$A$185</formula1>
    </dataValidation>
  </dataValidations>
  <hyperlinks>
    <hyperlink ref="D1" r:id="rId1" xr:uid="{6B766709-BD90-7444-A062-CD153D95BFE5}"/>
    <hyperlink ref="D3" r:id="rId2" xr:uid="{FD907453-F2B3-0044-8480-D91E5F07AEE1}"/>
    <hyperlink ref="D4" r:id="rId3" location="gid=958056146 " xr:uid="{A2E7272A-35C2-3949-9A95-5854E92F2374}"/>
    <hyperlink ref="D5" r:id="rId4" xr:uid="{CBB21602-ED8F-9F45-A1FA-EA22AC2599B7}"/>
    <hyperlink ref="D6" r:id="rId5" xr:uid="{B543EA93-6237-9445-B855-C72ADF640E5F}"/>
    <hyperlink ref="D7" r:id="rId6" xr:uid="{5A9AF885-E539-4D44-8966-EFBE2E449E48}"/>
  </hyperlinks>
  <pageMargins left="0.7" right="0.7" top="0.75" bottom="0.75" header="0.3" footer="0.3"/>
</worksheet>
</file>

<file path=xl/worksheets/sheet1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415F7-D563-E24C-ABF9-96EDFBB5ECCD}">
  <sheetPr>
    <tabColor theme="1"/>
  </sheetPr>
  <dimension ref="A1"/>
  <sheetViews>
    <sheetView showGridLines="0" topLeftCell="XFD1048576" workbookViewId="0">
      <selection activeCell="B18" sqref="B18"/>
    </sheetView>
  </sheetViews>
  <sheetFormatPr baseColWidth="10" defaultColWidth="0" defaultRowHeight="16" zeroHeight="1"/>
  <cols>
    <col min="1" max="16384" width="10.83203125" hidden="1"/>
  </cols>
  <sheetData/>
  <pageMargins left="0.7" right="0.7" top="0.75" bottom="0.75" header="0.3" footer="0.3"/>
</worksheet>
</file>

<file path=xl/worksheets/sheet1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8FB6A-E1B7-7146-8635-25328D5E7077}">
  <sheetPr>
    <tabColor theme="9" tint="0.79998168889431442"/>
  </sheetPr>
  <dimension ref="B1:AH49"/>
  <sheetViews>
    <sheetView showGridLines="0" workbookViewId="0">
      <selection activeCell="K27" sqref="K27"/>
    </sheetView>
  </sheetViews>
  <sheetFormatPr baseColWidth="10" defaultRowHeight="16"/>
  <cols>
    <col min="2" max="2" width="60" style="42" bestFit="1" customWidth="1"/>
    <col min="3" max="3" width="12.83203125" bestFit="1" customWidth="1"/>
    <col min="4" max="4" width="15" bestFit="1" customWidth="1"/>
    <col min="5" max="5" width="16.83203125" bestFit="1" customWidth="1"/>
    <col min="6" max="34" width="10.5" bestFit="1" customWidth="1"/>
  </cols>
  <sheetData>
    <row r="1" spans="2:34">
      <c r="B1" s="93" t="s">
        <v>131</v>
      </c>
      <c r="C1" s="15"/>
    </row>
    <row r="2" spans="2:34">
      <c r="B2" s="44" t="s">
        <v>205</v>
      </c>
      <c r="C2" s="13"/>
      <c r="D2" s="90">
        <v>0</v>
      </c>
      <c r="E2" s="90">
        <v>1</v>
      </c>
      <c r="F2" s="90">
        <f>E2+1</f>
        <v>2</v>
      </c>
      <c r="G2" s="90">
        <f t="shared" ref="G2:AH2" si="0">F2+1</f>
        <v>3</v>
      </c>
      <c r="H2" s="90">
        <f t="shared" si="0"/>
        <v>4</v>
      </c>
      <c r="I2" s="90">
        <f t="shared" si="0"/>
        <v>5</v>
      </c>
      <c r="J2" s="90">
        <f t="shared" si="0"/>
        <v>6</v>
      </c>
      <c r="K2" s="90">
        <f t="shared" si="0"/>
        <v>7</v>
      </c>
      <c r="L2" s="90">
        <f t="shared" si="0"/>
        <v>8</v>
      </c>
      <c r="M2" s="90">
        <f t="shared" si="0"/>
        <v>9</v>
      </c>
      <c r="N2" s="90">
        <f t="shared" si="0"/>
        <v>10</v>
      </c>
      <c r="O2" s="90">
        <f t="shared" si="0"/>
        <v>11</v>
      </c>
      <c r="P2" s="90">
        <f t="shared" si="0"/>
        <v>12</v>
      </c>
      <c r="Q2" s="90">
        <f t="shared" si="0"/>
        <v>13</v>
      </c>
      <c r="R2" s="90">
        <f t="shared" si="0"/>
        <v>14</v>
      </c>
      <c r="S2" s="90">
        <f t="shared" si="0"/>
        <v>15</v>
      </c>
      <c r="T2" s="90">
        <f t="shared" si="0"/>
        <v>16</v>
      </c>
      <c r="U2" s="90">
        <f t="shared" si="0"/>
        <v>17</v>
      </c>
      <c r="V2" s="90">
        <f t="shared" si="0"/>
        <v>18</v>
      </c>
      <c r="W2" s="90">
        <f t="shared" si="0"/>
        <v>19</v>
      </c>
      <c r="X2" s="90">
        <f t="shared" si="0"/>
        <v>20</v>
      </c>
      <c r="Y2" s="90">
        <f t="shared" si="0"/>
        <v>21</v>
      </c>
      <c r="Z2" s="90">
        <f t="shared" si="0"/>
        <v>22</v>
      </c>
      <c r="AA2" s="90">
        <f t="shared" si="0"/>
        <v>23</v>
      </c>
      <c r="AB2" s="90">
        <f t="shared" si="0"/>
        <v>24</v>
      </c>
      <c r="AC2" s="90">
        <f t="shared" si="0"/>
        <v>25</v>
      </c>
      <c r="AD2" s="90">
        <f t="shared" si="0"/>
        <v>26</v>
      </c>
      <c r="AE2" s="90">
        <f t="shared" si="0"/>
        <v>27</v>
      </c>
      <c r="AF2" s="90">
        <f t="shared" si="0"/>
        <v>28</v>
      </c>
      <c r="AG2" s="90">
        <f t="shared" si="0"/>
        <v>29</v>
      </c>
      <c r="AH2" s="90">
        <f t="shared" si="0"/>
        <v>30</v>
      </c>
    </row>
    <row r="3" spans="2:34">
      <c r="B3" s="94" t="s">
        <v>208</v>
      </c>
      <c r="C3" s="91" t="s">
        <v>160</v>
      </c>
    </row>
    <row r="4" spans="2:34">
      <c r="B4" s="95"/>
      <c r="C4" s="92"/>
    </row>
    <row r="5" spans="2:34">
      <c r="B5" s="42" t="s">
        <v>214</v>
      </c>
      <c r="C5" s="1" t="s">
        <v>167</v>
      </c>
      <c r="D5" s="203">
        <v>0.12</v>
      </c>
    </row>
    <row r="6" spans="2:34">
      <c r="B6" s="42" t="s">
        <v>222</v>
      </c>
      <c r="C6" s="1" t="s">
        <v>223</v>
      </c>
      <c r="D6" s="111">
        <v>5.17</v>
      </c>
    </row>
    <row r="7" spans="2:34">
      <c r="B7" s="42" t="s">
        <v>220</v>
      </c>
      <c r="C7" s="1" t="s">
        <v>221</v>
      </c>
      <c r="D7" s="111">
        <v>350</v>
      </c>
      <c r="E7" s="166"/>
    </row>
    <row r="8" spans="2:34">
      <c r="B8" s="42" t="s">
        <v>215</v>
      </c>
      <c r="C8" s="1" t="s">
        <v>206</v>
      </c>
      <c r="E8" s="2">
        <f>E18-'Model Initial - Battery Lazard'!E37*'LCOS - Battery'!$K$23/'LCOS - Battery'!$K$24</f>
        <v>0.60535026315789453</v>
      </c>
      <c r="F8" s="2">
        <f t="shared" ref="F8:AH8" si="1">E8</f>
        <v>0.60535026315789453</v>
      </c>
      <c r="G8" s="2">
        <f t="shared" si="1"/>
        <v>0.60535026315789453</v>
      </c>
      <c r="H8" s="2">
        <f t="shared" si="1"/>
        <v>0.60535026315789453</v>
      </c>
      <c r="I8" s="2">
        <f t="shared" si="1"/>
        <v>0.60535026315789453</v>
      </c>
      <c r="J8" s="2">
        <f t="shared" si="1"/>
        <v>0.60535026315789453</v>
      </c>
      <c r="K8" s="2">
        <f t="shared" si="1"/>
        <v>0.60535026315789453</v>
      </c>
      <c r="L8" s="2">
        <f t="shared" si="1"/>
        <v>0.60535026315789453</v>
      </c>
      <c r="M8" s="2">
        <f t="shared" si="1"/>
        <v>0.60535026315789453</v>
      </c>
      <c r="N8" s="2">
        <f t="shared" si="1"/>
        <v>0.60535026315789453</v>
      </c>
      <c r="O8" s="2">
        <f t="shared" si="1"/>
        <v>0.60535026315789453</v>
      </c>
      <c r="P8" s="2">
        <f t="shared" si="1"/>
        <v>0.60535026315789453</v>
      </c>
      <c r="Q8" s="2">
        <f t="shared" si="1"/>
        <v>0.60535026315789453</v>
      </c>
      <c r="R8" s="2">
        <f t="shared" si="1"/>
        <v>0.60535026315789453</v>
      </c>
      <c r="S8" s="2">
        <f t="shared" si="1"/>
        <v>0.60535026315789453</v>
      </c>
      <c r="T8" s="2">
        <f t="shared" si="1"/>
        <v>0.60535026315789453</v>
      </c>
      <c r="U8" s="2">
        <f t="shared" si="1"/>
        <v>0.60535026315789453</v>
      </c>
      <c r="V8" s="2">
        <f t="shared" si="1"/>
        <v>0.60535026315789453</v>
      </c>
      <c r="W8" s="2">
        <f t="shared" si="1"/>
        <v>0.60535026315789453</v>
      </c>
      <c r="X8" s="2">
        <f t="shared" si="1"/>
        <v>0.60535026315789453</v>
      </c>
      <c r="Y8" s="2">
        <f t="shared" si="1"/>
        <v>0.60535026315789453</v>
      </c>
      <c r="Z8" s="2">
        <f t="shared" si="1"/>
        <v>0.60535026315789453</v>
      </c>
      <c r="AA8" s="2">
        <f t="shared" si="1"/>
        <v>0.60535026315789453</v>
      </c>
      <c r="AB8" s="2">
        <f t="shared" si="1"/>
        <v>0.60535026315789453</v>
      </c>
      <c r="AC8" s="2">
        <f t="shared" si="1"/>
        <v>0.60535026315789453</v>
      </c>
      <c r="AD8" s="2">
        <f t="shared" si="1"/>
        <v>0.60535026315789453</v>
      </c>
      <c r="AE8" s="2">
        <f t="shared" si="1"/>
        <v>0.60535026315789453</v>
      </c>
      <c r="AF8" s="2">
        <f t="shared" si="1"/>
        <v>0.60535026315789453</v>
      </c>
      <c r="AG8" s="2">
        <f t="shared" si="1"/>
        <v>0.60535026315789453</v>
      </c>
      <c r="AH8" s="2">
        <f t="shared" si="1"/>
        <v>0.60535026315789453</v>
      </c>
    </row>
    <row r="9" spans="2:34">
      <c r="B9" s="42" t="s">
        <v>209</v>
      </c>
      <c r="C9" s="1" t="s">
        <v>170</v>
      </c>
      <c r="D9" s="20"/>
      <c r="E9" s="4">
        <f>E8 * $D$7</f>
        <v>211.8725921052631</v>
      </c>
      <c r="F9" s="4">
        <f t="shared" ref="F9:AH9" si="2">F8 * $D$7</f>
        <v>211.8725921052631</v>
      </c>
      <c r="G9" s="4">
        <f t="shared" si="2"/>
        <v>211.8725921052631</v>
      </c>
      <c r="H9" s="4">
        <f t="shared" si="2"/>
        <v>211.8725921052631</v>
      </c>
      <c r="I9" s="4">
        <f t="shared" si="2"/>
        <v>211.8725921052631</v>
      </c>
      <c r="J9" s="4">
        <f t="shared" si="2"/>
        <v>211.8725921052631</v>
      </c>
      <c r="K9" s="4">
        <f t="shared" si="2"/>
        <v>211.8725921052631</v>
      </c>
      <c r="L9" s="4">
        <f t="shared" si="2"/>
        <v>211.8725921052631</v>
      </c>
      <c r="M9" s="4">
        <f t="shared" si="2"/>
        <v>211.8725921052631</v>
      </c>
      <c r="N9" s="4">
        <f t="shared" si="2"/>
        <v>211.8725921052631</v>
      </c>
      <c r="O9" s="4">
        <f t="shared" si="2"/>
        <v>211.8725921052631</v>
      </c>
      <c r="P9" s="4">
        <f t="shared" si="2"/>
        <v>211.8725921052631</v>
      </c>
      <c r="Q9" s="4">
        <f t="shared" si="2"/>
        <v>211.8725921052631</v>
      </c>
      <c r="R9" s="4">
        <f t="shared" si="2"/>
        <v>211.8725921052631</v>
      </c>
      <c r="S9" s="4">
        <f t="shared" si="2"/>
        <v>211.8725921052631</v>
      </c>
      <c r="T9" s="4">
        <f t="shared" si="2"/>
        <v>211.8725921052631</v>
      </c>
      <c r="U9" s="4">
        <f t="shared" si="2"/>
        <v>211.8725921052631</v>
      </c>
      <c r="V9" s="4">
        <f t="shared" si="2"/>
        <v>211.8725921052631</v>
      </c>
      <c r="W9" s="4">
        <f t="shared" si="2"/>
        <v>211.8725921052631</v>
      </c>
      <c r="X9" s="4">
        <f t="shared" si="2"/>
        <v>211.8725921052631</v>
      </c>
      <c r="Y9" s="4">
        <f t="shared" si="2"/>
        <v>211.8725921052631</v>
      </c>
      <c r="Z9" s="4">
        <f t="shared" si="2"/>
        <v>211.8725921052631</v>
      </c>
      <c r="AA9" s="4">
        <f t="shared" si="2"/>
        <v>211.8725921052631</v>
      </c>
      <c r="AB9" s="4">
        <f t="shared" si="2"/>
        <v>211.8725921052631</v>
      </c>
      <c r="AC9" s="4">
        <f t="shared" si="2"/>
        <v>211.8725921052631</v>
      </c>
      <c r="AD9" s="4">
        <f t="shared" si="2"/>
        <v>211.8725921052631</v>
      </c>
      <c r="AE9" s="4">
        <f t="shared" si="2"/>
        <v>211.8725921052631</v>
      </c>
      <c r="AF9" s="4">
        <f t="shared" si="2"/>
        <v>211.8725921052631</v>
      </c>
      <c r="AG9" s="4">
        <f t="shared" si="2"/>
        <v>211.8725921052631</v>
      </c>
      <c r="AH9" s="4">
        <f t="shared" si="2"/>
        <v>211.8725921052631</v>
      </c>
    </row>
    <row r="10" spans="2:34">
      <c r="B10" s="42" t="s">
        <v>211</v>
      </c>
      <c r="C10" s="1" t="s">
        <v>196</v>
      </c>
      <c r="D10" s="2"/>
      <c r="E10" s="107">
        <v>100</v>
      </c>
      <c r="F10" s="4">
        <f>E10</f>
        <v>100</v>
      </c>
      <c r="G10" s="4">
        <f t="shared" ref="G10:AH10" si="3">F10</f>
        <v>100</v>
      </c>
      <c r="H10" s="4">
        <f t="shared" si="3"/>
        <v>100</v>
      </c>
      <c r="I10" s="4">
        <f t="shared" si="3"/>
        <v>100</v>
      </c>
      <c r="J10" s="4">
        <f t="shared" si="3"/>
        <v>100</v>
      </c>
      <c r="K10" s="4">
        <f t="shared" si="3"/>
        <v>100</v>
      </c>
      <c r="L10" s="4">
        <f t="shared" si="3"/>
        <v>100</v>
      </c>
      <c r="M10" s="4">
        <f t="shared" si="3"/>
        <v>100</v>
      </c>
      <c r="N10" s="4">
        <f t="shared" si="3"/>
        <v>100</v>
      </c>
      <c r="O10" s="4">
        <f t="shared" si="3"/>
        <v>100</v>
      </c>
      <c r="P10" s="4">
        <f t="shared" si="3"/>
        <v>100</v>
      </c>
      <c r="Q10" s="4">
        <f t="shared" si="3"/>
        <v>100</v>
      </c>
      <c r="R10" s="4">
        <f t="shared" si="3"/>
        <v>100</v>
      </c>
      <c r="S10" s="4">
        <f t="shared" si="3"/>
        <v>100</v>
      </c>
      <c r="T10" s="4">
        <f t="shared" si="3"/>
        <v>100</v>
      </c>
      <c r="U10" s="4">
        <f t="shared" si="3"/>
        <v>100</v>
      </c>
      <c r="V10" s="4">
        <f t="shared" si="3"/>
        <v>100</v>
      </c>
      <c r="W10" s="4">
        <f t="shared" si="3"/>
        <v>100</v>
      </c>
      <c r="X10" s="4">
        <f t="shared" si="3"/>
        <v>100</v>
      </c>
      <c r="Y10" s="4">
        <f t="shared" si="3"/>
        <v>100</v>
      </c>
      <c r="Z10" s="4">
        <f t="shared" si="3"/>
        <v>100</v>
      </c>
      <c r="AA10" s="4">
        <f t="shared" si="3"/>
        <v>100</v>
      </c>
      <c r="AB10" s="4">
        <f t="shared" si="3"/>
        <v>100</v>
      </c>
      <c r="AC10" s="4">
        <f t="shared" si="3"/>
        <v>100</v>
      </c>
      <c r="AD10" s="4">
        <f t="shared" si="3"/>
        <v>100</v>
      </c>
      <c r="AE10" s="4">
        <f t="shared" si="3"/>
        <v>100</v>
      </c>
      <c r="AF10" s="4">
        <f t="shared" si="3"/>
        <v>100</v>
      </c>
      <c r="AG10" s="4">
        <f t="shared" si="3"/>
        <v>100</v>
      </c>
      <c r="AH10" s="4">
        <f t="shared" si="3"/>
        <v>100</v>
      </c>
    </row>
    <row r="11" spans="2:34">
      <c r="B11" s="42" t="s">
        <v>212</v>
      </c>
      <c r="C11" s="1"/>
      <c r="D11" s="2"/>
      <c r="E11" s="4">
        <f>E9 * E10 / 1000</f>
        <v>21.18725921052631</v>
      </c>
      <c r="F11" s="4">
        <f t="shared" ref="F11:AH11" si="4">F9 * F10 / 1000</f>
        <v>21.18725921052631</v>
      </c>
      <c r="G11" s="4">
        <f t="shared" si="4"/>
        <v>21.18725921052631</v>
      </c>
      <c r="H11" s="4">
        <f t="shared" si="4"/>
        <v>21.18725921052631</v>
      </c>
      <c r="I11" s="4">
        <f t="shared" si="4"/>
        <v>21.18725921052631</v>
      </c>
      <c r="J11" s="4">
        <f t="shared" si="4"/>
        <v>21.18725921052631</v>
      </c>
      <c r="K11" s="4">
        <f t="shared" si="4"/>
        <v>21.18725921052631</v>
      </c>
      <c r="L11" s="4">
        <f t="shared" si="4"/>
        <v>21.18725921052631</v>
      </c>
      <c r="M11" s="4">
        <f t="shared" si="4"/>
        <v>21.18725921052631</v>
      </c>
      <c r="N11" s="4">
        <f t="shared" si="4"/>
        <v>21.18725921052631</v>
      </c>
      <c r="O11" s="4">
        <f t="shared" si="4"/>
        <v>21.18725921052631</v>
      </c>
      <c r="P11" s="4">
        <f t="shared" si="4"/>
        <v>21.18725921052631</v>
      </c>
      <c r="Q11" s="4">
        <f t="shared" si="4"/>
        <v>21.18725921052631</v>
      </c>
      <c r="R11" s="4">
        <f t="shared" si="4"/>
        <v>21.18725921052631</v>
      </c>
      <c r="S11" s="4">
        <f t="shared" si="4"/>
        <v>21.18725921052631</v>
      </c>
      <c r="T11" s="4">
        <f t="shared" si="4"/>
        <v>21.18725921052631</v>
      </c>
      <c r="U11" s="4">
        <f t="shared" si="4"/>
        <v>21.18725921052631</v>
      </c>
      <c r="V11" s="4">
        <f t="shared" si="4"/>
        <v>21.18725921052631</v>
      </c>
      <c r="W11" s="4">
        <f t="shared" si="4"/>
        <v>21.18725921052631</v>
      </c>
      <c r="X11" s="4">
        <f t="shared" si="4"/>
        <v>21.18725921052631</v>
      </c>
      <c r="Y11" s="4">
        <f t="shared" si="4"/>
        <v>21.18725921052631</v>
      </c>
      <c r="Z11" s="4">
        <f t="shared" si="4"/>
        <v>21.18725921052631</v>
      </c>
      <c r="AA11" s="4">
        <f t="shared" si="4"/>
        <v>21.18725921052631</v>
      </c>
      <c r="AB11" s="4">
        <f t="shared" si="4"/>
        <v>21.18725921052631</v>
      </c>
      <c r="AC11" s="4">
        <f t="shared" si="4"/>
        <v>21.18725921052631</v>
      </c>
      <c r="AD11" s="4">
        <f t="shared" si="4"/>
        <v>21.18725921052631</v>
      </c>
      <c r="AE11" s="4">
        <f t="shared" si="4"/>
        <v>21.18725921052631</v>
      </c>
      <c r="AF11" s="4">
        <f t="shared" si="4"/>
        <v>21.18725921052631</v>
      </c>
      <c r="AG11" s="4">
        <f t="shared" si="4"/>
        <v>21.18725921052631</v>
      </c>
      <c r="AH11" s="4">
        <f t="shared" si="4"/>
        <v>21.18725921052631</v>
      </c>
    </row>
    <row r="12" spans="2:34">
      <c r="B12" s="42" t="s">
        <v>213</v>
      </c>
      <c r="D12" s="96">
        <f>SUM(E12:AH12)</f>
        <v>12.410232484402261</v>
      </c>
      <c r="E12" s="4">
        <f t="shared" ref="E12:AH12" si="5">IF(E2&gt;20,E11 / (1+$D$5)^E2,0)</f>
        <v>0</v>
      </c>
      <c r="F12" s="4">
        <f t="shared" si="5"/>
        <v>0</v>
      </c>
      <c r="G12" s="4">
        <f t="shared" si="5"/>
        <v>0</v>
      </c>
      <c r="H12" s="4">
        <f t="shared" si="5"/>
        <v>0</v>
      </c>
      <c r="I12" s="4">
        <f t="shared" si="5"/>
        <v>0</v>
      </c>
      <c r="J12" s="4">
        <f t="shared" si="5"/>
        <v>0</v>
      </c>
      <c r="K12" s="4">
        <f t="shared" si="5"/>
        <v>0</v>
      </c>
      <c r="L12" s="4">
        <f t="shared" si="5"/>
        <v>0</v>
      </c>
      <c r="M12" s="4">
        <f t="shared" si="5"/>
        <v>0</v>
      </c>
      <c r="N12" s="4">
        <f t="shared" si="5"/>
        <v>0</v>
      </c>
      <c r="O12" s="4">
        <f t="shared" si="5"/>
        <v>0</v>
      </c>
      <c r="P12" s="4">
        <f t="shared" si="5"/>
        <v>0</v>
      </c>
      <c r="Q12" s="4">
        <f t="shared" si="5"/>
        <v>0</v>
      </c>
      <c r="R12" s="4">
        <f t="shared" si="5"/>
        <v>0</v>
      </c>
      <c r="S12" s="4">
        <f t="shared" si="5"/>
        <v>0</v>
      </c>
      <c r="T12" s="4">
        <f t="shared" si="5"/>
        <v>0</v>
      </c>
      <c r="U12" s="4">
        <f t="shared" si="5"/>
        <v>0</v>
      </c>
      <c r="V12" s="4">
        <f t="shared" si="5"/>
        <v>0</v>
      </c>
      <c r="W12" s="4">
        <f t="shared" si="5"/>
        <v>0</v>
      </c>
      <c r="X12" s="4">
        <f t="shared" si="5"/>
        <v>0</v>
      </c>
      <c r="Y12" s="4">
        <f t="shared" si="5"/>
        <v>1.9610844850725717</v>
      </c>
      <c r="Z12" s="4">
        <f t="shared" si="5"/>
        <v>1.7509682902433674</v>
      </c>
      <c r="AA12" s="4">
        <f t="shared" si="5"/>
        <v>1.5633645448601494</v>
      </c>
      <c r="AB12" s="4">
        <f t="shared" si="5"/>
        <v>1.3958612007679905</v>
      </c>
      <c r="AC12" s="4">
        <f t="shared" si="5"/>
        <v>1.2463046435428484</v>
      </c>
      <c r="AD12" s="4">
        <f t="shared" si="5"/>
        <v>1.1127720031632575</v>
      </c>
      <c r="AE12" s="4">
        <f t="shared" si="5"/>
        <v>0.99354643139576548</v>
      </c>
      <c r="AF12" s="4">
        <f t="shared" si="5"/>
        <v>0.88709502803193352</v>
      </c>
      <c r="AG12" s="4">
        <f t="shared" si="5"/>
        <v>0.79204913217136907</v>
      </c>
      <c r="AH12" s="4">
        <f t="shared" si="5"/>
        <v>0.70718672515300807</v>
      </c>
    </row>
    <row r="13" spans="2:34">
      <c r="C13" s="1"/>
      <c r="D13" s="20"/>
      <c r="G13" s="20"/>
    </row>
    <row r="15" spans="2:34">
      <c r="B15" s="97" t="s">
        <v>219</v>
      </c>
      <c r="C15" s="21"/>
      <c r="D15" s="21"/>
      <c r="E15" s="21"/>
    </row>
    <row r="16" spans="2:34">
      <c r="B16" s="42" t="s">
        <v>276</v>
      </c>
      <c r="C16" s="41" t="s">
        <v>167</v>
      </c>
      <c r="D16" s="80">
        <v>5.0000000000000001E-3</v>
      </c>
      <c r="E16" s="85">
        <f>E17 * (1-$D$16)</f>
        <v>0.29849999999999999</v>
      </c>
      <c r="F16" s="3">
        <f>E16 * (1-$D$16)</f>
        <v>0.29700749999999998</v>
      </c>
      <c r="G16" s="3">
        <f t="shared" ref="G16:AG16" si="6">F16 * (1-$D$16)</f>
        <v>0.29552246249999997</v>
      </c>
      <c r="H16" s="3">
        <f t="shared" si="6"/>
        <v>0.29404485018749998</v>
      </c>
      <c r="I16" s="3">
        <f t="shared" si="6"/>
        <v>0.29257462593656247</v>
      </c>
      <c r="J16" s="3">
        <f t="shared" si="6"/>
        <v>0.29111175280687968</v>
      </c>
      <c r="K16" s="3">
        <f t="shared" si="6"/>
        <v>0.28965619404284526</v>
      </c>
      <c r="L16" s="3">
        <f t="shared" si="6"/>
        <v>0.28820791307263105</v>
      </c>
      <c r="M16" s="3">
        <f t="shared" si="6"/>
        <v>0.28676687350726787</v>
      </c>
      <c r="N16" s="3">
        <f t="shared" si="6"/>
        <v>0.28533303913973151</v>
      </c>
      <c r="O16" s="3">
        <f t="shared" si="6"/>
        <v>0.28390637394403284</v>
      </c>
      <c r="P16" s="3">
        <f t="shared" si="6"/>
        <v>0.28248684207431268</v>
      </c>
      <c r="Q16" s="3">
        <f t="shared" si="6"/>
        <v>0.28107440786394111</v>
      </c>
      <c r="R16" s="3">
        <f t="shared" si="6"/>
        <v>0.27966903582462138</v>
      </c>
      <c r="S16" s="3">
        <f t="shared" si="6"/>
        <v>0.27827069064549825</v>
      </c>
      <c r="T16" s="3">
        <f t="shared" si="6"/>
        <v>0.27687933719227076</v>
      </c>
      <c r="U16" s="3">
        <f t="shared" si="6"/>
        <v>0.2754949405063094</v>
      </c>
      <c r="V16" s="3">
        <f t="shared" si="6"/>
        <v>0.27411746580377788</v>
      </c>
      <c r="W16" s="3">
        <f t="shared" si="6"/>
        <v>0.27274687847475898</v>
      </c>
      <c r="X16" s="3">
        <f t="shared" si="6"/>
        <v>0.27138314408238517</v>
      </c>
      <c r="Y16" s="3">
        <f t="shared" si="6"/>
        <v>0.27002622836197326</v>
      </c>
      <c r="Z16" s="3">
        <f t="shared" si="6"/>
        <v>0.26867609722016339</v>
      </c>
      <c r="AA16" s="3">
        <f t="shared" si="6"/>
        <v>0.26733271673406256</v>
      </c>
      <c r="AB16" s="3">
        <f t="shared" si="6"/>
        <v>0.26599605315039226</v>
      </c>
      <c r="AC16" s="3">
        <f t="shared" si="6"/>
        <v>0.26466607288464028</v>
      </c>
      <c r="AD16" s="3">
        <f t="shared" si="6"/>
        <v>0.26334274252021705</v>
      </c>
      <c r="AE16" s="3">
        <f t="shared" si="6"/>
        <v>0.26202602880761594</v>
      </c>
      <c r="AF16" s="3">
        <f t="shared" si="6"/>
        <v>0.26071589866357786</v>
      </c>
      <c r="AG16" s="3">
        <f t="shared" si="6"/>
        <v>0.25941231917025998</v>
      </c>
      <c r="AH16" s="3">
        <f>AG16 * (1-$D$16)</f>
        <v>0.25811525757440867</v>
      </c>
    </row>
    <row r="17" spans="2:34">
      <c r="B17" s="42" t="s">
        <v>266</v>
      </c>
      <c r="C17" s="41" t="s">
        <v>206</v>
      </c>
      <c r="E17">
        <v>0.3</v>
      </c>
      <c r="F17">
        <v>0.3</v>
      </c>
      <c r="G17">
        <v>0.3</v>
      </c>
      <c r="H17">
        <v>0.3</v>
      </c>
      <c r="I17">
        <v>0.3</v>
      </c>
      <c r="J17">
        <v>0.3</v>
      </c>
      <c r="K17">
        <v>0.3</v>
      </c>
      <c r="L17">
        <v>0.3</v>
      </c>
      <c r="M17">
        <v>0.3</v>
      </c>
      <c r="N17">
        <v>0.3</v>
      </c>
      <c r="O17">
        <v>0.3</v>
      </c>
      <c r="P17">
        <v>0.3</v>
      </c>
      <c r="Q17">
        <v>0.3</v>
      </c>
      <c r="R17">
        <v>0.3</v>
      </c>
      <c r="S17">
        <v>0.3</v>
      </c>
      <c r="T17">
        <v>0.3</v>
      </c>
      <c r="U17">
        <v>0.3</v>
      </c>
      <c r="V17">
        <v>0.3</v>
      </c>
      <c r="W17">
        <v>0.3</v>
      </c>
      <c r="X17">
        <v>0.3</v>
      </c>
      <c r="Y17">
        <v>0.3</v>
      </c>
      <c r="Z17">
        <v>0.3</v>
      </c>
      <c r="AA17">
        <v>0.3</v>
      </c>
      <c r="AB17">
        <v>0.3</v>
      </c>
      <c r="AC17">
        <v>0.3</v>
      </c>
      <c r="AD17">
        <v>0.3</v>
      </c>
      <c r="AE17">
        <v>0.3</v>
      </c>
      <c r="AF17">
        <v>0.3</v>
      </c>
      <c r="AG17">
        <v>0.3</v>
      </c>
      <c r="AH17">
        <v>0.3</v>
      </c>
    </row>
    <row r="18" spans="2:34">
      <c r="B18" s="42" t="s">
        <v>267</v>
      </c>
      <c r="C18" s="41" t="s">
        <v>170</v>
      </c>
      <c r="E18" s="163">
        <f>E16 * $D$6</f>
        <v>1.543245</v>
      </c>
      <c r="F18" s="163">
        <f t="shared" ref="F18:AH18" si="7">F16 * $D$6</f>
        <v>1.535528775</v>
      </c>
      <c r="G18" s="163">
        <f t="shared" si="7"/>
        <v>1.5278511311249998</v>
      </c>
      <c r="H18" s="163">
        <f t="shared" si="7"/>
        <v>1.520211875469375</v>
      </c>
      <c r="I18" s="163">
        <f t="shared" si="7"/>
        <v>1.512610816092028</v>
      </c>
      <c r="J18" s="163">
        <f t="shared" si="7"/>
        <v>1.5050477620115679</v>
      </c>
      <c r="K18" s="163">
        <f t="shared" si="7"/>
        <v>1.4975225232015099</v>
      </c>
      <c r="L18" s="163">
        <f t="shared" si="7"/>
        <v>1.4900349105855024</v>
      </c>
      <c r="M18" s="163">
        <f t="shared" si="7"/>
        <v>1.4825847360325748</v>
      </c>
      <c r="N18" s="163">
        <f t="shared" si="7"/>
        <v>1.475171812352412</v>
      </c>
      <c r="O18" s="163">
        <f t="shared" si="7"/>
        <v>1.4677959532906497</v>
      </c>
      <c r="P18" s="163">
        <f t="shared" si="7"/>
        <v>1.4604569735241966</v>
      </c>
      <c r="Q18" s="163">
        <f t="shared" si="7"/>
        <v>1.4531546886565756</v>
      </c>
      <c r="R18" s="163">
        <f t="shared" si="7"/>
        <v>1.4458889152132925</v>
      </c>
      <c r="S18" s="163">
        <f t="shared" si="7"/>
        <v>1.438659470637226</v>
      </c>
      <c r="T18" s="163">
        <f t="shared" si="7"/>
        <v>1.4314661732840397</v>
      </c>
      <c r="U18" s="163">
        <f t="shared" si="7"/>
        <v>1.4243088424176196</v>
      </c>
      <c r="V18" s="163">
        <f t="shared" si="7"/>
        <v>1.4171872982055316</v>
      </c>
      <c r="W18" s="163">
        <f t="shared" si="7"/>
        <v>1.410101361714504</v>
      </c>
      <c r="X18" s="163">
        <f t="shared" si="7"/>
        <v>1.4030508549059313</v>
      </c>
      <c r="Y18" s="163">
        <f t="shared" si="7"/>
        <v>1.3960356006314019</v>
      </c>
      <c r="Z18" s="163">
        <f t="shared" si="7"/>
        <v>1.3890554226282448</v>
      </c>
      <c r="AA18" s="163">
        <f t="shared" si="7"/>
        <v>1.3821101455151035</v>
      </c>
      <c r="AB18" s="163">
        <f t="shared" si="7"/>
        <v>1.375199594787528</v>
      </c>
      <c r="AC18" s="163">
        <f t="shared" si="7"/>
        <v>1.3683235968135903</v>
      </c>
      <c r="AD18" s="163">
        <f t="shared" si="7"/>
        <v>1.361481978829522</v>
      </c>
      <c r="AE18" s="163">
        <f t="shared" si="7"/>
        <v>1.3546745689353743</v>
      </c>
      <c r="AF18" s="163">
        <f t="shared" si="7"/>
        <v>1.3479011960906975</v>
      </c>
      <c r="AG18" s="163">
        <f t="shared" si="7"/>
        <v>1.3411616901102441</v>
      </c>
      <c r="AH18" s="163">
        <f t="shared" si="7"/>
        <v>1.3344558816596928</v>
      </c>
    </row>
    <row r="19" spans="2:34">
      <c r="B19" s="42" t="s">
        <v>218</v>
      </c>
      <c r="C19" s="41" t="s">
        <v>170</v>
      </c>
      <c r="E19" s="4">
        <f>E18  * $D$7</f>
        <v>540.13575000000003</v>
      </c>
      <c r="F19" s="4">
        <f t="shared" ref="F19:AH19" si="8">F18  * $D$7</f>
        <v>537.43507124999996</v>
      </c>
      <c r="G19" s="4">
        <f t="shared" si="8"/>
        <v>534.74789589374996</v>
      </c>
      <c r="H19" s="4">
        <f t="shared" si="8"/>
        <v>532.07415641428122</v>
      </c>
      <c r="I19" s="4">
        <f t="shared" si="8"/>
        <v>529.41378563220974</v>
      </c>
      <c r="J19" s="4">
        <f t="shared" si="8"/>
        <v>526.7667167040488</v>
      </c>
      <c r="K19" s="4">
        <f t="shared" si="8"/>
        <v>524.1328831205285</v>
      </c>
      <c r="L19" s="4">
        <f t="shared" si="8"/>
        <v>521.51221870492589</v>
      </c>
      <c r="M19" s="4">
        <f t="shared" si="8"/>
        <v>518.90465761140115</v>
      </c>
      <c r="N19" s="4">
        <f t="shared" si="8"/>
        <v>516.31013432334419</v>
      </c>
      <c r="O19" s="4">
        <f t="shared" si="8"/>
        <v>513.72858365172738</v>
      </c>
      <c r="P19" s="4">
        <f t="shared" si="8"/>
        <v>511.15994073346877</v>
      </c>
      <c r="Q19" s="4">
        <f t="shared" si="8"/>
        <v>508.60414102980144</v>
      </c>
      <c r="R19" s="4">
        <f t="shared" si="8"/>
        <v>506.06112032465239</v>
      </c>
      <c r="S19" s="4">
        <f t="shared" si="8"/>
        <v>503.5308147230291</v>
      </c>
      <c r="T19" s="4">
        <f t="shared" si="8"/>
        <v>501.01316064941392</v>
      </c>
      <c r="U19" s="4">
        <f t="shared" si="8"/>
        <v>498.50809484616684</v>
      </c>
      <c r="V19" s="4">
        <f t="shared" si="8"/>
        <v>496.01555437193605</v>
      </c>
      <c r="W19" s="4">
        <f t="shared" si="8"/>
        <v>493.53547660007638</v>
      </c>
      <c r="X19" s="4">
        <f t="shared" si="8"/>
        <v>491.06779921707596</v>
      </c>
      <c r="Y19" s="4">
        <f t="shared" si="8"/>
        <v>488.61246022099067</v>
      </c>
      <c r="Z19" s="4">
        <f t="shared" si="8"/>
        <v>486.16939791988568</v>
      </c>
      <c r="AA19" s="4">
        <f t="shared" si="8"/>
        <v>483.73855093028624</v>
      </c>
      <c r="AB19" s="4">
        <f t="shared" si="8"/>
        <v>481.31985817563481</v>
      </c>
      <c r="AC19" s="4">
        <f t="shared" si="8"/>
        <v>478.9132588847566</v>
      </c>
      <c r="AD19" s="4">
        <f t="shared" si="8"/>
        <v>476.51869259033271</v>
      </c>
      <c r="AE19" s="4">
        <f t="shared" si="8"/>
        <v>474.13609912738099</v>
      </c>
      <c r="AF19" s="4">
        <f t="shared" si="8"/>
        <v>471.76541863174413</v>
      </c>
      <c r="AG19" s="4">
        <f t="shared" si="8"/>
        <v>469.40659153858542</v>
      </c>
      <c r="AH19" s="4">
        <f t="shared" si="8"/>
        <v>467.05955858089249</v>
      </c>
    </row>
    <row r="20" spans="2:34" ht="17" thickBot="1">
      <c r="B20" s="152" t="s">
        <v>252</v>
      </c>
      <c r="C20" s="153" t="s">
        <v>174</v>
      </c>
      <c r="D20" s="11"/>
      <c r="E20" s="71">
        <f>E19 * $D$46</f>
        <v>13809.221262986788</v>
      </c>
      <c r="F20" s="71">
        <f t="shared" ref="F20:AH20" si="9">F19 * $D$46</f>
        <v>13740.175156671852</v>
      </c>
      <c r="G20" s="71">
        <f t="shared" si="9"/>
        <v>13671.474280888493</v>
      </c>
      <c r="H20" s="71">
        <f t="shared" si="9"/>
        <v>13603.116909484052</v>
      </c>
      <c r="I20" s="71">
        <f t="shared" si="9"/>
        <v>13535.101324936628</v>
      </c>
      <c r="J20" s="71">
        <f t="shared" si="9"/>
        <v>13467.425818311949</v>
      </c>
      <c r="K20" s="71">
        <f t="shared" si="9"/>
        <v>13400.088689220387</v>
      </c>
      <c r="L20" s="71">
        <f t="shared" si="9"/>
        <v>13333.088245774286</v>
      </c>
      <c r="M20" s="71">
        <f t="shared" si="9"/>
        <v>13266.422804545411</v>
      </c>
      <c r="N20" s="71">
        <f t="shared" si="9"/>
        <v>13200.090690522686</v>
      </c>
      <c r="O20" s="71">
        <f t="shared" si="9"/>
        <v>13134.09023707007</v>
      </c>
      <c r="P20" s="71">
        <f t="shared" si="9"/>
        <v>13068.41978588472</v>
      </c>
      <c r="Q20" s="71">
        <f t="shared" si="9"/>
        <v>13003.077686955297</v>
      </c>
      <c r="R20" s="71">
        <f t="shared" si="9"/>
        <v>12938.062298520519</v>
      </c>
      <c r="S20" s="71">
        <f t="shared" si="9"/>
        <v>12873.371987027916</v>
      </c>
      <c r="T20" s="71">
        <f t="shared" si="9"/>
        <v>12809.005127092776</v>
      </c>
      <c r="U20" s="71">
        <f t="shared" si="9"/>
        <v>12744.960101457313</v>
      </c>
      <c r="V20" s="71">
        <f t="shared" si="9"/>
        <v>12681.235300950026</v>
      </c>
      <c r="W20" s="71">
        <f t="shared" si="9"/>
        <v>12617.829124445276</v>
      </c>
      <c r="X20" s="71">
        <f t="shared" si="9"/>
        <v>12554.739978823049</v>
      </c>
      <c r="Y20" s="71">
        <f t="shared" si="9"/>
        <v>12491.966278928936</v>
      </c>
      <c r="Z20" s="71">
        <f t="shared" si="9"/>
        <v>12429.50644753429</v>
      </c>
      <c r="AA20" s="71">
        <f t="shared" si="9"/>
        <v>12367.358915296618</v>
      </c>
      <c r="AB20" s="71">
        <f t="shared" si="9"/>
        <v>12305.522120720136</v>
      </c>
      <c r="AC20" s="71">
        <f t="shared" si="9"/>
        <v>12243.994510116534</v>
      </c>
      <c r="AD20" s="71">
        <f t="shared" si="9"/>
        <v>12182.774537565949</v>
      </c>
      <c r="AE20" s="71">
        <f t="shared" si="9"/>
        <v>12121.860664878117</v>
      </c>
      <c r="AF20" s="71">
        <f t="shared" si="9"/>
        <v>12061.251361553728</v>
      </c>
      <c r="AG20" s="71">
        <f t="shared" si="9"/>
        <v>12000.945104745959</v>
      </c>
      <c r="AH20" s="71">
        <f t="shared" si="9"/>
        <v>11940.940379222229</v>
      </c>
    </row>
    <row r="21" spans="2:34" ht="17" thickTop="1"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  <c r="Y21" s="89"/>
      <c r="Z21" s="89"/>
      <c r="AA21" s="89"/>
      <c r="AB21" s="89"/>
      <c r="AC21" s="89"/>
      <c r="AD21" s="89"/>
      <c r="AE21" s="89"/>
      <c r="AF21" s="89"/>
      <c r="AG21" s="89"/>
      <c r="AH21" s="89"/>
    </row>
    <row r="22" spans="2:34">
      <c r="B22" s="42" t="s">
        <v>203</v>
      </c>
      <c r="C22" s="1" t="s">
        <v>207</v>
      </c>
      <c r="D22" s="109">
        <v>9.5</v>
      </c>
      <c r="E22" s="122">
        <f>-E17 * 10^3 * $D$22 * (1+$D$23)^E$2</f>
        <v>-2921.2499999999995</v>
      </c>
      <c r="F22" s="122">
        <f t="shared" ref="F22:AH22" si="10">-F17 * 10^3 * $D$22 * (1+$D$23)^F$2</f>
        <v>-2994.2812499999995</v>
      </c>
      <c r="G22" s="122">
        <f t="shared" si="10"/>
        <v>-3069.1382812499996</v>
      </c>
      <c r="H22" s="122">
        <f t="shared" si="10"/>
        <v>-3145.8667382812491</v>
      </c>
      <c r="I22" s="122">
        <f t="shared" si="10"/>
        <v>-3224.5134067382801</v>
      </c>
      <c r="J22" s="122">
        <f t="shared" si="10"/>
        <v>-3305.1262419067371</v>
      </c>
      <c r="K22" s="122">
        <f t="shared" si="10"/>
        <v>-3387.7543979544057</v>
      </c>
      <c r="L22" s="122">
        <f t="shared" si="10"/>
        <v>-3472.4482579032656</v>
      </c>
      <c r="M22" s="122">
        <f t="shared" si="10"/>
        <v>-3559.2594643508464</v>
      </c>
      <c r="N22" s="122">
        <f t="shared" si="10"/>
        <v>-3648.2409509596177</v>
      </c>
      <c r="O22" s="122">
        <f t="shared" si="10"/>
        <v>-3739.4469747336079</v>
      </c>
      <c r="P22" s="122">
        <f t="shared" si="10"/>
        <v>-3832.9331491019479</v>
      </c>
      <c r="Q22" s="122">
        <f t="shared" si="10"/>
        <v>-3928.7564778294964</v>
      </c>
      <c r="R22" s="122">
        <f t="shared" si="10"/>
        <v>-4026.9753897752335</v>
      </c>
      <c r="S22" s="122">
        <f t="shared" si="10"/>
        <v>-4127.6497745196148</v>
      </c>
      <c r="T22" s="122">
        <f t="shared" si="10"/>
        <v>-4230.8410188826047</v>
      </c>
      <c r="U22" s="122">
        <f t="shared" si="10"/>
        <v>-4336.6120443546697</v>
      </c>
      <c r="V22" s="122">
        <f t="shared" si="10"/>
        <v>-4445.0273454635362</v>
      </c>
      <c r="W22" s="122">
        <f t="shared" si="10"/>
        <v>-4556.1530291001245</v>
      </c>
      <c r="X22" s="122">
        <f t="shared" si="10"/>
        <v>-4670.0568548276269</v>
      </c>
      <c r="Y22" s="122">
        <f t="shared" si="10"/>
        <v>-4786.8082761983178</v>
      </c>
      <c r="Z22" s="122">
        <f t="shared" si="10"/>
        <v>-4906.4784831032757</v>
      </c>
      <c r="AA22" s="122">
        <f t="shared" si="10"/>
        <v>-5029.1404451808576</v>
      </c>
      <c r="AB22" s="122">
        <f t="shared" si="10"/>
        <v>-5154.8689563103781</v>
      </c>
      <c r="AC22" s="122">
        <f t="shared" si="10"/>
        <v>-5283.7406802181367</v>
      </c>
      <c r="AD22" s="122">
        <f t="shared" si="10"/>
        <v>-5415.8341972235903</v>
      </c>
      <c r="AE22" s="122">
        <f t="shared" si="10"/>
        <v>-5551.2300521541792</v>
      </c>
      <c r="AF22" s="122">
        <f t="shared" si="10"/>
        <v>-5690.0108034580335</v>
      </c>
      <c r="AG22" s="122">
        <f t="shared" si="10"/>
        <v>-5832.261073544485</v>
      </c>
      <c r="AH22" s="122">
        <f t="shared" si="10"/>
        <v>-5978.0676003830959</v>
      </c>
    </row>
    <row r="23" spans="2:34">
      <c r="B23" s="42" t="s">
        <v>210</v>
      </c>
      <c r="C23" s="1" t="s">
        <v>167</v>
      </c>
      <c r="D23" s="110">
        <v>2.5000000000000001E-2</v>
      </c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</row>
    <row r="24" spans="2:34">
      <c r="B24" s="57" t="s">
        <v>217</v>
      </c>
      <c r="C24" s="154"/>
      <c r="D24" s="155">
        <f>-SUM(E24:AH24)</f>
        <v>28597.117132132091</v>
      </c>
      <c r="E24" s="158">
        <f>E22 / (1+$D$5)^E$2</f>
        <v>-2608.258928571428</v>
      </c>
      <c r="F24" s="158">
        <f>F22 / (1+$D$5)^F$2</f>
        <v>-2387.0226801658155</v>
      </c>
      <c r="G24" s="158">
        <f t="shared" ref="G24:AH24" si="11">G22 / (1+$D$5)^G$2</f>
        <v>-2184.5520064017505</v>
      </c>
      <c r="H24" s="158">
        <f t="shared" si="11"/>
        <v>-1999.2551844301734</v>
      </c>
      <c r="I24" s="158">
        <f t="shared" si="11"/>
        <v>-1829.675503607971</v>
      </c>
      <c r="J24" s="158">
        <f t="shared" si="11"/>
        <v>-1674.4798135697945</v>
      </c>
      <c r="K24" s="158">
        <f t="shared" si="11"/>
        <v>-1532.4480436687852</v>
      </c>
      <c r="L24" s="158">
        <f t="shared" si="11"/>
        <v>-1402.4636113933077</v>
      </c>
      <c r="M24" s="158">
        <f t="shared" si="11"/>
        <v>-1283.5046443554822</v>
      </c>
      <c r="N24" s="158">
        <f t="shared" si="11"/>
        <v>-1174.6359468431867</v>
      </c>
      <c r="O24" s="158">
        <f t="shared" si="11"/>
        <v>-1075.0016477805948</v>
      </c>
      <c r="P24" s="158">
        <f t="shared" si="11"/>
        <v>-983.81847229920515</v>
      </c>
      <c r="Q24" s="158">
        <f t="shared" si="11"/>
        <v>-900.36958402382584</v>
      </c>
      <c r="R24" s="158">
        <f t="shared" si="11"/>
        <v>-823.99894966466195</v>
      </c>
      <c r="S24" s="158">
        <f t="shared" si="11"/>
        <v>-754.10618161274874</v>
      </c>
      <c r="T24" s="158">
        <f t="shared" si="11"/>
        <v>-690.14181799381004</v>
      </c>
      <c r="U24" s="158">
        <f t="shared" si="11"/>
        <v>-631.6030030746922</v>
      </c>
      <c r="V24" s="158">
        <f t="shared" si="11"/>
        <v>-578.02953406389236</v>
      </c>
      <c r="W24" s="158">
        <f t="shared" si="11"/>
        <v>-529.00024322811566</v>
      </c>
      <c r="X24" s="158">
        <f t="shared" si="11"/>
        <v>-484.12968688287367</v>
      </c>
      <c r="Y24" s="158">
        <f t="shared" si="11"/>
        <v>-443.06511522762992</v>
      </c>
      <c r="Z24" s="158">
        <f t="shared" si="11"/>
        <v>-405.48369920385767</v>
      </c>
      <c r="AA24" s="158">
        <f t="shared" si="11"/>
        <v>-371.08999257495907</v>
      </c>
      <c r="AB24" s="158">
        <f t="shared" si="11"/>
        <v>-339.61360927619012</v>
      </c>
      <c r="AC24" s="158">
        <f t="shared" si="11"/>
        <v>-310.80709777508463</v>
      </c>
      <c r="AD24" s="158">
        <f t="shared" si="11"/>
        <v>-284.44399573166226</v>
      </c>
      <c r="AE24" s="158">
        <f t="shared" si="11"/>
        <v>-260.31704966513723</v>
      </c>
      <c r="AF24" s="158">
        <f t="shared" si="11"/>
        <v>-238.23658563104078</v>
      </c>
      <c r="AG24" s="158">
        <f t="shared" si="11"/>
        <v>-218.02901809983643</v>
      </c>
      <c r="AH24" s="158">
        <f t="shared" si="11"/>
        <v>-199.53548531458239</v>
      </c>
    </row>
    <row r="25" spans="2:34" ht="17" thickBot="1">
      <c r="B25" s="152" t="s">
        <v>244</v>
      </c>
      <c r="C25" s="156" t="s">
        <v>174</v>
      </c>
      <c r="D25" s="11"/>
      <c r="E25" s="18">
        <f>E20+E22</f>
        <v>10887.971262986788</v>
      </c>
      <c r="F25" s="18">
        <f t="shared" ref="F25:AH25" si="12">F20+F22</f>
        <v>10745.893906671852</v>
      </c>
      <c r="G25" s="18">
        <f t="shared" si="12"/>
        <v>10602.335999638493</v>
      </c>
      <c r="H25" s="18">
        <f t="shared" si="12"/>
        <v>10457.250171202802</v>
      </c>
      <c r="I25" s="18">
        <f t="shared" si="12"/>
        <v>10310.587918198347</v>
      </c>
      <c r="J25" s="18">
        <f t="shared" si="12"/>
        <v>10162.299576405212</v>
      </c>
      <c r="K25" s="18">
        <f t="shared" si="12"/>
        <v>10012.334291265981</v>
      </c>
      <c r="L25" s="18">
        <f t="shared" si="12"/>
        <v>9860.6399878710217</v>
      </c>
      <c r="M25" s="18">
        <f t="shared" si="12"/>
        <v>9707.1633401945655</v>
      </c>
      <c r="N25" s="18">
        <f t="shared" si="12"/>
        <v>9551.8497395630675</v>
      </c>
      <c r="O25" s="18">
        <f t="shared" si="12"/>
        <v>9394.6432623364617</v>
      </c>
      <c r="P25" s="18">
        <f t="shared" si="12"/>
        <v>9235.4866367827726</v>
      </c>
      <c r="Q25" s="18">
        <f t="shared" si="12"/>
        <v>9074.321209125801</v>
      </c>
      <c r="R25" s="18">
        <f t="shared" si="12"/>
        <v>8911.0869087452847</v>
      </c>
      <c r="S25" s="18">
        <f t="shared" si="12"/>
        <v>8745.7222125083026</v>
      </c>
      <c r="T25" s="18">
        <f t="shared" si="12"/>
        <v>8578.1641082101705</v>
      </c>
      <c r="U25" s="18">
        <f t="shared" si="12"/>
        <v>8408.348057102643</v>
      </c>
      <c r="V25" s="18">
        <f t="shared" si="12"/>
        <v>8236.2079554864904</v>
      </c>
      <c r="W25" s="18">
        <f t="shared" si="12"/>
        <v>8061.6760953451512</v>
      </c>
      <c r="X25" s="18">
        <f t="shared" si="12"/>
        <v>7884.6831239954217</v>
      </c>
      <c r="Y25" s="18">
        <f t="shared" si="12"/>
        <v>7705.1580027306181</v>
      </c>
      <c r="Z25" s="18">
        <f t="shared" si="12"/>
        <v>7523.027964431014</v>
      </c>
      <c r="AA25" s="18">
        <f t="shared" si="12"/>
        <v>7338.2184701157603</v>
      </c>
      <c r="AB25" s="18">
        <f t="shared" si="12"/>
        <v>7150.6531644097577</v>
      </c>
      <c r="AC25" s="18">
        <f t="shared" si="12"/>
        <v>6960.2538298983973</v>
      </c>
      <c r="AD25" s="18">
        <f t="shared" si="12"/>
        <v>6766.9403403423585</v>
      </c>
      <c r="AE25" s="18">
        <f t="shared" si="12"/>
        <v>6570.6306127239377</v>
      </c>
      <c r="AF25" s="18">
        <f t="shared" si="12"/>
        <v>6371.2405580956947</v>
      </c>
      <c r="AG25" s="18">
        <f t="shared" si="12"/>
        <v>6168.6840312014738</v>
      </c>
      <c r="AH25" s="18">
        <f t="shared" si="12"/>
        <v>5962.8727788391334</v>
      </c>
    </row>
    <row r="26" spans="2:34" ht="17" thickTop="1">
      <c r="B26" s="93" t="s">
        <v>246</v>
      </c>
      <c r="C26" s="159" t="s">
        <v>167</v>
      </c>
      <c r="D26" s="13"/>
      <c r="E26" s="72">
        <f>E25 / E20</f>
        <v>0.78845657228840982</v>
      </c>
      <c r="F26" s="72">
        <f t="shared" ref="F26:AH26" si="13">F25 / F20</f>
        <v>0.78207837848806028</v>
      </c>
      <c r="G26" s="72">
        <f t="shared" si="13"/>
        <v>0.77550787733694659</v>
      </c>
      <c r="H26" s="72">
        <f t="shared" si="13"/>
        <v>0.76873927062348768</v>
      </c>
      <c r="I26" s="72">
        <f t="shared" si="13"/>
        <v>0.76176658531565311</v>
      </c>
      <c r="J26" s="72">
        <f t="shared" si="13"/>
        <v>0.75458366828999457</v>
      </c>
      <c r="K26" s="72">
        <f t="shared" si="13"/>
        <v>0.74718418090175309</v>
      </c>
      <c r="L26" s="72">
        <f t="shared" si="13"/>
        <v>0.73956159339125327</v>
      </c>
      <c r="M26" s="72">
        <f t="shared" si="13"/>
        <v>0.73170917912164279</v>
      </c>
      <c r="N26" s="72">
        <f t="shared" si="13"/>
        <v>0.72362000864289833</v>
      </c>
      <c r="O26" s="72">
        <f t="shared" si="13"/>
        <v>0.71528694357685507</v>
      </c>
      <c r="P26" s="72">
        <f t="shared" si="13"/>
        <v>0.70670263031786584</v>
      </c>
      <c r="Q26" s="72">
        <f t="shared" si="13"/>
        <v>0.69785949354353016</v>
      </c>
      <c r="R26" s="72">
        <f t="shared" si="13"/>
        <v>0.6887497295297671</v>
      </c>
      <c r="S26" s="72">
        <f t="shared" si="13"/>
        <v>0.67936529926433309</v>
      </c>
      <c r="T26" s="72">
        <f t="shared" si="13"/>
        <v>0.66969792135270478</v>
      </c>
      <c r="U26" s="72">
        <f t="shared" si="13"/>
        <v>0.65973906471007293</v>
      </c>
      <c r="V26" s="72">
        <f t="shared" si="13"/>
        <v>0.64947994103298967</v>
      </c>
      <c r="W26" s="72">
        <f t="shared" si="13"/>
        <v>0.6389114970440346</v>
      </c>
      <c r="X26" s="72">
        <f t="shared" si="13"/>
        <v>0.62802440650264868</v>
      </c>
      <c r="Y26" s="72">
        <f t="shared" si="13"/>
        <v>0.61680906197509044</v>
      </c>
      <c r="Z26" s="72">
        <f t="shared" si="13"/>
        <v>0.60525556635624889</v>
      </c>
      <c r="AA26" s="72">
        <f t="shared" si="13"/>
        <v>0.59335372413583432</v>
      </c>
      <c r="AB26" s="72">
        <f t="shared" si="13"/>
        <v>0.58109303240123644</v>
      </c>
      <c r="AC26" s="72">
        <f t="shared" si="13"/>
        <v>0.5684626715691129</v>
      </c>
      <c r="AD26" s="72">
        <f t="shared" si="13"/>
        <v>0.55545149583752829</v>
      </c>
      <c r="AE26" s="72">
        <f t="shared" si="13"/>
        <v>0.54204802335021762</v>
      </c>
      <c r="AF26" s="72">
        <f t="shared" si="13"/>
        <v>0.52824042606429455</v>
      </c>
      <c r="AG26" s="72">
        <f t="shared" si="13"/>
        <v>0.51401651931246417</v>
      </c>
      <c r="AH26" s="72">
        <f t="shared" si="13"/>
        <v>0.49936375105052855</v>
      </c>
    </row>
    <row r="27" spans="2:34">
      <c r="B27" s="42" t="s">
        <v>106</v>
      </c>
      <c r="C27" s="1"/>
      <c r="E27" s="122">
        <f>-$D$44 * 'Model and Assumptions'!B$82</f>
        <v>-71400</v>
      </c>
      <c r="F27" s="122">
        <f>-$D$44 * 'Model and Assumptions'!C$82</f>
        <v>-114240</v>
      </c>
      <c r="G27" s="122">
        <f>-$D$44 * 'Model and Assumptions'!D$82</f>
        <v>-68544</v>
      </c>
      <c r="H27" s="122">
        <f>-$D$44 * 'Model and Assumptions'!E$82</f>
        <v>-41055</v>
      </c>
      <c r="I27" s="122">
        <f>-$D$44 * 'Model and Assumptions'!F$82</f>
        <v>-41055</v>
      </c>
      <c r="J27" s="122">
        <f>-$D$44 * 'Model and Assumptions'!G$82</f>
        <v>-20706</v>
      </c>
      <c r="K27" s="157" t="e">
        <f>-$D$44 * 'Model and Assumptions'!#REF!</f>
        <v>#REF!</v>
      </c>
      <c r="L27" s="157">
        <f>-$D$44 * 'Model and Assumptions'!J$53</f>
        <v>0</v>
      </c>
      <c r="M27" s="157" t="e">
        <f>-$D$44 * 'Model and Assumptions'!#REF!</f>
        <v>#REF!</v>
      </c>
      <c r="N27" s="157" t="e">
        <f>-$D$44 * 'Model and Assumptions'!#REF!</f>
        <v>#REF!</v>
      </c>
      <c r="O27" s="157" t="e">
        <f>-$D$44 * 'Model and Assumptions'!#REF!</f>
        <v>#REF!</v>
      </c>
      <c r="P27" s="157">
        <f>-$D$44 * 'Model and Assumptions'!N$53</f>
        <v>0</v>
      </c>
      <c r="Q27" s="157">
        <f>-$D$44 * 'Model and Assumptions'!O$53</f>
        <v>0</v>
      </c>
      <c r="R27" s="157">
        <f>-$D$44 * 'Model and Assumptions'!P$53</f>
        <v>0</v>
      </c>
      <c r="S27" s="157">
        <f>-$D$44 * 'Model and Assumptions'!Q$53</f>
        <v>0</v>
      </c>
      <c r="T27" s="157">
        <f>-$D$44 * 'Model and Assumptions'!R$53</f>
        <v>0</v>
      </c>
      <c r="U27" s="157">
        <f>-$D$44 * 'Model and Assumptions'!S$53</f>
        <v>0</v>
      </c>
      <c r="V27" s="157">
        <f>-$D$44 * 'Model and Assumptions'!T$53</f>
        <v>0</v>
      </c>
      <c r="W27" s="157">
        <f>-$D$44 * 'Model and Assumptions'!U$53</f>
        <v>0</v>
      </c>
      <c r="X27" s="157">
        <f>-$D$44 * 'Model and Assumptions'!V$53</f>
        <v>0</v>
      </c>
      <c r="Y27" s="157">
        <f>-$D$44 * 'Model and Assumptions'!W$53</f>
        <v>0</v>
      </c>
      <c r="Z27" s="157">
        <f>-$D$44 * 'Model and Assumptions'!X$53</f>
        <v>0</v>
      </c>
      <c r="AA27" s="157">
        <f>-$D$44 * 'Model and Assumptions'!Y$53</f>
        <v>0</v>
      </c>
      <c r="AB27" s="157">
        <f>-$D$44 * 'Model and Assumptions'!Z$53</f>
        <v>0</v>
      </c>
      <c r="AC27" s="157">
        <f>-$D$44 * 'Model and Assumptions'!AA$53</f>
        <v>0</v>
      </c>
      <c r="AD27" s="157">
        <f>-$D$44 * 'Model and Assumptions'!AB$53</f>
        <v>0</v>
      </c>
      <c r="AE27" s="157">
        <f>-$D$44 * 'Model and Assumptions'!AC$53</f>
        <v>0</v>
      </c>
      <c r="AF27" s="157">
        <f>-$D$44 * 'Model and Assumptions'!AD$53</f>
        <v>0</v>
      </c>
      <c r="AG27" s="157">
        <f>-$D$44 * 'Model and Assumptions'!AE$53</f>
        <v>0</v>
      </c>
      <c r="AH27" s="157">
        <f>-$D$44 * 'Model and Assumptions'!AF$53</f>
        <v>0</v>
      </c>
    </row>
    <row r="28" spans="2:34">
      <c r="B28" s="42" t="s">
        <v>253</v>
      </c>
      <c r="C28" s="1"/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</row>
    <row r="29" spans="2:34">
      <c r="B29" s="42" t="s">
        <v>254</v>
      </c>
      <c r="C29" s="1"/>
      <c r="E29" s="4">
        <f>IF((E25+E27)&gt;0,-(E25+E27) * 'Model Initial - Battery Lazard'!$C$33,0)</f>
        <v>0</v>
      </c>
      <c r="F29" s="4">
        <f>IF((F25+F27)&gt;0,-(F25+F27) * 'Model Initial - Battery Lazard'!$C$33,0)</f>
        <v>0</v>
      </c>
      <c r="G29" s="4">
        <f>IF((G25+G27)&gt;0,-(G25+G27) * 'Model Initial - Battery Lazard'!$C$33,0)</f>
        <v>0</v>
      </c>
      <c r="H29" s="4">
        <f>IF((H25+H27)&gt;0,-(H25+H27) * 'Model Initial - Battery Lazard'!$C$33,0)</f>
        <v>0</v>
      </c>
      <c r="I29" s="4">
        <f>IF((I25+I27)&gt;0,-(I25+I27) * 'Model Initial - Battery Lazard'!$C$33,0)</f>
        <v>0</v>
      </c>
      <c r="J29" s="123">
        <f>IF((J25+J27)&gt;0,-(J25+J27) * 'Model Initial - Battery Lazard'!$C$33,0)</f>
        <v>0</v>
      </c>
      <c r="K29" s="123" t="e">
        <f>IF((K25+K27)&gt;0,-(K25+K27) * 'Model Initial - Battery Lazard'!$C$33,0)</f>
        <v>#REF!</v>
      </c>
      <c r="L29" s="123">
        <f>IF((L25+L27)&gt;0,-(L25+L27) * 'Model Initial - Battery Lazard'!$C$33,0)</f>
        <v>-2070.7343974529144</v>
      </c>
      <c r="M29" s="123" t="e">
        <f>IF((M25+M27)&gt;0,-(M25+M27) * 'Model Initial - Battery Lazard'!$C$33,0)</f>
        <v>#REF!</v>
      </c>
      <c r="N29" s="123" t="e">
        <f>IF((N25+N27)&gt;0,-(N25+N27) * 'Model Initial - Battery Lazard'!$C$33,0)</f>
        <v>#REF!</v>
      </c>
      <c r="O29" s="123" t="e">
        <f>IF((O25+O27)&gt;0,-(O25+O27) * 'Model Initial - Battery Lazard'!$C$33,0)</f>
        <v>#REF!</v>
      </c>
      <c r="P29" s="123">
        <f>IF((P25+P27)&gt;0,-(P25+P27) * 'Model Initial - Battery Lazard'!$C$33,0)</f>
        <v>-1939.4521937243821</v>
      </c>
      <c r="Q29" s="123">
        <f>IF((Q25+Q27)&gt;0,-(Q25+Q27) * 'Model Initial - Battery Lazard'!$C$33,0)</f>
        <v>-1905.6074539164181</v>
      </c>
      <c r="R29" s="123">
        <f>IF((R25+R27)&gt;0,-(R25+R27) * 'Model Initial - Battery Lazard'!$C$33,0)</f>
        <v>-1871.3282508365098</v>
      </c>
      <c r="S29" s="123">
        <f>IF((S25+S27)&gt;0,-(S25+S27) * 'Model Initial - Battery Lazard'!$C$33,0)</f>
        <v>-1836.6016646267435</v>
      </c>
      <c r="T29" s="123">
        <f>IF((T25+T27)&gt;0,-(T25+T27) * 'Model Initial - Battery Lazard'!$C$33,0)</f>
        <v>-1801.4144627241358</v>
      </c>
      <c r="U29" s="123">
        <f>IF((U25+U27)&gt;0,-(U25+U27) * 'Model Initial - Battery Lazard'!$C$33,0)</f>
        <v>-1765.753091991555</v>
      </c>
      <c r="V29" s="123">
        <f>IF((V25+V27)&gt;0,-(V25+V27) * 'Model Initial - Battery Lazard'!$C$33,0)</f>
        <v>-1729.6036706521629</v>
      </c>
      <c r="W29" s="123">
        <f>IF((W25+W27)&gt;0,-(W25+W27) * 'Model Initial - Battery Lazard'!$C$33,0)</f>
        <v>-1692.9519800224816</v>
      </c>
      <c r="X29" s="123">
        <f>IF((X25+X27)&gt;0,-(X25+X27) * 'Model Initial - Battery Lazard'!$C$33,0)</f>
        <v>-1655.7834560390386</v>
      </c>
      <c r="Y29" s="123">
        <f>IF((Y25+Y27)&gt;0,-(Y25+Y27) * 'Model Initial - Battery Lazard'!$C$33,0)</f>
        <v>-1618.0831805734297</v>
      </c>
      <c r="Z29" s="123">
        <f>IF((Z25+Z27)&gt;0,-(Z25+Z27) * 'Model Initial - Battery Lazard'!$C$33,0)</f>
        <v>-1579.8358725305129</v>
      </c>
      <c r="AA29" s="123">
        <f>IF((AA25+AA27)&gt;0,-(AA25+AA27) * 'Model Initial - Battery Lazard'!$C$33,0)</f>
        <v>-1541.0258787243097</v>
      </c>
      <c r="AB29" s="123">
        <f>IF((AB25+AB27)&gt;0,-(AB25+AB27) * 'Model Initial - Battery Lazard'!$C$33,0)</f>
        <v>-1501.637164526049</v>
      </c>
      <c r="AC29" s="123">
        <f>IF((AC25+AC27)&gt;0,-(AC25+AC27) * 'Model Initial - Battery Lazard'!$C$33,0)</f>
        <v>-1461.6533042786634</v>
      </c>
      <c r="AD29" s="123">
        <f>IF((AD25+AD27)&gt;0,-(AD25+AD27) * 'Model Initial - Battery Lazard'!$C$33,0)</f>
        <v>-1421.0574714718953</v>
      </c>
      <c r="AE29" s="123">
        <f>IF((AE25+AE27)&gt;0,-(AE25+AE27) * 'Model Initial - Battery Lazard'!$C$33,0)</f>
        <v>-1379.8324286720269</v>
      </c>
      <c r="AF29" s="123">
        <f>IF((AF25+AF27)&gt;0,-(AF25+AF27) * 'Model Initial - Battery Lazard'!$C$33,0)</f>
        <v>-1337.9605172000959</v>
      </c>
      <c r="AG29" s="123">
        <f>IF((AG25+AG27)&gt;0,-(AG25+AG27) * 'Model Initial - Battery Lazard'!$C$33,0)</f>
        <v>-1295.4236465523095</v>
      </c>
      <c r="AH29" s="123">
        <f>IF((AH25+AH27)&gt;0,-(AH25+AH27) * 'Model Initial - Battery Lazard'!$C$33,0)</f>
        <v>-1252.2032835562179</v>
      </c>
    </row>
    <row r="30" spans="2:34" ht="17" thickBot="1">
      <c r="B30" s="11" t="s">
        <v>256</v>
      </c>
      <c r="C30" s="156"/>
      <c r="D30" s="11"/>
      <c r="E30" s="147">
        <f>E25+E27+E28+E29</f>
        <v>-60512.028737013214</v>
      </c>
      <c r="F30" s="147">
        <f t="shared" ref="F30:AH30" si="14">F25+F27+F28+F29</f>
        <v>-103494.10609332816</v>
      </c>
      <c r="G30" s="147">
        <f t="shared" si="14"/>
        <v>-57941.664000361503</v>
      </c>
      <c r="H30" s="147">
        <f t="shared" si="14"/>
        <v>-30597.749828797198</v>
      </c>
      <c r="I30" s="147">
        <f t="shared" si="14"/>
        <v>-30744.412081801653</v>
      </c>
      <c r="J30" s="147">
        <f t="shared" si="14"/>
        <v>-10543.700423594788</v>
      </c>
      <c r="K30" s="71" t="e">
        <f t="shared" si="14"/>
        <v>#REF!</v>
      </c>
      <c r="L30" s="71">
        <f t="shared" si="14"/>
        <v>7789.9055904181077</v>
      </c>
      <c r="M30" s="71" t="e">
        <f t="shared" si="14"/>
        <v>#REF!</v>
      </c>
      <c r="N30" s="71" t="e">
        <f t="shared" si="14"/>
        <v>#REF!</v>
      </c>
      <c r="O30" s="71" t="e">
        <f t="shared" si="14"/>
        <v>#REF!</v>
      </c>
      <c r="P30" s="71">
        <f t="shared" si="14"/>
        <v>7296.03444305839</v>
      </c>
      <c r="Q30" s="71">
        <f t="shared" si="14"/>
        <v>7168.7137552093827</v>
      </c>
      <c r="R30" s="71">
        <f t="shared" si="14"/>
        <v>7039.7586579087747</v>
      </c>
      <c r="S30" s="71">
        <f t="shared" si="14"/>
        <v>6909.1205478815591</v>
      </c>
      <c r="T30" s="71">
        <f t="shared" si="14"/>
        <v>6776.7496454860348</v>
      </c>
      <c r="U30" s="71">
        <f t="shared" si="14"/>
        <v>6642.5949651110877</v>
      </c>
      <c r="V30" s="71">
        <f t="shared" si="14"/>
        <v>6506.6042848343277</v>
      </c>
      <c r="W30" s="71">
        <f t="shared" si="14"/>
        <v>6368.7241153226696</v>
      </c>
      <c r="X30" s="71">
        <f t="shared" si="14"/>
        <v>6228.8996679563834</v>
      </c>
      <c r="Y30" s="71">
        <f t="shared" si="14"/>
        <v>6087.0748221571885</v>
      </c>
      <c r="Z30" s="71">
        <f t="shared" si="14"/>
        <v>5943.1920919005006</v>
      </c>
      <c r="AA30" s="71">
        <f t="shared" si="14"/>
        <v>5797.1925913914511</v>
      </c>
      <c r="AB30" s="71">
        <f t="shared" si="14"/>
        <v>5649.0159998837089</v>
      </c>
      <c r="AC30" s="71">
        <f t="shared" si="14"/>
        <v>5498.6005256197341</v>
      </c>
      <c r="AD30" s="71">
        <f t="shared" si="14"/>
        <v>5345.8828688704634</v>
      </c>
      <c r="AE30" s="71">
        <f t="shared" si="14"/>
        <v>5190.7981840519105</v>
      </c>
      <c r="AF30" s="71">
        <f t="shared" si="14"/>
        <v>5033.2800408955991</v>
      </c>
      <c r="AG30" s="71">
        <f t="shared" si="14"/>
        <v>4873.2603846491638</v>
      </c>
      <c r="AH30" s="71">
        <f t="shared" si="14"/>
        <v>4710.6694952829157</v>
      </c>
    </row>
    <row r="31" spans="2:34" ht="17" thickTop="1">
      <c r="B31" s="93" t="s">
        <v>255</v>
      </c>
      <c r="C31" s="1" t="s">
        <v>174</v>
      </c>
      <c r="E31" s="4">
        <f>-E27 * 'Model Initial - Battery Lazard'!$C$33</f>
        <v>14994</v>
      </c>
      <c r="F31" s="4">
        <f>-F27 * 'Model Initial - Battery Lazard'!$C$33</f>
        <v>23990.399999999998</v>
      </c>
      <c r="G31" s="4">
        <f>-G27 * 'Model Initial - Battery Lazard'!$C$33</f>
        <v>14394.24</v>
      </c>
      <c r="H31" s="4">
        <f>-H27 * 'Model Initial - Battery Lazard'!$C$33</f>
        <v>8621.5499999999993</v>
      </c>
      <c r="I31" s="4">
        <f>-I27 * 'Model Initial - Battery Lazard'!$C$33</f>
        <v>8621.5499999999993</v>
      </c>
      <c r="J31" s="4">
        <f>-J27 * 'Model Initial - Battery Lazard'!$C$33</f>
        <v>4348.26</v>
      </c>
      <c r="K31" s="2" t="e">
        <f>-K27 * 'Model Initial - Battery Lazard'!$C$33</f>
        <v>#REF!</v>
      </c>
      <c r="L31" s="2">
        <f>-L27 * 'Model Initial - Battery Lazard'!$C$33</f>
        <v>0</v>
      </c>
      <c r="M31" s="2" t="e">
        <f>-M27 * 'Model Initial - Battery Lazard'!$C$33</f>
        <v>#REF!</v>
      </c>
      <c r="N31" s="2" t="e">
        <f>-N27 * 'Model Initial - Battery Lazard'!$C$33</f>
        <v>#REF!</v>
      </c>
      <c r="O31" s="2" t="e">
        <f>-O27 * 'Model Initial - Battery Lazard'!$C$33</f>
        <v>#REF!</v>
      </c>
      <c r="P31" s="2">
        <f>-P27 * 'Model Initial - Battery Lazard'!$C$33</f>
        <v>0</v>
      </c>
      <c r="Q31" s="2">
        <f>-Q27 * 'Model Initial - Battery Lazard'!$C$33</f>
        <v>0</v>
      </c>
      <c r="R31" s="2">
        <f>-R27 * 'Model Initial - Battery Lazard'!$C$33</f>
        <v>0</v>
      </c>
      <c r="S31" s="2">
        <f>-S27 * 'Model Initial - Battery Lazard'!$C$33</f>
        <v>0</v>
      </c>
      <c r="T31" s="2">
        <f>-T27 * 'Model Initial - Battery Lazard'!$C$33</f>
        <v>0</v>
      </c>
      <c r="U31" s="2">
        <f>-U27 * 'Model Initial - Battery Lazard'!$C$33</f>
        <v>0</v>
      </c>
      <c r="V31" s="2">
        <f>-V27 * 'Model Initial - Battery Lazard'!$C$33</f>
        <v>0</v>
      </c>
      <c r="W31" s="2">
        <f>-W27 * 'Model Initial - Battery Lazard'!$C$33</f>
        <v>0</v>
      </c>
      <c r="X31" s="2">
        <f>-X27 * 'Model Initial - Battery Lazard'!$C$33</f>
        <v>0</v>
      </c>
      <c r="Y31" s="2">
        <f>-Y27 * 'Model Initial - Battery Lazard'!$C$33</f>
        <v>0</v>
      </c>
      <c r="Z31" s="2">
        <f>-Z27 * 'Model Initial - Battery Lazard'!$C$33</f>
        <v>0</v>
      </c>
      <c r="AA31" s="2">
        <f>-AA27 * 'Model Initial - Battery Lazard'!$C$33</f>
        <v>0</v>
      </c>
      <c r="AB31" s="2">
        <f>-AB27 * 'Model Initial - Battery Lazard'!$C$33</f>
        <v>0</v>
      </c>
      <c r="AC31" s="2">
        <f>-AC27 * 'Model Initial - Battery Lazard'!$C$33</f>
        <v>0</v>
      </c>
      <c r="AD31" s="2">
        <f>-AD27 * 'Model Initial - Battery Lazard'!$C$33</f>
        <v>0</v>
      </c>
      <c r="AE31" s="2">
        <f>-AE27 * 'Model Initial - Battery Lazard'!$C$33</f>
        <v>0</v>
      </c>
      <c r="AF31" s="2">
        <f>-AF27 * 'Model Initial - Battery Lazard'!$C$33</f>
        <v>0</v>
      </c>
      <c r="AG31" s="2">
        <f>-AG27 * 'Model Initial - Battery Lazard'!$C$33</f>
        <v>0</v>
      </c>
      <c r="AH31" s="2">
        <f>-AH27 * 'Model Initial - Battery Lazard'!$C$33</f>
        <v>0</v>
      </c>
    </row>
    <row r="32" spans="2:34" ht="17" thickBot="1">
      <c r="B32" s="11" t="s">
        <v>257</v>
      </c>
      <c r="C32" s="160" t="s">
        <v>174</v>
      </c>
      <c r="D32" s="12"/>
      <c r="E32" s="71">
        <f>E30-E27</f>
        <v>10887.971262986786</v>
      </c>
      <c r="F32" s="71">
        <f t="shared" ref="F32:AH32" si="15">F30-F27</f>
        <v>10745.893906671845</v>
      </c>
      <c r="G32" s="71">
        <f t="shared" si="15"/>
        <v>10602.335999638497</v>
      </c>
      <c r="H32" s="71">
        <f t="shared" si="15"/>
        <v>10457.250171202802</v>
      </c>
      <c r="I32" s="71">
        <f t="shared" si="15"/>
        <v>10310.587918198347</v>
      </c>
      <c r="J32" s="71">
        <f>J30-J27</f>
        <v>10162.299576405212</v>
      </c>
      <c r="K32" s="71" t="e">
        <f t="shared" si="15"/>
        <v>#REF!</v>
      </c>
      <c r="L32" s="71">
        <f t="shared" si="15"/>
        <v>7789.9055904181077</v>
      </c>
      <c r="M32" s="71" t="e">
        <f t="shared" si="15"/>
        <v>#REF!</v>
      </c>
      <c r="N32" s="71" t="e">
        <f t="shared" si="15"/>
        <v>#REF!</v>
      </c>
      <c r="O32" s="71" t="e">
        <f t="shared" si="15"/>
        <v>#REF!</v>
      </c>
      <c r="P32" s="71">
        <f t="shared" si="15"/>
        <v>7296.03444305839</v>
      </c>
      <c r="Q32" s="71">
        <f t="shared" si="15"/>
        <v>7168.7137552093827</v>
      </c>
      <c r="R32" s="71">
        <f t="shared" si="15"/>
        <v>7039.7586579087747</v>
      </c>
      <c r="S32" s="71">
        <f t="shared" si="15"/>
        <v>6909.1205478815591</v>
      </c>
      <c r="T32" s="71">
        <f t="shared" si="15"/>
        <v>6776.7496454860348</v>
      </c>
      <c r="U32" s="71">
        <f t="shared" si="15"/>
        <v>6642.5949651110877</v>
      </c>
      <c r="V32" s="71">
        <f t="shared" si="15"/>
        <v>6506.6042848343277</v>
      </c>
      <c r="W32" s="71">
        <f t="shared" si="15"/>
        <v>6368.7241153226696</v>
      </c>
      <c r="X32" s="71">
        <f t="shared" si="15"/>
        <v>6228.8996679563834</v>
      </c>
      <c r="Y32" s="71">
        <f t="shared" si="15"/>
        <v>6087.0748221571885</v>
      </c>
      <c r="Z32" s="71">
        <f t="shared" si="15"/>
        <v>5943.1920919005006</v>
      </c>
      <c r="AA32" s="71">
        <f t="shared" si="15"/>
        <v>5797.1925913914511</v>
      </c>
      <c r="AB32" s="71">
        <f t="shared" si="15"/>
        <v>5649.0159998837089</v>
      </c>
      <c r="AC32" s="71">
        <f t="shared" si="15"/>
        <v>5498.6005256197341</v>
      </c>
      <c r="AD32" s="71">
        <f t="shared" si="15"/>
        <v>5345.8828688704634</v>
      </c>
      <c r="AE32" s="71">
        <f t="shared" si="15"/>
        <v>5190.7981840519105</v>
      </c>
      <c r="AF32" s="71">
        <f t="shared" si="15"/>
        <v>5033.2800408955991</v>
      </c>
      <c r="AG32" s="71">
        <f t="shared" si="15"/>
        <v>4873.2603846491638</v>
      </c>
      <c r="AH32" s="71">
        <f t="shared" si="15"/>
        <v>4710.6694952829157</v>
      </c>
    </row>
    <row r="33" spans="2:34" ht="17" thickTop="1">
      <c r="C33" s="1"/>
    </row>
    <row r="34" spans="2:34">
      <c r="B34" s="44" t="s">
        <v>250</v>
      </c>
      <c r="C34" s="1"/>
      <c r="D34" s="124" t="e">
        <f>SUM(E34:AH34)-D44</f>
        <v>#REF!</v>
      </c>
      <c r="E34" s="123">
        <f>(E30+E31) /(1+$D$5)^E$2</f>
        <v>-40641.097086618938</v>
      </c>
      <c r="F34" s="123">
        <f t="shared" ref="F34:AH35" si="16">(F30+F31) /(1+$D$5)^F$2</f>
        <v>-63379.867740216956</v>
      </c>
      <c r="G34" s="123">
        <f t="shared" si="16"/>
        <v>-30996.196246612988</v>
      </c>
      <c r="H34" s="123">
        <f t="shared" si="16"/>
        <v>-13966.272285837775</v>
      </c>
      <c r="I34" s="123">
        <f t="shared" si="16"/>
        <v>-12553.106070572936</v>
      </c>
      <c r="J34" s="123">
        <f t="shared" si="16"/>
        <v>-3138.802927993122</v>
      </c>
      <c r="K34" s="123" t="e">
        <f t="shared" si="16"/>
        <v>#REF!</v>
      </c>
      <c r="L34" s="123">
        <f t="shared" si="16"/>
        <v>3146.2122155125985</v>
      </c>
      <c r="M34" s="123" t="e">
        <f t="shared" si="16"/>
        <v>#REF!</v>
      </c>
      <c r="N34" s="123" t="e">
        <f t="shared" si="16"/>
        <v>#REF!</v>
      </c>
      <c r="O34" s="123" t="e">
        <f t="shared" si="16"/>
        <v>#REF!</v>
      </c>
      <c r="P34" s="123">
        <f t="shared" si="16"/>
        <v>1872.7103188047718</v>
      </c>
      <c r="Q34" s="123">
        <f t="shared" si="16"/>
        <v>1642.8841691225507</v>
      </c>
      <c r="R34" s="123">
        <f t="shared" si="16"/>
        <v>1440.4740974424756</v>
      </c>
      <c r="S34" s="123">
        <f t="shared" si="16"/>
        <v>1262.2704927216171</v>
      </c>
      <c r="T34" s="123">
        <f t="shared" si="16"/>
        <v>1105.4346640658805</v>
      </c>
      <c r="U34" s="123">
        <f t="shared" si="16"/>
        <v>967.45636576705169</v>
      </c>
      <c r="V34" s="123">
        <f t="shared" si="16"/>
        <v>846.11615425477351</v>
      </c>
      <c r="W34" s="123">
        <f t="shared" si="16"/>
        <v>739.45202993409396</v>
      </c>
      <c r="X34" s="123">
        <f t="shared" si="16"/>
        <v>645.72987858921181</v>
      </c>
      <c r="Y34" s="123">
        <f t="shared" si="16"/>
        <v>563.41728180101939</v>
      </c>
      <c r="Z34" s="123">
        <f t="shared" si="16"/>
        <v>491.16031442957075</v>
      </c>
      <c r="AA34" s="123">
        <f t="shared" si="16"/>
        <v>427.76299034490319</v>
      </c>
      <c r="AB34" s="123">
        <f t="shared" si="16"/>
        <v>372.16905586531448</v>
      </c>
      <c r="AC34" s="123">
        <f t="shared" si="16"/>
        <v>323.44586432691261</v>
      </c>
      <c r="AD34" s="123">
        <f t="shared" si="16"/>
        <v>280.77009534643605</v>
      </c>
      <c r="AE34" s="123">
        <f t="shared" si="16"/>
        <v>243.41510908112801</v>
      </c>
      <c r="AF34" s="123">
        <f t="shared" si="16"/>
        <v>210.73974951665957</v>
      </c>
      <c r="AG34" s="123">
        <f t="shared" si="16"/>
        <v>182.17843186573259</v>
      </c>
      <c r="AH34" s="123">
        <f t="shared" si="16"/>
        <v>157.23236783699809</v>
      </c>
    </row>
    <row r="35" spans="2:34">
      <c r="B35" s="44" t="s">
        <v>258</v>
      </c>
      <c r="C35" s="1"/>
      <c r="D35" s="124" t="e">
        <f>SUM(E35:AH35) - D44</f>
        <v>#REF!</v>
      </c>
      <c r="E35" s="123">
        <f>(E31+E32) /(1+$D$5)^E$2</f>
        <v>23108.902913381058</v>
      </c>
      <c r="F35" s="123">
        <f t="shared" si="16"/>
        <v>27691.560831211602</v>
      </c>
      <c r="G35" s="123">
        <f t="shared" si="16"/>
        <v>17792.069059509446</v>
      </c>
      <c r="H35" s="123">
        <f t="shared" si="16"/>
        <v>12124.922423072569</v>
      </c>
      <c r="I35" s="123">
        <f t="shared" si="16"/>
        <v>10742.603490954154</v>
      </c>
      <c r="J35" s="123">
        <f t="shared" si="16"/>
        <v>7351.5010671044802</v>
      </c>
      <c r="K35" s="123" t="e">
        <f t="shared" si="16"/>
        <v>#REF!</v>
      </c>
      <c r="L35" s="123">
        <f t="shared" si="16"/>
        <v>3146.2122155125985</v>
      </c>
      <c r="M35" s="123" t="e">
        <f t="shared" si="16"/>
        <v>#REF!</v>
      </c>
      <c r="N35" s="123" t="e">
        <f t="shared" si="16"/>
        <v>#REF!</v>
      </c>
      <c r="O35" s="123" t="e">
        <f t="shared" si="16"/>
        <v>#REF!</v>
      </c>
      <c r="P35" s="123">
        <f t="shared" si="16"/>
        <v>1872.7103188047718</v>
      </c>
      <c r="Q35" s="123">
        <f t="shared" si="16"/>
        <v>1642.8841691225507</v>
      </c>
      <c r="R35" s="123">
        <f t="shared" si="16"/>
        <v>1440.4740974424756</v>
      </c>
      <c r="S35" s="123">
        <f t="shared" si="16"/>
        <v>1262.2704927216171</v>
      </c>
      <c r="T35" s="123">
        <f t="shared" si="16"/>
        <v>1105.4346640658805</v>
      </c>
      <c r="U35" s="123">
        <f t="shared" si="16"/>
        <v>967.45636576705169</v>
      </c>
      <c r="V35" s="123">
        <f t="shared" si="16"/>
        <v>846.11615425477351</v>
      </c>
      <c r="W35" s="123">
        <f t="shared" si="16"/>
        <v>739.45202993409396</v>
      </c>
      <c r="X35" s="123">
        <f t="shared" si="16"/>
        <v>645.72987858921181</v>
      </c>
      <c r="Y35" s="123">
        <f t="shared" si="16"/>
        <v>563.41728180101939</v>
      </c>
      <c r="Z35" s="123">
        <f t="shared" si="16"/>
        <v>491.16031442957075</v>
      </c>
      <c r="AA35" s="123">
        <f t="shared" si="16"/>
        <v>427.76299034490319</v>
      </c>
      <c r="AB35" s="123">
        <f t="shared" si="16"/>
        <v>372.16905586531448</v>
      </c>
      <c r="AC35" s="123">
        <f t="shared" si="16"/>
        <v>323.44586432691261</v>
      </c>
      <c r="AD35" s="123">
        <f t="shared" si="16"/>
        <v>280.77009534643605</v>
      </c>
      <c r="AE35" s="123">
        <f t="shared" si="16"/>
        <v>243.41510908112801</v>
      </c>
      <c r="AF35" s="123">
        <f t="shared" si="16"/>
        <v>210.73974951665957</v>
      </c>
      <c r="AG35" s="123">
        <f t="shared" si="16"/>
        <v>182.17843186573259</v>
      </c>
      <c r="AH35" s="123">
        <f t="shared" si="16"/>
        <v>157.23236783699809</v>
      </c>
    </row>
    <row r="36" spans="2:34">
      <c r="C36" s="1"/>
    </row>
    <row r="37" spans="2:34">
      <c r="B37" s="42" t="s">
        <v>204</v>
      </c>
      <c r="C37" s="1" t="s">
        <v>225</v>
      </c>
      <c r="D37" s="109">
        <v>30</v>
      </c>
    </row>
    <row r="38" spans="2:34" ht="17" thickBot="1">
      <c r="C38" s="41"/>
      <c r="D38" s="107"/>
      <c r="E38" s="5"/>
    </row>
    <row r="39" spans="2:34" ht="17" thickBot="1">
      <c r="B39" s="237" t="s">
        <v>316</v>
      </c>
      <c r="C39" s="238" t="s">
        <v>317</v>
      </c>
      <c r="D39" s="69">
        <f>INDEX('H3 Project Proposal'!$D$4:$D$8,MATCH('LCOS Solar + Degradation'!$B$39,'H3 Project Proposal'!$B$4:$B$8,0))</f>
        <v>1700</v>
      </c>
      <c r="E39" s="5"/>
    </row>
    <row r="40" spans="2:34">
      <c r="C40" s="41"/>
      <c r="D40" s="73"/>
      <c r="E40" s="5"/>
    </row>
    <row r="41" spans="2:34">
      <c r="B41" s="42" t="s">
        <v>233</v>
      </c>
      <c r="C41" s="1" t="s">
        <v>167</v>
      </c>
      <c r="D41" s="108">
        <v>0.3</v>
      </c>
    </row>
    <row r="42" spans="2:34">
      <c r="C42" s="41"/>
      <c r="D42" s="107"/>
      <c r="E42" s="5"/>
    </row>
    <row r="43" spans="2:34">
      <c r="B43" s="42" t="s">
        <v>318</v>
      </c>
      <c r="C43" s="41" t="s">
        <v>174</v>
      </c>
      <c r="D43" s="73">
        <f>D39 * E17 * 1000</f>
        <v>510000</v>
      </c>
      <c r="E43" s="5"/>
    </row>
    <row r="44" spans="2:34">
      <c r="B44" s="42" t="s">
        <v>319</v>
      </c>
      <c r="C44" s="41" t="s">
        <v>174</v>
      </c>
      <c r="D44" s="73">
        <f>D43 * (1 - $D$41)</f>
        <v>357000</v>
      </c>
      <c r="E44" s="5"/>
    </row>
    <row r="45" spans="2:34">
      <c r="D45" s="5">
        <f>SUM(E45:AH45)</f>
        <v>4196.9937519861405</v>
      </c>
      <c r="E45" s="89">
        <f>E19 / (1+$D$5) ^ E$2</f>
        <v>482.26406249999997</v>
      </c>
      <c r="F45" s="89">
        <f t="shared" ref="F45:AH45" si="17">F19 / (1+$D$5) ^ F$2</f>
        <v>428.43994838169635</v>
      </c>
      <c r="G45" s="89">
        <f t="shared" si="17"/>
        <v>380.62298985695338</v>
      </c>
      <c r="H45" s="89">
        <f t="shared" si="17"/>
        <v>338.14274545327555</v>
      </c>
      <c r="I45" s="89">
        <f t="shared" si="17"/>
        <v>300.40359975536529</v>
      </c>
      <c r="J45" s="89">
        <f t="shared" si="17"/>
        <v>266.8764122826683</v>
      </c>
      <c r="K45" s="89">
        <f t="shared" si="17"/>
        <v>237.09109841183476</v>
      </c>
      <c r="L45" s="89">
        <f t="shared" si="17"/>
        <v>210.6300383212282</v>
      </c>
      <c r="M45" s="89">
        <f t="shared" si="17"/>
        <v>187.12222154430535</v>
      </c>
      <c r="N45" s="89">
        <f t="shared" si="17"/>
        <v>166.23804503266413</v>
      </c>
      <c r="O45" s="89">
        <f t="shared" si="17"/>
        <v>147.6846917924114</v>
      </c>
      <c r="P45" s="89">
        <f t="shared" si="17"/>
        <v>131.20202529772263</v>
      </c>
      <c r="Q45" s="89">
        <f t="shared" si="17"/>
        <v>116.55894211717322</v>
      </c>
      <c r="R45" s="89">
        <f t="shared" si="17"/>
        <v>103.5501316130244</v>
      </c>
      <c r="S45" s="89">
        <f t="shared" si="17"/>
        <v>91.993197281213639</v>
      </c>
      <c r="T45" s="89">
        <f t="shared" si="17"/>
        <v>81.726099370363883</v>
      </c>
      <c r="U45" s="89">
        <f t="shared" si="17"/>
        <v>72.604882922778629</v>
      </c>
      <c r="V45" s="89">
        <f t="shared" si="17"/>
        <v>64.501659382289944</v>
      </c>
      <c r="W45" s="89">
        <f t="shared" si="17"/>
        <v>57.30281346908793</v>
      </c>
      <c r="X45" s="89">
        <f t="shared" si="17"/>
        <v>50.907410180127222</v>
      </c>
      <c r="Y45" s="89">
        <f t="shared" si="17"/>
        <v>45.2257795796666</v>
      </c>
      <c r="Z45" s="89">
        <f t="shared" si="17"/>
        <v>40.178259537293087</v>
      </c>
      <c r="AA45" s="89">
        <f t="shared" si="17"/>
        <v>35.694078785363054</v>
      </c>
      <c r="AB45" s="89">
        <f t="shared" si="17"/>
        <v>31.710364635210926</v>
      </c>
      <c r="AC45" s="89">
        <f t="shared" si="17"/>
        <v>28.171261439316844</v>
      </c>
      <c r="AD45" s="89">
        <f t="shared" si="17"/>
        <v>25.027147439393083</v>
      </c>
      <c r="AE45" s="89">
        <f t="shared" si="17"/>
        <v>22.233939019817957</v>
      </c>
      <c r="AF45" s="89">
        <f t="shared" si="17"/>
        <v>19.752472611356133</v>
      </c>
      <c r="AG45" s="89">
        <f t="shared" si="17"/>
        <v>17.547955578838707</v>
      </c>
      <c r="AH45" s="89">
        <f t="shared" si="17"/>
        <v>15.589478393700457</v>
      </c>
    </row>
    <row r="46" spans="2:34">
      <c r="B46" s="103" t="s">
        <v>216</v>
      </c>
      <c r="C46" s="104" t="s">
        <v>224</v>
      </c>
      <c r="D46" s="105">
        <f>(D44+D24)/SUM(E19:AH19)</f>
        <v>25.56620490864896</v>
      </c>
    </row>
    <row r="47" spans="2:34">
      <c r="B47" s="42" t="s">
        <v>268</v>
      </c>
      <c r="C47" s="77" t="s">
        <v>224</v>
      </c>
      <c r="D47" s="10">
        <f>(D44+D24)/D45</f>
        <v>91.874598800547716</v>
      </c>
    </row>
    <row r="49" spans="4:9">
      <c r="D49" s="85"/>
      <c r="E49" s="85"/>
      <c r="F49" s="85"/>
      <c r="G49" s="85"/>
      <c r="H49" s="85"/>
      <c r="I49" s="85"/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DCD5831-2979-8543-996D-8AD6C3A5CB61}">
          <x14:formula1>
            <xm:f>'H3 Project Proposal'!$B$4:$B$8</xm:f>
          </x14:formula1>
          <xm:sqref>B39:B41</xm:sqref>
        </x14:dataValidation>
      </x14:dataValidations>
    </ext>
  </extLst>
</worksheet>
</file>

<file path=xl/worksheets/sheet1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383E5-190B-E24A-8C0A-4431BF12752B}">
  <sheetPr codeName="Sheet8"/>
  <dimension ref="B1:AE66"/>
  <sheetViews>
    <sheetView showGridLines="0" workbookViewId="0">
      <pane xSplit="2" ySplit="2" topLeftCell="C3" activePane="bottomRight" state="frozen"/>
      <selection activeCell="B18" sqref="B18"/>
      <selection pane="topRight" activeCell="B18" sqref="B18"/>
      <selection pane="bottomLeft" activeCell="B18" sqref="B18"/>
      <selection pane="bottomRight" activeCell="D2" sqref="D2"/>
    </sheetView>
  </sheetViews>
  <sheetFormatPr baseColWidth="10" defaultRowHeight="16"/>
  <cols>
    <col min="1" max="1" width="2.83203125" customWidth="1"/>
    <col min="2" max="2" width="44.6640625" bestFit="1" customWidth="1"/>
    <col min="3" max="3" width="13.1640625" bestFit="1" customWidth="1"/>
    <col min="4" max="4" width="42.83203125" bestFit="1" customWidth="1"/>
    <col min="5" max="5" width="20" bestFit="1" customWidth="1"/>
    <col min="6" max="6" width="15.1640625" bestFit="1" customWidth="1"/>
    <col min="7" max="7" width="15.6640625" bestFit="1" customWidth="1"/>
    <col min="8" max="24" width="15.1640625" bestFit="1" customWidth="1"/>
  </cols>
  <sheetData>
    <row r="1" spans="2:24">
      <c r="D1" s="7" t="s">
        <v>6</v>
      </c>
    </row>
    <row r="2" spans="2:24">
      <c r="B2" t="s">
        <v>2</v>
      </c>
      <c r="D2">
        <v>0</v>
      </c>
      <c r="E2">
        <v>1</v>
      </c>
      <c r="F2">
        <f>E2+1</f>
        <v>2</v>
      </c>
      <c r="G2">
        <f t="shared" ref="G2:X2" si="0">F2+1</f>
        <v>3</v>
      </c>
      <c r="H2">
        <f t="shared" si="0"/>
        <v>4</v>
      </c>
      <c r="I2">
        <f t="shared" si="0"/>
        <v>5</v>
      </c>
      <c r="J2">
        <f t="shared" si="0"/>
        <v>6</v>
      </c>
      <c r="K2">
        <f t="shared" si="0"/>
        <v>7</v>
      </c>
      <c r="L2">
        <f t="shared" si="0"/>
        <v>8</v>
      </c>
      <c r="M2">
        <f t="shared" si="0"/>
        <v>9</v>
      </c>
      <c r="N2">
        <f t="shared" si="0"/>
        <v>10</v>
      </c>
      <c r="O2">
        <f t="shared" si="0"/>
        <v>11</v>
      </c>
      <c r="P2">
        <f t="shared" si="0"/>
        <v>12</v>
      </c>
      <c r="Q2">
        <f t="shared" si="0"/>
        <v>13</v>
      </c>
      <c r="R2">
        <f t="shared" si="0"/>
        <v>14</v>
      </c>
      <c r="S2">
        <f t="shared" si="0"/>
        <v>15</v>
      </c>
      <c r="T2">
        <f t="shared" si="0"/>
        <v>16</v>
      </c>
      <c r="U2">
        <f t="shared" si="0"/>
        <v>17</v>
      </c>
      <c r="V2">
        <f t="shared" si="0"/>
        <v>18</v>
      </c>
      <c r="W2">
        <f t="shared" si="0"/>
        <v>19</v>
      </c>
      <c r="X2">
        <f t="shared" si="0"/>
        <v>20</v>
      </c>
    </row>
    <row r="4" spans="2:24" s="21" customFormat="1">
      <c r="B4" s="22" t="s">
        <v>29</v>
      </c>
    </row>
    <row r="5" spans="2:24">
      <c r="B5" s="15"/>
    </row>
    <row r="6" spans="2:24">
      <c r="B6" s="19" t="s">
        <v>23</v>
      </c>
    </row>
    <row r="7" spans="2:24">
      <c r="B7" s="19"/>
    </row>
    <row r="8" spans="2:24">
      <c r="B8" t="s">
        <v>21</v>
      </c>
      <c r="C8" s="26">
        <v>2</v>
      </c>
    </row>
    <row r="9" spans="2:24">
      <c r="B9" t="s">
        <v>22</v>
      </c>
      <c r="C9" s="26">
        <v>0.5</v>
      </c>
    </row>
    <row r="10" spans="2:24">
      <c r="B10" t="s">
        <v>24</v>
      </c>
      <c r="C10" s="26">
        <v>1</v>
      </c>
    </row>
    <row r="11" spans="2:24">
      <c r="B11" t="s">
        <v>259</v>
      </c>
      <c r="C11" s="26">
        <v>8</v>
      </c>
    </row>
    <row r="12" spans="2:24">
      <c r="B12" t="s">
        <v>25</v>
      </c>
      <c r="C12" s="26">
        <v>350</v>
      </c>
    </row>
    <row r="13" spans="2:24" ht="16" customHeight="1">
      <c r="B13" t="s">
        <v>190</v>
      </c>
      <c r="C13" s="88">
        <v>2.5000000000000001E-2</v>
      </c>
    </row>
    <row r="14" spans="2:24">
      <c r="B14" t="s">
        <v>26</v>
      </c>
      <c r="C14" s="26">
        <v>3.5</v>
      </c>
      <c r="D14" s="70"/>
    </row>
    <row r="15" spans="2:24">
      <c r="B15" t="s">
        <v>27</v>
      </c>
      <c r="C15" s="168">
        <f>3.15 / 10^3</f>
        <v>3.15E-3</v>
      </c>
    </row>
    <row r="16" spans="2:24">
      <c r="B16" t="s">
        <v>28</v>
      </c>
      <c r="C16" s="30">
        <v>0.9</v>
      </c>
    </row>
    <row r="17" spans="2:6">
      <c r="B17" t="s">
        <v>146</v>
      </c>
      <c r="C17" s="31">
        <v>520000</v>
      </c>
    </row>
    <row r="18" spans="2:6">
      <c r="B18" t="s">
        <v>264</v>
      </c>
      <c r="C18" s="98">
        <v>0.9</v>
      </c>
    </row>
    <row r="19" spans="2:6">
      <c r="B19" t="s">
        <v>41</v>
      </c>
    </row>
    <row r="20" spans="2:6">
      <c r="B20" s="19" t="s">
        <v>30</v>
      </c>
    </row>
    <row r="21" spans="2:6">
      <c r="B21" s="19"/>
      <c r="E21" s="28"/>
    </row>
    <row r="22" spans="2:6">
      <c r="B22" t="s">
        <v>43</v>
      </c>
      <c r="C22">
        <v>26</v>
      </c>
    </row>
    <row r="23" spans="2:6">
      <c r="B23" t="s">
        <v>42</v>
      </c>
      <c r="C23">
        <v>0.9</v>
      </c>
      <c r="F23" s="13"/>
    </row>
    <row r="24" spans="2:6">
      <c r="B24" t="s">
        <v>31</v>
      </c>
      <c r="C24" s="27">
        <v>0.2</v>
      </c>
    </row>
    <row r="25" spans="2:6">
      <c r="B25" t="s">
        <v>36</v>
      </c>
      <c r="C25" s="27">
        <v>0.08</v>
      </c>
    </row>
    <row r="26" spans="2:6">
      <c r="B26" t="s">
        <v>35</v>
      </c>
      <c r="C26" s="27">
        <v>0.8</v>
      </c>
    </row>
    <row r="27" spans="2:6">
      <c r="B27" t="s">
        <v>37</v>
      </c>
      <c r="C27" s="108">
        <v>0.12</v>
      </c>
    </row>
    <row r="28" spans="2:6">
      <c r="B28" t="s">
        <v>38</v>
      </c>
      <c r="C28" s="20">
        <f>C25 * (1-C33) * C24 + C26 * C27</f>
        <v>0.10864</v>
      </c>
      <c r="E28" s="51"/>
    </row>
    <row r="29" spans="2:6">
      <c r="B29" t="s">
        <v>210</v>
      </c>
      <c r="C29" s="20">
        <f>'LCOS Solar + Degradation'!D23</f>
        <v>2.5000000000000001E-2</v>
      </c>
      <c r="E29" s="51"/>
    </row>
    <row r="30" spans="2:6" ht="17" thickBot="1">
      <c r="B30" t="s">
        <v>34</v>
      </c>
      <c r="C30" s="31">
        <v>20</v>
      </c>
      <c r="E30" s="51"/>
    </row>
    <row r="31" spans="2:6" ht="17" thickBot="1">
      <c r="B31" t="s">
        <v>33</v>
      </c>
      <c r="C31" s="169" t="s">
        <v>114</v>
      </c>
    </row>
    <row r="32" spans="2:6">
      <c r="B32" t="s">
        <v>32</v>
      </c>
      <c r="C32" s="26">
        <f>IF(C31 = "Double decline",C30 / 2,C30)</f>
        <v>10</v>
      </c>
    </row>
    <row r="33" spans="2:31">
      <c r="B33" t="s">
        <v>39</v>
      </c>
      <c r="C33" s="20">
        <v>0.21</v>
      </c>
    </row>
    <row r="34" spans="2:31">
      <c r="E34" s="4"/>
    </row>
    <row r="35" spans="2:31" s="21" customFormat="1">
      <c r="B35" s="22" t="s">
        <v>40</v>
      </c>
    </row>
    <row r="36" spans="2:31">
      <c r="B36" t="s">
        <v>3</v>
      </c>
      <c r="C36" t="s">
        <v>8</v>
      </c>
      <c r="E36" s="162">
        <f>C8 * $C$18 * C9</f>
        <v>0.9</v>
      </c>
      <c r="F36" s="162">
        <f>E36</f>
        <v>0.9</v>
      </c>
      <c r="G36" s="162">
        <f t="shared" ref="G36:X36" si="1">F36</f>
        <v>0.9</v>
      </c>
      <c r="H36" s="162">
        <f t="shared" si="1"/>
        <v>0.9</v>
      </c>
      <c r="I36" s="162">
        <f t="shared" si="1"/>
        <v>0.9</v>
      </c>
      <c r="J36" s="162">
        <f t="shared" si="1"/>
        <v>0.9</v>
      </c>
      <c r="K36" s="162">
        <f t="shared" si="1"/>
        <v>0.9</v>
      </c>
      <c r="L36" s="162">
        <f t="shared" si="1"/>
        <v>0.9</v>
      </c>
      <c r="M36" s="162">
        <f t="shared" si="1"/>
        <v>0.9</v>
      </c>
      <c r="N36" s="162">
        <f t="shared" si="1"/>
        <v>0.9</v>
      </c>
      <c r="O36" s="162">
        <f t="shared" si="1"/>
        <v>0.9</v>
      </c>
      <c r="P36" s="162">
        <f t="shared" si="1"/>
        <v>0.9</v>
      </c>
      <c r="Q36" s="162">
        <f t="shared" si="1"/>
        <v>0.9</v>
      </c>
      <c r="R36" s="162">
        <f t="shared" si="1"/>
        <v>0.9</v>
      </c>
      <c r="S36" s="162">
        <f t="shared" si="1"/>
        <v>0.9</v>
      </c>
      <c r="T36" s="162">
        <f t="shared" si="1"/>
        <v>0.9</v>
      </c>
      <c r="U36" s="162">
        <f t="shared" si="1"/>
        <v>0.9</v>
      </c>
      <c r="V36" s="162">
        <f t="shared" si="1"/>
        <v>0.9</v>
      </c>
      <c r="W36" s="162">
        <f t="shared" si="1"/>
        <v>0.9</v>
      </c>
      <c r="X36" s="162">
        <f t="shared" si="1"/>
        <v>0.9</v>
      </c>
    </row>
    <row r="37" spans="2:31">
      <c r="B37" t="s">
        <v>4</v>
      </c>
      <c r="E37" s="85">
        <f>E36 *1.1</f>
        <v>0.9900000000000001</v>
      </c>
      <c r="F37" s="85">
        <f>E37 * (1-$C$13)</f>
        <v>0.96525000000000005</v>
      </c>
      <c r="G37" s="85">
        <f t="shared" ref="G37:X37" si="2">F37 * (1-$C$13)</f>
        <v>0.94111875</v>
      </c>
      <c r="H37" s="85">
        <f t="shared" si="2"/>
        <v>0.91759078124999993</v>
      </c>
      <c r="I37" s="85">
        <f t="shared" si="2"/>
        <v>0.89465101171874994</v>
      </c>
      <c r="J37" s="85">
        <f t="shared" si="2"/>
        <v>0.87228473642578119</v>
      </c>
      <c r="K37" s="85">
        <f t="shared" si="2"/>
        <v>0.85047761801513666</v>
      </c>
      <c r="L37" s="85">
        <f t="shared" si="2"/>
        <v>0.82921567756475822</v>
      </c>
      <c r="M37" s="85">
        <f t="shared" si="2"/>
        <v>0.80848528562563926</v>
      </c>
      <c r="N37" s="85">
        <f t="shared" si="2"/>
        <v>0.78827315348499827</v>
      </c>
      <c r="O37" s="85">
        <f t="shared" si="2"/>
        <v>0.76856632464787333</v>
      </c>
      <c r="P37" s="85">
        <f t="shared" si="2"/>
        <v>0.74935216653167647</v>
      </c>
      <c r="Q37" s="85">
        <f t="shared" si="2"/>
        <v>0.73061836236838451</v>
      </c>
      <c r="R37" s="85">
        <f t="shared" si="2"/>
        <v>0.71235290330917489</v>
      </c>
      <c r="S37" s="85">
        <f t="shared" si="2"/>
        <v>0.69454408072644547</v>
      </c>
      <c r="T37" s="85">
        <f t="shared" si="2"/>
        <v>0.67718047870828435</v>
      </c>
      <c r="U37" s="85">
        <f t="shared" si="2"/>
        <v>0.66025096674057726</v>
      </c>
      <c r="V37" s="85">
        <f t="shared" si="2"/>
        <v>0.64374469257206279</v>
      </c>
      <c r="W37" s="85">
        <f t="shared" si="2"/>
        <v>0.6276510752577612</v>
      </c>
      <c r="X37" s="85">
        <f t="shared" si="2"/>
        <v>0.6119597983763172</v>
      </c>
      <c r="Z37" s="9">
        <f>E37 / F37 - 1</f>
        <v>2.5641025641025772E-2</v>
      </c>
      <c r="AA37" s="9">
        <f>F37 / G37 - 1</f>
        <v>2.5641025641025772E-2</v>
      </c>
      <c r="AB37" s="9">
        <f>G37 / H37 - 1</f>
        <v>2.5641025641025772E-2</v>
      </c>
      <c r="AC37" s="9">
        <f>H37 / I37 - 1</f>
        <v>2.564102564102555E-2</v>
      </c>
      <c r="AD37" s="9">
        <f>(I37 / X37) ^ (1 / (X2-I2))-1</f>
        <v>2.564102564102555E-2</v>
      </c>
      <c r="AE37" s="8" t="s">
        <v>11</v>
      </c>
    </row>
    <row r="38" spans="2:31">
      <c r="B38" t="s">
        <v>137</v>
      </c>
      <c r="E38" s="69">
        <f>E39 * $C$11 * $C$12</f>
        <v>436.59000000000003</v>
      </c>
      <c r="F38" s="69">
        <f t="shared" ref="F38:X38" si="3">F39 * $C$11 * $C$12</f>
        <v>425.67525000000001</v>
      </c>
      <c r="G38" s="69">
        <f t="shared" si="3"/>
        <v>415.03336875000002</v>
      </c>
      <c r="H38" s="69">
        <f t="shared" si="3"/>
        <v>404.65753453125001</v>
      </c>
      <c r="I38" s="69">
        <f t="shared" si="3"/>
        <v>394.5410961679687</v>
      </c>
      <c r="J38" s="69">
        <f t="shared" si="3"/>
        <v>384.67756876376956</v>
      </c>
      <c r="K38" s="69">
        <f t="shared" si="3"/>
        <v>375.06062954467529</v>
      </c>
      <c r="L38" s="69">
        <f t="shared" si="3"/>
        <v>365.68411380605835</v>
      </c>
      <c r="M38" s="69">
        <f t="shared" si="3"/>
        <v>356.54201096090691</v>
      </c>
      <c r="N38" s="69">
        <f t="shared" si="3"/>
        <v>347.62846068688424</v>
      </c>
      <c r="O38" s="69">
        <f t="shared" si="3"/>
        <v>338.93774916971216</v>
      </c>
      <c r="P38" s="69">
        <f t="shared" si="3"/>
        <v>330.46430544046933</v>
      </c>
      <c r="Q38" s="69">
        <f t="shared" si="3"/>
        <v>322.20269780445756</v>
      </c>
      <c r="R38" s="69">
        <f t="shared" si="3"/>
        <v>314.14763035934618</v>
      </c>
      <c r="S38" s="69">
        <f t="shared" si="3"/>
        <v>306.29393960036242</v>
      </c>
      <c r="T38" s="69">
        <f t="shared" si="3"/>
        <v>298.63659111035338</v>
      </c>
      <c r="U38" s="69">
        <f t="shared" si="3"/>
        <v>291.17067633259455</v>
      </c>
      <c r="V38" s="69">
        <f t="shared" si="3"/>
        <v>283.89140942427974</v>
      </c>
      <c r="W38" s="69">
        <f t="shared" si="3"/>
        <v>276.7941241886727</v>
      </c>
      <c r="X38" s="69">
        <f t="shared" si="3"/>
        <v>269.87427108395593</v>
      </c>
    </row>
    <row r="39" spans="2:31" s="70" customFormat="1">
      <c r="B39" s="57" t="s">
        <v>144</v>
      </c>
      <c r="C39" s="15" t="s">
        <v>9</v>
      </c>
      <c r="D39" s="15"/>
      <c r="E39" s="161">
        <f>$C$9*E37*$C$23*$C$10*$C$12/1000</f>
        <v>0.15592500000000001</v>
      </c>
      <c r="F39" s="161">
        <f t="shared" ref="F39:X39" si="4">$C$9*F37*$C$23*$C$10*$C$12/1000</f>
        <v>0.15202687500000001</v>
      </c>
      <c r="G39" s="161">
        <f t="shared" si="4"/>
        <v>0.14822620312500001</v>
      </c>
      <c r="H39" s="161">
        <f t="shared" si="4"/>
        <v>0.144520548046875</v>
      </c>
      <c r="I39" s="161">
        <f t="shared" si="4"/>
        <v>0.14090753434570311</v>
      </c>
      <c r="J39" s="161">
        <f t="shared" si="4"/>
        <v>0.13738484598706055</v>
      </c>
      <c r="K39" s="161">
        <f t="shared" si="4"/>
        <v>0.13395022483738403</v>
      </c>
      <c r="L39" s="161">
        <f t="shared" si="4"/>
        <v>0.13060146921644941</v>
      </c>
      <c r="M39" s="161">
        <f t="shared" si="4"/>
        <v>0.12733643248603818</v>
      </c>
      <c r="N39" s="161">
        <f t="shared" si="4"/>
        <v>0.12415302167388723</v>
      </c>
      <c r="O39" s="161">
        <f t="shared" si="4"/>
        <v>0.12104919613204006</v>
      </c>
      <c r="P39" s="161">
        <f t="shared" si="4"/>
        <v>0.11802296622873905</v>
      </c>
      <c r="Q39" s="161">
        <f t="shared" si="4"/>
        <v>0.11507239207302056</v>
      </c>
      <c r="R39" s="161">
        <f t="shared" si="4"/>
        <v>0.11219558227119505</v>
      </c>
      <c r="S39" s="161">
        <f t="shared" si="4"/>
        <v>0.10939069271441515</v>
      </c>
      <c r="T39" s="161">
        <f t="shared" si="4"/>
        <v>0.10665592539655477</v>
      </c>
      <c r="U39" s="161">
        <f t="shared" si="4"/>
        <v>0.10398952726164092</v>
      </c>
      <c r="V39" s="161">
        <f t="shared" si="4"/>
        <v>0.10138978908009991</v>
      </c>
      <c r="W39" s="161">
        <f t="shared" si="4"/>
        <v>9.8855044353097388E-2</v>
      </c>
      <c r="X39" s="161">
        <f t="shared" si="4"/>
        <v>9.6383668244269971E-2</v>
      </c>
      <c r="Z39" s="70">
        <f>69</f>
        <v>69</v>
      </c>
      <c r="AA39" s="70">
        <v>68</v>
      </c>
      <c r="AB39" s="70">
        <v>66</v>
      </c>
      <c r="AC39" s="70">
        <v>64</v>
      </c>
      <c r="AD39" s="70">
        <v>62</v>
      </c>
    </row>
    <row r="40" spans="2:31">
      <c r="B40" t="s">
        <v>5</v>
      </c>
      <c r="C40" s="8" t="s">
        <v>10</v>
      </c>
      <c r="E40" s="3">
        <f>'LCOS - Battery'!$K$29</f>
        <v>186.34392834312817</v>
      </c>
      <c r="F40" s="3">
        <f>'LCOS - Battery'!$K$29</f>
        <v>186.34392834312817</v>
      </c>
      <c r="G40" s="3">
        <f>'LCOS - Battery'!$K$29</f>
        <v>186.34392834312817</v>
      </c>
      <c r="H40" s="3">
        <f>'LCOS - Battery'!$K$29</f>
        <v>186.34392834312817</v>
      </c>
      <c r="I40" s="3">
        <f>'LCOS - Battery'!$K$29</f>
        <v>186.34392834312817</v>
      </c>
      <c r="J40" s="3">
        <f>'LCOS - Battery'!$K$29</f>
        <v>186.34392834312817</v>
      </c>
      <c r="K40" s="3">
        <f>'LCOS - Battery'!$K$29</f>
        <v>186.34392834312817</v>
      </c>
      <c r="L40" s="3">
        <f>'LCOS - Battery'!$K$29</f>
        <v>186.34392834312817</v>
      </c>
      <c r="M40" s="3">
        <f>'LCOS - Battery'!$K$29</f>
        <v>186.34392834312817</v>
      </c>
      <c r="N40" s="3">
        <f>'LCOS - Battery'!$K$29</f>
        <v>186.34392834312817</v>
      </c>
      <c r="O40" s="3">
        <f>'LCOS - Battery'!$K$29</f>
        <v>186.34392834312817</v>
      </c>
      <c r="P40" s="3">
        <f>'LCOS - Battery'!$K$29</f>
        <v>186.34392834312817</v>
      </c>
      <c r="Q40" s="3">
        <f>'LCOS - Battery'!$K$29</f>
        <v>186.34392834312817</v>
      </c>
      <c r="R40" s="3">
        <f>'LCOS - Battery'!$K$29</f>
        <v>186.34392834312817</v>
      </c>
      <c r="S40" s="3">
        <f>'LCOS - Battery'!$K$29</f>
        <v>186.34392834312817</v>
      </c>
      <c r="T40" s="3">
        <f>'LCOS - Battery'!$K$29</f>
        <v>186.34392834312817</v>
      </c>
      <c r="U40" s="3">
        <f>'LCOS - Battery'!$K$29</f>
        <v>186.34392834312817</v>
      </c>
      <c r="V40" s="3">
        <f>'LCOS - Battery'!$K$29</f>
        <v>186.34392834312817</v>
      </c>
      <c r="W40" s="3">
        <f>'LCOS - Battery'!$K$29</f>
        <v>186.34392834312817</v>
      </c>
      <c r="X40" s="3">
        <f>'LCOS - Battery'!$K$29</f>
        <v>186.34392834312817</v>
      </c>
      <c r="Z40" s="9" t="e">
        <f>Z39/Y39 - E39/D39</f>
        <v>#DIV/0!</v>
      </c>
      <c r="AA40" s="9">
        <f>AA39/Z39 - F39/E39</f>
        <v>1.0507246376811663E-2</v>
      </c>
      <c r="AB40" s="9">
        <f>AB39/AA39 - G39/F39</f>
        <v>-4.4117647058824483E-3</v>
      </c>
      <c r="AC40" s="9">
        <f>AC39/AB39 - H39/G39</f>
        <v>-5.3030303030302539E-3</v>
      </c>
      <c r="AD40" s="9">
        <f>AD39/AC39 - I39/H39</f>
        <v>-6.2499999999998668E-3</v>
      </c>
    </row>
    <row r="41" spans="2:31" ht="17" thickBot="1">
      <c r="B41" s="11" t="s">
        <v>141</v>
      </c>
      <c r="C41" s="11" t="s">
        <v>7</v>
      </c>
      <c r="D41" s="12"/>
      <c r="E41" s="71">
        <f t="shared" ref="E41:X41" si="5">E38*E40</f>
        <v>81355.895675326334</v>
      </c>
      <c r="F41" s="71">
        <f t="shared" si="5"/>
        <v>79321.998283443172</v>
      </c>
      <c r="G41" s="71">
        <f t="shared" si="5"/>
        <v>77338.948326357087</v>
      </c>
      <c r="H41" s="71">
        <f t="shared" si="5"/>
        <v>75405.474618198161</v>
      </c>
      <c r="I41" s="71">
        <f t="shared" si="5"/>
        <v>73520.337752743202</v>
      </c>
      <c r="J41" s="71">
        <f t="shared" si="5"/>
        <v>71682.329308924629</v>
      </c>
      <c r="K41" s="71">
        <f t="shared" si="5"/>
        <v>69890.271076201519</v>
      </c>
      <c r="L41" s="71">
        <f t="shared" si="5"/>
        <v>68143.014299296468</v>
      </c>
      <c r="M41" s="71">
        <f t="shared" si="5"/>
        <v>66439.438941814049</v>
      </c>
      <c r="N41" s="71">
        <f t="shared" si="5"/>
        <v>64778.452968268706</v>
      </c>
      <c r="O41" s="71">
        <f t="shared" si="5"/>
        <v>63158.991644061993</v>
      </c>
      <c r="P41" s="71">
        <f t="shared" si="5"/>
        <v>61580.016852960434</v>
      </c>
      <c r="Q41" s="71">
        <f t="shared" si="5"/>
        <v>60040.516431636417</v>
      </c>
      <c r="R41" s="71">
        <f t="shared" si="5"/>
        <v>58539.503520845523</v>
      </c>
      <c r="S41" s="71">
        <f t="shared" si="5"/>
        <v>57076.015932824361</v>
      </c>
      <c r="T41" s="71">
        <f t="shared" si="5"/>
        <v>55649.115534503755</v>
      </c>
      <c r="U41" s="71">
        <f t="shared" si="5"/>
        <v>54257.887646141164</v>
      </c>
      <c r="V41" s="71">
        <f t="shared" si="5"/>
        <v>52901.440454987649</v>
      </c>
      <c r="W41" s="71">
        <f t="shared" si="5"/>
        <v>51578.904443612948</v>
      </c>
      <c r="X41" s="71">
        <f t="shared" si="5"/>
        <v>50289.431832522634</v>
      </c>
    </row>
    <row r="42" spans="2:31" ht="17" thickTop="1">
      <c r="B42" t="s">
        <v>142</v>
      </c>
      <c r="C42" t="s">
        <v>12</v>
      </c>
      <c r="E42" s="119">
        <f>-E38 * $C$15 * (1 + $C$29) ^E2 * 10^3</f>
        <v>-1409.6399624999999</v>
      </c>
      <c r="F42" s="119">
        <f t="shared" ref="F42:X42" si="6">-F38 * $C$15 * (1 + $C$29) ^F2 * 10^3</f>
        <v>-1408.7589375234375</v>
      </c>
      <c r="G42" s="119">
        <f t="shared" si="6"/>
        <v>-1407.8784631874855</v>
      </c>
      <c r="H42" s="119">
        <f t="shared" si="6"/>
        <v>-1406.9985391479929</v>
      </c>
      <c r="I42" s="119">
        <f t="shared" si="6"/>
        <v>-1406.1191650610249</v>
      </c>
      <c r="J42" s="119">
        <f t="shared" si="6"/>
        <v>-1405.2403405828622</v>
      </c>
      <c r="K42" s="119">
        <f t="shared" si="6"/>
        <v>-1404.3620653699977</v>
      </c>
      <c r="L42" s="119">
        <f t="shared" si="6"/>
        <v>-1403.4843390791409</v>
      </c>
      <c r="M42" s="119">
        <f t="shared" si="6"/>
        <v>-1402.6071613672163</v>
      </c>
      <c r="N42" s="119">
        <f t="shared" si="6"/>
        <v>-1401.7305318913623</v>
      </c>
      <c r="O42" s="119">
        <f t="shared" si="6"/>
        <v>-1400.8544503089302</v>
      </c>
      <c r="P42" s="119">
        <f t="shared" si="6"/>
        <v>-1399.9789162774869</v>
      </c>
      <c r="Q42" s="119">
        <f t="shared" si="6"/>
        <v>-1399.1039294548132</v>
      </c>
      <c r="R42" s="119">
        <f t="shared" si="6"/>
        <v>-1398.2294894989038</v>
      </c>
      <c r="S42" s="119">
        <f t="shared" si="6"/>
        <v>-1397.3555960679669</v>
      </c>
      <c r="T42" s="119">
        <f t="shared" si="6"/>
        <v>-1396.4822488204245</v>
      </c>
      <c r="U42" s="119">
        <f t="shared" si="6"/>
        <v>-1395.6094474149115</v>
      </c>
      <c r="V42" s="119">
        <f t="shared" si="6"/>
        <v>-1394.7371915102774</v>
      </c>
      <c r="W42" s="119">
        <f t="shared" si="6"/>
        <v>-1393.8654807655832</v>
      </c>
      <c r="X42" s="119">
        <f t="shared" si="6"/>
        <v>-1392.9943148401046</v>
      </c>
    </row>
    <row r="43" spans="2:31">
      <c r="B43" t="s">
        <v>143</v>
      </c>
      <c r="C43" t="s">
        <v>13</v>
      </c>
      <c r="E43" s="119">
        <f>-E38  * (1+$C$29) ^ E2 * $C$14</f>
        <v>-1566.266625</v>
      </c>
      <c r="F43" s="119">
        <f t="shared" ref="F43:X43" si="7">-F38  * (1+$C$29) ^ F2 * $C$14</f>
        <v>-1565.2877083593751</v>
      </c>
      <c r="G43" s="119">
        <f t="shared" si="7"/>
        <v>-1564.3094035416502</v>
      </c>
      <c r="H43" s="119">
        <f t="shared" si="7"/>
        <v>-1563.3317101644366</v>
      </c>
      <c r="I43" s="119">
        <f t="shared" si="7"/>
        <v>-1562.3546278455833</v>
      </c>
      <c r="J43" s="119">
        <f t="shared" si="7"/>
        <v>-1561.3781562031802</v>
      </c>
      <c r="K43" s="119">
        <f t="shared" si="7"/>
        <v>-1560.402294855553</v>
      </c>
      <c r="L43" s="119">
        <f t="shared" si="7"/>
        <v>-1559.4270434212679</v>
      </c>
      <c r="M43" s="119">
        <f t="shared" si="7"/>
        <v>-1558.4524015191296</v>
      </c>
      <c r="N43" s="119">
        <f t="shared" si="7"/>
        <v>-1557.47836876818</v>
      </c>
      <c r="O43" s="119">
        <f t="shared" si="7"/>
        <v>-1556.5049447877002</v>
      </c>
      <c r="P43" s="119">
        <f t="shared" si="7"/>
        <v>-1555.5321291972075</v>
      </c>
      <c r="Q43" s="119">
        <f t="shared" si="7"/>
        <v>-1554.5599216164592</v>
      </c>
      <c r="R43" s="119">
        <f t="shared" si="7"/>
        <v>-1553.5883216654488</v>
      </c>
      <c r="S43" s="119">
        <f t="shared" si="7"/>
        <v>-1552.6173289644078</v>
      </c>
      <c r="T43" s="119">
        <f t="shared" si="7"/>
        <v>-1551.6469431338048</v>
      </c>
      <c r="U43" s="119">
        <f t="shared" si="7"/>
        <v>-1550.6771637943461</v>
      </c>
      <c r="V43" s="119">
        <f t="shared" si="7"/>
        <v>-1549.707990566975</v>
      </c>
      <c r="W43" s="119">
        <f t="shared" si="7"/>
        <v>-1548.7394230728703</v>
      </c>
      <c r="X43" s="119">
        <f t="shared" si="7"/>
        <v>-1547.7714609334498</v>
      </c>
    </row>
    <row r="44" spans="2:31" ht="17" thickBot="1">
      <c r="B44" s="11" t="s">
        <v>262</v>
      </c>
      <c r="C44" s="11" t="s">
        <v>47</v>
      </c>
      <c r="D44" s="11"/>
      <c r="E44" s="147">
        <f>SUM(E42:E43)</f>
        <v>-2975.9065874999997</v>
      </c>
      <c r="F44" s="147">
        <f t="shared" ref="F44:X44" si="8">SUM(F42:F43)</f>
        <v>-2974.0466458828123</v>
      </c>
      <c r="G44" s="147">
        <f t="shared" si="8"/>
        <v>-2972.1878667291357</v>
      </c>
      <c r="H44" s="147">
        <f t="shared" si="8"/>
        <v>-2970.3302493124293</v>
      </c>
      <c r="I44" s="147">
        <f t="shared" si="8"/>
        <v>-2968.4737929066082</v>
      </c>
      <c r="J44" s="147">
        <f t="shared" si="8"/>
        <v>-2966.6184967860427</v>
      </c>
      <c r="K44" s="147">
        <f t="shared" si="8"/>
        <v>-2964.7643602255507</v>
      </c>
      <c r="L44" s="147">
        <f t="shared" si="8"/>
        <v>-2962.9113825004088</v>
      </c>
      <c r="M44" s="147">
        <f t="shared" si="8"/>
        <v>-2961.0595628863457</v>
      </c>
      <c r="N44" s="147">
        <f t="shared" si="8"/>
        <v>-2959.2089006595425</v>
      </c>
      <c r="O44" s="147">
        <f t="shared" si="8"/>
        <v>-2957.3593950966306</v>
      </c>
      <c r="P44" s="147">
        <f t="shared" si="8"/>
        <v>-2955.5110454746946</v>
      </c>
      <c r="Q44" s="147">
        <f t="shared" si="8"/>
        <v>-2953.6638510712723</v>
      </c>
      <c r="R44" s="147">
        <f t="shared" si="8"/>
        <v>-2951.8178111643529</v>
      </c>
      <c r="S44" s="147">
        <f t="shared" si="8"/>
        <v>-2949.9729250323744</v>
      </c>
      <c r="T44" s="147">
        <f t="shared" si="8"/>
        <v>-2948.1291919542291</v>
      </c>
      <c r="U44" s="147">
        <f t="shared" si="8"/>
        <v>-2946.2866112092579</v>
      </c>
      <c r="V44" s="147">
        <f t="shared" si="8"/>
        <v>-2944.4451820772524</v>
      </c>
      <c r="W44" s="147">
        <f t="shared" si="8"/>
        <v>-2942.6049038384535</v>
      </c>
      <c r="X44" s="147">
        <f t="shared" si="8"/>
        <v>-2940.7657757735542</v>
      </c>
      <c r="AD44" s="9">
        <f>( X44/ I44) ^ (1 / (X2-I2))-1</f>
        <v>-6.250000000000977E-4</v>
      </c>
    </row>
    <row r="45" spans="2:31" ht="17" thickTop="1">
      <c r="B45" s="13" t="s">
        <v>20</v>
      </c>
      <c r="C45" s="13" t="s">
        <v>44</v>
      </c>
      <c r="D45" s="13"/>
      <c r="E45" s="135">
        <f t="shared" ref="E45:X45" si="9">E41+E44</f>
        <v>78379.98908782634</v>
      </c>
      <c r="F45" s="135">
        <f t="shared" si="9"/>
        <v>76347.951637560356</v>
      </c>
      <c r="G45" s="135">
        <f t="shared" si="9"/>
        <v>74366.760459627956</v>
      </c>
      <c r="H45" s="135">
        <f>H41+H44</f>
        <v>72435.144368885725</v>
      </c>
      <c r="I45" s="135">
        <f t="shared" si="9"/>
        <v>70551.863959836599</v>
      </c>
      <c r="J45" s="135">
        <f t="shared" si="9"/>
        <v>68715.710812138583</v>
      </c>
      <c r="K45" s="135">
        <f t="shared" si="9"/>
        <v>66925.506715975964</v>
      </c>
      <c r="L45" s="135">
        <f t="shared" si="9"/>
        <v>65180.102916796059</v>
      </c>
      <c r="M45" s="135">
        <f t="shared" si="9"/>
        <v>63478.379378927704</v>
      </c>
      <c r="N45" s="135">
        <f t="shared" si="9"/>
        <v>61819.244067609165</v>
      </c>
      <c r="O45" s="135">
        <f t="shared" si="9"/>
        <v>60201.632248965361</v>
      </c>
      <c r="P45" s="135">
        <f t="shared" si="9"/>
        <v>58624.505807485737</v>
      </c>
      <c r="Q45" s="135">
        <f t="shared" si="9"/>
        <v>57086.852580565144</v>
      </c>
      <c r="R45" s="135">
        <f t="shared" si="9"/>
        <v>55587.685709681173</v>
      </c>
      <c r="S45" s="135">
        <f t="shared" si="9"/>
        <v>54126.043007791988</v>
      </c>
      <c r="T45" s="135">
        <f t="shared" si="9"/>
        <v>52700.986342549528</v>
      </c>
      <c r="U45" s="135">
        <f t="shared" si="9"/>
        <v>51311.601034931904</v>
      </c>
      <c r="V45" s="135">
        <f t="shared" si="9"/>
        <v>49956.995272910397</v>
      </c>
      <c r="W45" s="135">
        <f t="shared" si="9"/>
        <v>48636.299539774496</v>
      </c>
      <c r="X45" s="135">
        <f t="shared" si="9"/>
        <v>47348.666056749076</v>
      </c>
    </row>
    <row r="46" spans="2:31">
      <c r="B46" s="15" t="s">
        <v>14</v>
      </c>
      <c r="C46" s="13"/>
      <c r="D46" s="13"/>
      <c r="E46" s="72">
        <f t="shared" ref="E46:X46" si="10">E45 / E41</f>
        <v>0.96342113177173794</v>
      </c>
      <c r="F46" s="72">
        <f t="shared" si="10"/>
        <v>0.96250666006603136</v>
      </c>
      <c r="G46" s="72">
        <f t="shared" si="10"/>
        <v>0.96156932656768224</v>
      </c>
      <c r="H46" s="72">
        <f t="shared" si="10"/>
        <v>0.96060855973187409</v>
      </c>
      <c r="I46" s="72">
        <f t="shared" si="10"/>
        <v>0.95962377372517116</v>
      </c>
      <c r="J46" s="72">
        <f t="shared" si="10"/>
        <v>0.95861436806830025</v>
      </c>
      <c r="K46" s="72">
        <f t="shared" si="10"/>
        <v>0.95757972727000773</v>
      </c>
      <c r="L46" s="72">
        <f t="shared" si="10"/>
        <v>0.95651922045175808</v>
      </c>
      <c r="M46" s="72">
        <f t="shared" si="10"/>
        <v>0.95543220096305204</v>
      </c>
      <c r="N46" s="72">
        <f t="shared" si="10"/>
        <v>0.95431800598712835</v>
      </c>
      <c r="O46" s="72">
        <f t="shared" si="10"/>
        <v>0.9531759561368065</v>
      </c>
      <c r="P46" s="72">
        <f t="shared" si="10"/>
        <v>0.95200535504022665</v>
      </c>
      <c r="Q46" s="72">
        <f t="shared" si="10"/>
        <v>0.95080548891623229</v>
      </c>
      <c r="R46" s="72">
        <f t="shared" si="10"/>
        <v>0.94957562613913815</v>
      </c>
      <c r="S46" s="72">
        <f t="shared" si="10"/>
        <v>0.94831501679261665</v>
      </c>
      <c r="T46" s="72">
        <f t="shared" si="10"/>
        <v>0.94702289221243208</v>
      </c>
      <c r="U46" s="72">
        <f t="shared" si="10"/>
        <v>0.94569846451774275</v>
      </c>
      <c r="V46" s="72">
        <f t="shared" si="10"/>
        <v>0.94434092613068643</v>
      </c>
      <c r="W46" s="72">
        <f t="shared" si="10"/>
        <v>0.94294944928395363</v>
      </c>
      <c r="X46" s="72">
        <f t="shared" si="10"/>
        <v>0.9415231855160523</v>
      </c>
      <c r="Z46" s="9">
        <f>5.8 / 10.1</f>
        <v>0.57425742574257421</v>
      </c>
      <c r="AA46" s="9">
        <f>5.5 / 9.9</f>
        <v>0.55555555555555558</v>
      </c>
      <c r="AB46" s="9">
        <f>5/9.6</f>
        <v>0.52083333333333337</v>
      </c>
      <c r="AC46" s="9">
        <f>4.7 / 9.4</f>
        <v>0.5</v>
      </c>
      <c r="AD46" s="24">
        <f>2.3 / 7.3</f>
        <v>0.31506849315068491</v>
      </c>
    </row>
    <row r="47" spans="2:31">
      <c r="B47" s="57" t="s">
        <v>16</v>
      </c>
      <c r="C47" s="74" t="s">
        <v>45</v>
      </c>
      <c r="D47" s="74"/>
      <c r="E47" s="148">
        <f>-('LCOS - Battery'!$K$4/$C$32) *(E2 &lt;=$C$32)</f>
        <v>-38480</v>
      </c>
      <c r="F47" s="148">
        <f>-('LCOS - Battery'!$K$4/$C$32) *(F2 &lt;=$C$32)</f>
        <v>-38480</v>
      </c>
      <c r="G47" s="148">
        <f>-('LCOS - Battery'!$K$4/$C$32) *(G2 &lt;=$C$32)</f>
        <v>-38480</v>
      </c>
      <c r="H47" s="148">
        <f>-('LCOS - Battery'!$K$4/$C$32) *(H2 &lt;=$C$32)</f>
        <v>-38480</v>
      </c>
      <c r="I47" s="148">
        <f>-('LCOS - Battery'!$K$4/$C$32) *(I2 &lt;=$C$32)</f>
        <v>-38480</v>
      </c>
      <c r="J47" s="148">
        <f>-('LCOS - Battery'!$K$4/$C$32) *(J2 &lt;=$C$32)</f>
        <v>-38480</v>
      </c>
      <c r="K47" s="148">
        <f>-('LCOS - Battery'!$K$4/$C$32) *(K2 &lt;=$C$32)</f>
        <v>-38480</v>
      </c>
      <c r="L47" s="148">
        <f>-('LCOS - Battery'!$K$4/$C$32) *(L2 &lt;=$C$32)</f>
        <v>-38480</v>
      </c>
      <c r="M47" s="148">
        <f>-('LCOS - Battery'!$K$4/$C$32) *(M2 &lt;=$C$32)</f>
        <v>-38480</v>
      </c>
      <c r="N47" s="148">
        <f>-('LCOS - Battery'!$K$4/$C$32) *(N2 &lt;=$C$32)</f>
        <v>-38480</v>
      </c>
      <c r="O47" s="148">
        <f>-('LCOS - Battery'!$K$4/$C$32) *(O2 &lt;=$C$32)</f>
        <v>0</v>
      </c>
      <c r="P47" s="148">
        <f>-('LCOS - Battery'!$K$4/$C$32) *(P2 &lt;=$C$32)</f>
        <v>0</v>
      </c>
      <c r="Q47" s="148">
        <f>-('LCOS - Battery'!$K$4/$C$32) *(Q2 &lt;=$C$32)</f>
        <v>0</v>
      </c>
      <c r="R47" s="148">
        <f>-('LCOS - Battery'!$K$4/$C$32) *(R2 &lt;=$C$32)</f>
        <v>0</v>
      </c>
      <c r="S47" s="148">
        <f>-('LCOS - Battery'!$K$4/$C$32) *(S2 &lt;=$C$32)</f>
        <v>0</v>
      </c>
      <c r="T47" s="148">
        <f>-('LCOS - Battery'!$K$4/$C$32) *(T2 &lt;=$C$32)</f>
        <v>0</v>
      </c>
      <c r="U47" s="148">
        <f>-('LCOS - Battery'!$K$4/$C$32) *(U2 &lt;=$C$32)</f>
        <v>0</v>
      </c>
      <c r="V47" s="148">
        <f>-('LCOS - Battery'!$K$4/$C$32) *(V2 &lt;=$C$32)</f>
        <v>0</v>
      </c>
      <c r="W47" s="148">
        <f>-('LCOS - Battery'!$K$4/$C$32) *(W2 &lt;=$C$32)</f>
        <v>0</v>
      </c>
      <c r="X47" s="148">
        <f>-('LCOS - Battery'!$K$4/$C$32) *(X2 &lt;=$C$32)</f>
        <v>0</v>
      </c>
      <c r="Z47" s="9"/>
      <c r="AA47" s="9"/>
      <c r="AB47" s="9"/>
      <c r="AC47" s="9"/>
    </row>
    <row r="48" spans="2:31">
      <c r="B48" s="42" t="s">
        <v>145</v>
      </c>
      <c r="C48" s="74"/>
      <c r="D48" s="74"/>
      <c r="E48" s="148">
        <f>-'LCOS - Battery'!$K$4* 'Model and Assumptions'!B87</f>
        <v>-76960</v>
      </c>
      <c r="F48" s="148">
        <f>-'LCOS - Battery'!$K$4* 'Model and Assumptions'!C87</f>
        <v>-123136</v>
      </c>
      <c r="G48" s="148">
        <f>-'LCOS - Battery'!$K$4* 'Model and Assumptions'!D87</f>
        <v>-73881.600000000006</v>
      </c>
      <c r="H48" s="148">
        <f>-'LCOS - Battery'!$K$4* 'Model and Assumptions'!E87</f>
        <v>-44252</v>
      </c>
      <c r="I48" s="148">
        <f>-'LCOS - Battery'!$K$4* 'Model and Assumptions'!F87</f>
        <v>-44252</v>
      </c>
      <c r="J48" s="148">
        <f>-'LCOS - Battery'!$K$4* 'Model and Assumptions'!G87</f>
        <v>-22318.400000000001</v>
      </c>
      <c r="K48" s="148">
        <f>-'LCOS - Battery'!$K$4* 'Model and Assumptions'!I58</f>
        <v>0</v>
      </c>
      <c r="L48" s="148">
        <f>-'LCOS - Battery'!$K$4* 'Model and Assumptions'!J58</f>
        <v>0</v>
      </c>
      <c r="M48" s="148" t="e">
        <f>-'LCOS - Battery'!$K$4* 'Model and Assumptions'!#REF!</f>
        <v>#REF!</v>
      </c>
      <c r="N48" s="148" t="e">
        <f>-'LCOS - Battery'!$K$4* 'Model and Assumptions'!#REF!</f>
        <v>#REF!</v>
      </c>
      <c r="O48" s="148" t="e">
        <f>-'LCOS - Battery'!$K$4* 'Model and Assumptions'!#REF!</f>
        <v>#REF!</v>
      </c>
      <c r="P48" s="148">
        <f>-'LCOS - Battery'!$K$4* 'Model and Assumptions'!N58</f>
        <v>0</v>
      </c>
      <c r="Q48" s="148">
        <f>-'LCOS - Battery'!$K$4* 'Model and Assumptions'!O58</f>
        <v>0</v>
      </c>
      <c r="R48" s="148">
        <f>-'LCOS - Battery'!$K$4* 'Model and Assumptions'!P58</f>
        <v>0</v>
      </c>
      <c r="S48" s="148">
        <f>-'LCOS - Battery'!$K$4* 'Model and Assumptions'!Q58</f>
        <v>0</v>
      </c>
      <c r="T48" s="148">
        <f>-'LCOS - Battery'!$K$4* 'Model and Assumptions'!R58</f>
        <v>0</v>
      </c>
      <c r="U48" s="148">
        <f>-'LCOS - Battery'!$K$4* 'Model and Assumptions'!S58</f>
        <v>0</v>
      </c>
      <c r="V48" s="148">
        <f>-'LCOS - Battery'!$K$4* 'Model and Assumptions'!T58</f>
        <v>0</v>
      </c>
      <c r="W48" s="148">
        <f>-'LCOS - Battery'!$K$4* 'Model and Assumptions'!U58</f>
        <v>0</v>
      </c>
      <c r="X48" s="148">
        <f>-'LCOS - Battery'!$K$4* 'Model and Assumptions'!V58</f>
        <v>0</v>
      </c>
      <c r="Z48" s="9"/>
      <c r="AA48" s="9"/>
      <c r="AB48" s="9"/>
      <c r="AC48" s="9"/>
    </row>
    <row r="49" spans="2:29">
      <c r="B49" t="s">
        <v>15</v>
      </c>
      <c r="C49" s="13" t="s">
        <v>46</v>
      </c>
      <c r="D49" s="13"/>
      <c r="E49" s="132">
        <v>0</v>
      </c>
      <c r="F49" s="132">
        <v>0</v>
      </c>
      <c r="G49" s="132">
        <v>0</v>
      </c>
      <c r="H49" s="132">
        <v>0</v>
      </c>
      <c r="I49" s="132">
        <v>0</v>
      </c>
      <c r="J49" s="132">
        <v>0</v>
      </c>
      <c r="K49" s="132">
        <v>0</v>
      </c>
      <c r="L49" s="132">
        <v>0</v>
      </c>
      <c r="M49" s="132">
        <v>0</v>
      </c>
      <c r="N49" s="132">
        <v>0</v>
      </c>
      <c r="O49" s="132">
        <v>0</v>
      </c>
      <c r="P49" s="132">
        <v>0</v>
      </c>
      <c r="Q49" s="132">
        <v>0</v>
      </c>
      <c r="R49" s="132">
        <v>0</v>
      </c>
      <c r="S49" s="132">
        <v>0</v>
      </c>
      <c r="T49" s="132">
        <v>0</v>
      </c>
      <c r="U49" s="132">
        <v>0</v>
      </c>
      <c r="V49" s="132">
        <v>0</v>
      </c>
      <c r="W49" s="132">
        <v>0</v>
      </c>
      <c r="X49" s="132">
        <v>0</v>
      </c>
      <c r="Z49" s="9"/>
      <c r="AA49" s="9"/>
      <c r="AB49" s="9"/>
      <c r="AC49" s="9"/>
    </row>
    <row r="50" spans="2:29">
      <c r="B50" t="s">
        <v>249</v>
      </c>
      <c r="C50" s="13"/>
      <c r="D50" s="13"/>
      <c r="E50" s="132">
        <f>IF((E45+E47+E48)&gt;0,-(E45+E47+E48) *$C$33,0)</f>
        <v>0</v>
      </c>
      <c r="F50" s="132">
        <f t="shared" ref="F50:X50" si="11">IF((F45+F47+F48)&gt;0,-(F45+F47+F48) *$C$33,0)</f>
        <v>0</v>
      </c>
      <c r="G50" s="132">
        <f t="shared" si="11"/>
        <v>0</v>
      </c>
      <c r="H50" s="132">
        <f t="shared" si="11"/>
        <v>0</v>
      </c>
      <c r="I50" s="132">
        <f t="shared" si="11"/>
        <v>0</v>
      </c>
      <c r="J50" s="132">
        <f t="shared" si="11"/>
        <v>-1662.635270549102</v>
      </c>
      <c r="K50" s="132">
        <f t="shared" si="11"/>
        <v>-5973.5564103549523</v>
      </c>
      <c r="L50" s="132">
        <f t="shared" si="11"/>
        <v>-5607.0216125271718</v>
      </c>
      <c r="M50" s="132" t="e">
        <f t="shared" si="11"/>
        <v>#REF!</v>
      </c>
      <c r="N50" s="132" t="e">
        <f t="shared" si="11"/>
        <v>#REF!</v>
      </c>
      <c r="O50" s="132" t="e">
        <f t="shared" si="11"/>
        <v>#REF!</v>
      </c>
      <c r="P50" s="132">
        <f t="shared" si="11"/>
        <v>-12311.146219572005</v>
      </c>
      <c r="Q50" s="132">
        <f t="shared" si="11"/>
        <v>-11988.23904191868</v>
      </c>
      <c r="R50" s="132">
        <f t="shared" si="11"/>
        <v>-11673.413999033046</v>
      </c>
      <c r="S50" s="132">
        <f t="shared" si="11"/>
        <v>-11366.469031636318</v>
      </c>
      <c r="T50" s="132">
        <f t="shared" si="11"/>
        <v>-11067.2071319354</v>
      </c>
      <c r="U50" s="132">
        <f t="shared" si="11"/>
        <v>-10775.4362173357</v>
      </c>
      <c r="V50" s="132">
        <f t="shared" si="11"/>
        <v>-10490.969007311183</v>
      </c>
      <c r="W50" s="132">
        <f t="shared" si="11"/>
        <v>-10213.622903352643</v>
      </c>
      <c r="X50" s="132">
        <f t="shared" si="11"/>
        <v>-9943.2198719173048</v>
      </c>
      <c r="Z50" s="9"/>
      <c r="AA50" s="9"/>
      <c r="AB50" s="9"/>
      <c r="AC50" s="9"/>
    </row>
    <row r="51" spans="2:29" ht="17" thickBot="1">
      <c r="B51" s="11" t="s">
        <v>256</v>
      </c>
      <c r="C51" s="11" t="s">
        <v>48</v>
      </c>
      <c r="D51" s="52">
        <f>-'LCOS - Battery'!K4</f>
        <v>-384800</v>
      </c>
      <c r="E51" s="147">
        <f>E45+E48+E49+E50</f>
        <v>1419.9890878263395</v>
      </c>
      <c r="F51" s="147">
        <f>F45+F48+F49+F50</f>
        <v>-46788.048362439644</v>
      </c>
      <c r="G51" s="147">
        <f t="shared" ref="G51:X51" si="12">G45+G48+G49+G50</f>
        <v>485.16045962795033</v>
      </c>
      <c r="H51" s="147">
        <f t="shared" si="12"/>
        <v>28183.144368885725</v>
      </c>
      <c r="I51" s="147">
        <f t="shared" si="12"/>
        <v>26299.863959836599</v>
      </c>
      <c r="J51" s="147">
        <f t="shared" si="12"/>
        <v>44734.67554158948</v>
      </c>
      <c r="K51" s="147">
        <f t="shared" si="12"/>
        <v>60951.950305621009</v>
      </c>
      <c r="L51" s="147">
        <f t="shared" si="12"/>
        <v>59573.08130426889</v>
      </c>
      <c r="M51" s="147" t="e">
        <f t="shared" si="12"/>
        <v>#REF!</v>
      </c>
      <c r="N51" s="147" t="e">
        <f t="shared" si="12"/>
        <v>#REF!</v>
      </c>
      <c r="O51" s="147" t="e">
        <f t="shared" si="12"/>
        <v>#REF!</v>
      </c>
      <c r="P51" s="147">
        <f t="shared" si="12"/>
        <v>46313.359587913728</v>
      </c>
      <c r="Q51" s="147">
        <f t="shared" si="12"/>
        <v>45098.613538646467</v>
      </c>
      <c r="R51" s="147">
        <f t="shared" si="12"/>
        <v>43914.271710648129</v>
      </c>
      <c r="S51" s="147">
        <f t="shared" si="12"/>
        <v>42759.573976155669</v>
      </c>
      <c r="T51" s="147">
        <f t="shared" si="12"/>
        <v>41633.779210614128</v>
      </c>
      <c r="U51" s="147">
        <f t="shared" si="12"/>
        <v>40536.164817596204</v>
      </c>
      <c r="V51" s="147">
        <f t="shared" si="12"/>
        <v>39466.026265599212</v>
      </c>
      <c r="W51" s="147">
        <f t="shared" si="12"/>
        <v>38422.676636421849</v>
      </c>
      <c r="X51" s="147">
        <f t="shared" si="12"/>
        <v>37405.446184831773</v>
      </c>
      <c r="Z51" s="9"/>
      <c r="AA51" s="9"/>
      <c r="AB51" s="9"/>
      <c r="AC51" s="9"/>
    </row>
    <row r="52" spans="2:29" ht="17" thickTop="1">
      <c r="B52" s="15" t="s">
        <v>17</v>
      </c>
      <c r="C52" s="13"/>
      <c r="D52" s="23"/>
      <c r="E52" s="149">
        <f>-E48*$C$33</f>
        <v>16161.599999999999</v>
      </c>
      <c r="F52" s="149">
        <f t="shared" ref="F52:X52" si="13">-F48*$C$33</f>
        <v>25858.559999999998</v>
      </c>
      <c r="G52" s="149">
        <f t="shared" si="13"/>
        <v>15515.136</v>
      </c>
      <c r="H52" s="149">
        <f t="shared" si="13"/>
        <v>9292.92</v>
      </c>
      <c r="I52" s="149">
        <f t="shared" si="13"/>
        <v>9292.92</v>
      </c>
      <c r="J52" s="149">
        <f t="shared" si="13"/>
        <v>4686.8640000000005</v>
      </c>
      <c r="K52" s="149">
        <f t="shared" si="13"/>
        <v>0</v>
      </c>
      <c r="L52" s="149">
        <f t="shared" si="13"/>
        <v>0</v>
      </c>
      <c r="M52" s="149" t="e">
        <f t="shared" si="13"/>
        <v>#REF!</v>
      </c>
      <c r="N52" s="149" t="e">
        <f t="shared" si="13"/>
        <v>#REF!</v>
      </c>
      <c r="O52" s="149" t="e">
        <f t="shared" si="13"/>
        <v>#REF!</v>
      </c>
      <c r="P52" s="149">
        <f t="shared" si="13"/>
        <v>0</v>
      </c>
      <c r="Q52" s="149">
        <f t="shared" si="13"/>
        <v>0</v>
      </c>
      <c r="R52" s="149">
        <f t="shared" si="13"/>
        <v>0</v>
      </c>
      <c r="S52" s="149">
        <f t="shared" si="13"/>
        <v>0</v>
      </c>
      <c r="T52" s="149">
        <f t="shared" si="13"/>
        <v>0</v>
      </c>
      <c r="U52" s="149">
        <f t="shared" si="13"/>
        <v>0</v>
      </c>
      <c r="V52" s="149">
        <f t="shared" si="13"/>
        <v>0</v>
      </c>
      <c r="W52" s="149">
        <f t="shared" si="13"/>
        <v>0</v>
      </c>
      <c r="X52" s="149">
        <f t="shared" si="13"/>
        <v>0</v>
      </c>
      <c r="Z52" s="9"/>
      <c r="AA52" s="9"/>
      <c r="AB52" s="9"/>
      <c r="AC52" s="9"/>
    </row>
    <row r="53" spans="2:29" ht="17" thickBot="1">
      <c r="B53" s="11" t="s">
        <v>263</v>
      </c>
      <c r="C53" s="11"/>
      <c r="D53" s="18">
        <f>D51</f>
        <v>-384800</v>
      </c>
      <c r="E53" s="18">
        <f>E51-E48</f>
        <v>78379.98908782634</v>
      </c>
      <c r="F53" s="18">
        <f t="shared" ref="F53:X53" si="14">F51-F48</f>
        <v>76347.951637560356</v>
      </c>
      <c r="G53" s="18">
        <f t="shared" si="14"/>
        <v>74366.760459627956</v>
      </c>
      <c r="H53" s="18">
        <f t="shared" si="14"/>
        <v>72435.144368885725</v>
      </c>
      <c r="I53" s="18">
        <f t="shared" si="14"/>
        <v>70551.863959836599</v>
      </c>
      <c r="J53" s="18">
        <f t="shared" si="14"/>
        <v>67053.075541589482</v>
      </c>
      <c r="K53" s="18">
        <f t="shared" si="14"/>
        <v>60951.950305621009</v>
      </c>
      <c r="L53" s="18">
        <f t="shared" si="14"/>
        <v>59573.08130426889</v>
      </c>
      <c r="M53" s="18" t="e">
        <f t="shared" si="14"/>
        <v>#REF!</v>
      </c>
      <c r="N53" s="18" t="e">
        <f t="shared" si="14"/>
        <v>#REF!</v>
      </c>
      <c r="O53" s="18" t="e">
        <f t="shared" si="14"/>
        <v>#REF!</v>
      </c>
      <c r="P53" s="18">
        <f t="shared" si="14"/>
        <v>46313.359587913728</v>
      </c>
      <c r="Q53" s="18">
        <f t="shared" si="14"/>
        <v>45098.613538646467</v>
      </c>
      <c r="R53" s="18">
        <f t="shared" si="14"/>
        <v>43914.271710648129</v>
      </c>
      <c r="S53" s="18">
        <f t="shared" si="14"/>
        <v>42759.573976155669</v>
      </c>
      <c r="T53" s="18">
        <f t="shared" si="14"/>
        <v>41633.779210614128</v>
      </c>
      <c r="U53" s="18">
        <f t="shared" si="14"/>
        <v>40536.164817596204</v>
      </c>
      <c r="V53" s="18">
        <f t="shared" si="14"/>
        <v>39466.026265599212</v>
      </c>
      <c r="W53" s="18">
        <f t="shared" si="14"/>
        <v>38422.676636421849</v>
      </c>
      <c r="X53" s="18">
        <f t="shared" si="14"/>
        <v>37405.446184831773</v>
      </c>
      <c r="Z53" s="9"/>
      <c r="AA53" s="9"/>
      <c r="AB53" s="9"/>
      <c r="AC53" s="9"/>
    </row>
    <row r="54" spans="2:29" ht="17" thickTop="1">
      <c r="B54" s="13"/>
      <c r="C54" s="13"/>
      <c r="D54" s="13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</row>
    <row r="55" spans="2:29">
      <c r="B55" s="13" t="s">
        <v>250</v>
      </c>
      <c r="C55" s="13"/>
      <c r="D55" s="120" t="e">
        <f>SUM(E55:X55)-'LCOS - Battery'!K4</f>
        <v>#REF!</v>
      </c>
      <c r="E55" s="135">
        <f t="shared" ref="E55:X55" si="15">SUM(E51:E52) / (1+$D$65)^E$2</f>
        <v>15697.847399844943</v>
      </c>
      <c r="F55" s="135">
        <f t="shared" si="15"/>
        <v>-16684.859982812217</v>
      </c>
      <c r="G55" s="135">
        <f t="shared" si="15"/>
        <v>11388.694979122023</v>
      </c>
      <c r="H55" s="135">
        <f t="shared" si="15"/>
        <v>23816.716413890019</v>
      </c>
      <c r="I55" s="135">
        <f t="shared" si="15"/>
        <v>20196.301488601475</v>
      </c>
      <c r="J55" s="135">
        <f t="shared" si="15"/>
        <v>25038.489988264766</v>
      </c>
      <c r="K55" s="135">
        <f t="shared" si="15"/>
        <v>27571.566894000985</v>
      </c>
      <c r="L55" s="135">
        <f t="shared" si="15"/>
        <v>24060.568377845524</v>
      </c>
      <c r="M55" s="135" t="e">
        <f t="shared" si="15"/>
        <v>#REF!</v>
      </c>
      <c r="N55" s="135" t="e">
        <f t="shared" si="15"/>
        <v>#REF!</v>
      </c>
      <c r="O55" s="135" t="e">
        <f t="shared" si="15"/>
        <v>#REF!</v>
      </c>
      <c r="P55" s="135">
        <f t="shared" si="15"/>
        <v>11887.485876840979</v>
      </c>
      <c r="Q55" s="135">
        <f t="shared" si="15"/>
        <v>10335.438233696659</v>
      </c>
      <c r="R55" s="135">
        <f t="shared" si="15"/>
        <v>8985.7300485966789</v>
      </c>
      <c r="S55" s="135">
        <f t="shared" si="15"/>
        <v>7812.0142986935925</v>
      </c>
      <c r="T55" s="135">
        <f t="shared" si="15"/>
        <v>6791.3712536413805</v>
      </c>
      <c r="U55" s="135">
        <f t="shared" si="15"/>
        <v>5903.8630087405909</v>
      </c>
      <c r="V55" s="135">
        <f t="shared" si="15"/>
        <v>5132.1458791337791</v>
      </c>
      <c r="W55" s="135">
        <f t="shared" si="15"/>
        <v>4461.1331437558983</v>
      </c>
      <c r="X55" s="135">
        <f t="shared" si="15"/>
        <v>3877.7016023812839</v>
      </c>
    </row>
    <row r="56" spans="2:29">
      <c r="B56" s="13" t="s">
        <v>258</v>
      </c>
      <c r="C56" s="13"/>
      <c r="D56" s="120" t="e">
        <f>SUM(E56:X56) - 'LCOS - Battery'!K4</f>
        <v>#REF!</v>
      </c>
      <c r="E56" s="135">
        <f t="shared" ref="E56:X56" si="16">SUM(E52:E53) / (1+$D$65)^E$2</f>
        <v>84412.133114130658</v>
      </c>
      <c r="F56" s="135">
        <f t="shared" si="16"/>
        <v>81478.405323310217</v>
      </c>
      <c r="G56" s="135">
        <f t="shared" si="16"/>
        <v>63976.158535973322</v>
      </c>
      <c r="H56" s="135">
        <f t="shared" si="16"/>
        <v>51939.662419460605</v>
      </c>
      <c r="I56" s="135">
        <f t="shared" si="16"/>
        <v>45306.074707860927</v>
      </c>
      <c r="J56" s="135">
        <f t="shared" si="16"/>
        <v>36345.686003148679</v>
      </c>
      <c r="K56" s="135">
        <f t="shared" si="16"/>
        <v>27571.566894000985</v>
      </c>
      <c r="L56" s="135">
        <f t="shared" si="16"/>
        <v>24060.568377845524</v>
      </c>
      <c r="M56" s="135" t="e">
        <f t="shared" si="16"/>
        <v>#REF!</v>
      </c>
      <c r="N56" s="135" t="e">
        <f t="shared" si="16"/>
        <v>#REF!</v>
      </c>
      <c r="O56" s="135" t="e">
        <f t="shared" si="16"/>
        <v>#REF!</v>
      </c>
      <c r="P56" s="135">
        <f t="shared" si="16"/>
        <v>11887.485876840979</v>
      </c>
      <c r="Q56" s="135">
        <f t="shared" si="16"/>
        <v>10335.438233696659</v>
      </c>
      <c r="R56" s="135">
        <f t="shared" si="16"/>
        <v>8985.7300485966789</v>
      </c>
      <c r="S56" s="135">
        <f t="shared" si="16"/>
        <v>7812.0142986935925</v>
      </c>
      <c r="T56" s="135">
        <f t="shared" si="16"/>
        <v>6791.3712536413805</v>
      </c>
      <c r="U56" s="135">
        <f t="shared" si="16"/>
        <v>5903.8630087405909</v>
      </c>
      <c r="V56" s="135">
        <f t="shared" si="16"/>
        <v>5132.1458791337791</v>
      </c>
      <c r="W56" s="135">
        <f t="shared" si="16"/>
        <v>4461.1331437558983</v>
      </c>
      <c r="X56" s="135">
        <f t="shared" si="16"/>
        <v>3877.7016023812839</v>
      </c>
    </row>
    <row r="57" spans="2:29" ht="17" thickBot="1">
      <c r="B57" s="13"/>
      <c r="C57" s="13"/>
      <c r="D57" s="13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</row>
    <row r="58" spans="2:29">
      <c r="B58" t="s">
        <v>230</v>
      </c>
      <c r="D58" s="131">
        <f>D59 * (1-'LCOS - Battery'!K5)</f>
        <v>384800</v>
      </c>
      <c r="E58" s="4"/>
      <c r="F58" s="2"/>
      <c r="G58" s="56"/>
    </row>
    <row r="59" spans="2:29">
      <c r="B59" s="8" t="s">
        <v>231</v>
      </c>
      <c r="D59" s="165">
        <f>D62</f>
        <v>520000</v>
      </c>
    </row>
    <row r="60" spans="2:29" ht="17" thickBot="1">
      <c r="B60" s="8"/>
      <c r="D60" s="165"/>
    </row>
    <row r="61" spans="2:29" ht="17" thickBot="1">
      <c r="B61" s="237" t="s">
        <v>316</v>
      </c>
      <c r="C61" s="238" t="s">
        <v>317</v>
      </c>
      <c r="D61" s="239">
        <f>INDEX('H3 Project Proposal'!$D$68:$D$70,MATCH('Model Initial - Battery Lazard'!$B$61,'H3 Project Proposal'!$B$68:$B$70,0))</f>
        <v>525.25252525252517</v>
      </c>
    </row>
    <row r="62" spans="2:29">
      <c r="B62" s="42" t="s">
        <v>318</v>
      </c>
      <c r="C62" s="41" t="s">
        <v>174</v>
      </c>
      <c r="D62" s="165">
        <f>D61 * E37 * 1000</f>
        <v>520000</v>
      </c>
    </row>
    <row r="63" spans="2:29">
      <c r="B63" s="42" t="s">
        <v>319</v>
      </c>
      <c r="C63" s="41" t="s">
        <v>174</v>
      </c>
      <c r="D63" s="165"/>
    </row>
    <row r="64" spans="2:29">
      <c r="D64" s="123"/>
      <c r="E64" s="17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</row>
    <row r="65" spans="2:25">
      <c r="B65" s="13" t="s">
        <v>18</v>
      </c>
      <c r="C65" s="13"/>
      <c r="D65" s="16">
        <f>C27</f>
        <v>0.12</v>
      </c>
    </row>
    <row r="66" spans="2:25">
      <c r="B66" s="13" t="s">
        <v>19</v>
      </c>
      <c r="C66" s="13"/>
      <c r="D66" s="16" t="e">
        <f>IRR(E66:Y66,D65)</f>
        <v>#VALUE!</v>
      </c>
      <c r="E66" s="122">
        <f>-'LCOS - Battery'!K4</f>
        <v>-384800</v>
      </c>
      <c r="F66" s="122">
        <f t="shared" ref="F66:Y66" si="17">E52+E53</f>
        <v>94541.589087826345</v>
      </c>
      <c r="G66" s="122">
        <f t="shared" si="17"/>
        <v>102206.51163756035</v>
      </c>
      <c r="H66" s="122">
        <f t="shared" si="17"/>
        <v>89881.896459627955</v>
      </c>
      <c r="I66" s="122">
        <f t="shared" si="17"/>
        <v>81728.064368885724</v>
      </c>
      <c r="J66" s="122">
        <f t="shared" si="17"/>
        <v>79844.783959836597</v>
      </c>
      <c r="K66" s="122">
        <f t="shared" si="17"/>
        <v>71739.939541589483</v>
      </c>
      <c r="L66" s="122">
        <f t="shared" si="17"/>
        <v>60951.950305621009</v>
      </c>
      <c r="M66" s="122">
        <f t="shared" si="17"/>
        <v>59573.08130426889</v>
      </c>
      <c r="N66" s="122" t="e">
        <f t="shared" si="17"/>
        <v>#REF!</v>
      </c>
      <c r="O66" s="122" t="e">
        <f t="shared" si="17"/>
        <v>#REF!</v>
      </c>
      <c r="P66" s="122" t="e">
        <f t="shared" si="17"/>
        <v>#REF!</v>
      </c>
      <c r="Q66" s="122">
        <f t="shared" si="17"/>
        <v>46313.359587913728</v>
      </c>
      <c r="R66" s="122">
        <f t="shared" si="17"/>
        <v>45098.613538646467</v>
      </c>
      <c r="S66" s="122">
        <f t="shared" si="17"/>
        <v>43914.271710648129</v>
      </c>
      <c r="T66" s="122">
        <f t="shared" si="17"/>
        <v>42759.573976155669</v>
      </c>
      <c r="U66" s="122">
        <f t="shared" si="17"/>
        <v>41633.779210614128</v>
      </c>
      <c r="V66" s="122">
        <f t="shared" si="17"/>
        <v>40536.164817596204</v>
      </c>
      <c r="W66" s="122">
        <f t="shared" si="17"/>
        <v>39466.026265599212</v>
      </c>
      <c r="X66" s="122">
        <f t="shared" si="17"/>
        <v>38422.676636421849</v>
      </c>
      <c r="Y66" s="122">
        <f t="shared" si="17"/>
        <v>37405.446184831773</v>
      </c>
    </row>
  </sheetData>
  <dataValidations count="1">
    <dataValidation type="list" allowBlank="1" showInputMessage="1" showErrorMessage="1" sqref="C31" xr:uid="{ED992641-E436-174E-942A-65EB4BD4247C}">
      <formula1>"Double decline, Straight Line"</formula1>
    </dataValidation>
  </dataValidations>
  <pageMargins left="0.7" right="0.7" top="0.75" bottom="0.75" header="0.3" footer="0.3"/>
  <pageSetup orientation="portrait" horizontalDpi="0" verticalDpi="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4430816-60D3-2041-BDB2-8296B96E699F}">
          <x14:formula1>
            <xm:f>'H3 Project Proposal'!$B$68:$B$70</xm:f>
          </x14:formula1>
          <xm:sqref>B61</xm:sqref>
        </x14:dataValidation>
      </x14:dataValidations>
    </ext>
  </extLst>
</worksheet>
</file>

<file path=xl/worksheets/sheet16.xml><?xml version="1.0" encoding="utf-8"?>
<worksheet xmlns="http://purl.oclc.org/ooxml/spreadsheetml/main" xmlns:r="http://purl.oclc.org/ooxml/officeDocument/relationships" xmlns:xdr="http://purl.oclc.org/ooxml/drawingml/spreadsheetDrawing" xmlns:x14="http://schemas.microsoft.com/office/spreadsheetml/2009/9/main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BFCF8-22E4-8344-9BBF-A43882217018}">
  <sheetPr codeName="Sheet6">
    <tabColor theme="4" tint="0.39997558519241921"/>
  </sheetPr>
  <dimension ref="J1:AE29"/>
  <sheetViews>
    <sheetView showGridLines="0" workbookViewId="0">
      <selection activeCell="B18" sqref="B18"/>
    </sheetView>
  </sheetViews>
  <sheetFormatPr baseColWidth="10" defaultRowHeight="16"/>
  <cols>
    <col min="10" max="10" width="40.1640625" bestFit="1" customWidth="1"/>
    <col min="11" max="11" width="23.1640625" customWidth="1"/>
    <col min="12" max="31" width="18.5" customWidth="1"/>
  </cols>
  <sheetData>
    <row r="1" spans="10:31">
      <c r="J1" s="15" t="s">
        <v>131</v>
      </c>
    </row>
    <row r="2" spans="10:31">
      <c r="J2" s="13" t="s">
        <v>116</v>
      </c>
      <c r="K2" s="13"/>
      <c r="L2">
        <v>1</v>
      </c>
      <c r="M2">
        <f>L2+1</f>
        <v>2</v>
      </c>
      <c r="N2">
        <f t="shared" ref="N2:AE2" si="0">M2+1</f>
        <v>3</v>
      </c>
      <c r="O2">
        <f t="shared" si="0"/>
        <v>4</v>
      </c>
      <c r="P2">
        <f t="shared" si="0"/>
        <v>5</v>
      </c>
      <c r="Q2">
        <f t="shared" si="0"/>
        <v>6</v>
      </c>
      <c r="R2">
        <f t="shared" si="0"/>
        <v>7</v>
      </c>
      <c r="S2">
        <f t="shared" si="0"/>
        <v>8</v>
      </c>
      <c r="T2">
        <f t="shared" si="0"/>
        <v>9</v>
      </c>
      <c r="U2">
        <f t="shared" si="0"/>
        <v>10</v>
      </c>
      <c r="V2">
        <f t="shared" si="0"/>
        <v>11</v>
      </c>
      <c r="W2">
        <f t="shared" si="0"/>
        <v>12</v>
      </c>
      <c r="X2">
        <f t="shared" si="0"/>
        <v>13</v>
      </c>
      <c r="Y2">
        <f t="shared" si="0"/>
        <v>14</v>
      </c>
      <c r="Z2">
        <f t="shared" si="0"/>
        <v>15</v>
      </c>
      <c r="AA2">
        <f t="shared" si="0"/>
        <v>16</v>
      </c>
      <c r="AB2">
        <f t="shared" si="0"/>
        <v>17</v>
      </c>
      <c r="AC2">
        <f t="shared" si="0"/>
        <v>18</v>
      </c>
      <c r="AD2">
        <f t="shared" si="0"/>
        <v>19</v>
      </c>
      <c r="AE2">
        <f t="shared" si="0"/>
        <v>20</v>
      </c>
    </row>
    <row r="3" spans="10:31">
      <c r="J3" t="s">
        <v>118</v>
      </c>
      <c r="K3" s="204">
        <f>12%</f>
        <v>0.12</v>
      </c>
    </row>
    <row r="4" spans="10:31">
      <c r="J4" s="13" t="s">
        <v>115</v>
      </c>
      <c r="K4" s="222">
        <f>'Model Initial - Battery Lazard'!D62 * (1 -  'LCOS - Battery'!K5)</f>
        <v>384800</v>
      </c>
      <c r="L4" s="2"/>
      <c r="M4" s="55"/>
    </row>
    <row r="5" spans="10:31">
      <c r="J5" t="s">
        <v>140</v>
      </c>
      <c r="K5" s="65">
        <v>0.26</v>
      </c>
      <c r="L5" s="2"/>
      <c r="M5" s="55"/>
    </row>
    <row r="6" spans="10:31">
      <c r="J6" s="13" t="s">
        <v>139</v>
      </c>
      <c r="K6" s="59">
        <v>0</v>
      </c>
      <c r="L6" s="2"/>
    </row>
    <row r="7" spans="10:31">
      <c r="J7" t="s">
        <v>138</v>
      </c>
      <c r="K7" s="53"/>
      <c r="L7" s="67">
        <f>'Model Initial - Battery Lazard'!E43</f>
        <v>-1566.266625</v>
      </c>
      <c r="M7" s="67">
        <f>'Model Initial - Battery Lazard'!F43</f>
        <v>-1565.2877083593751</v>
      </c>
      <c r="N7" s="67">
        <f>'Model Initial - Battery Lazard'!G43</f>
        <v>-1564.3094035416502</v>
      </c>
      <c r="O7" s="67">
        <f>'Model Initial - Battery Lazard'!H43</f>
        <v>-1563.3317101644366</v>
      </c>
      <c r="P7" s="67">
        <f>'Model Initial - Battery Lazard'!I43</f>
        <v>-1562.3546278455833</v>
      </c>
      <c r="Q7" s="67">
        <f>'Model Initial - Battery Lazard'!J43</f>
        <v>-1561.3781562031802</v>
      </c>
      <c r="R7" s="67">
        <f>'Model Initial - Battery Lazard'!K43</f>
        <v>-1560.402294855553</v>
      </c>
      <c r="S7" s="67">
        <f>'Model Initial - Battery Lazard'!L43</f>
        <v>-1559.4270434212679</v>
      </c>
      <c r="T7" s="67">
        <f>'Model Initial - Battery Lazard'!M43</f>
        <v>-1558.4524015191296</v>
      </c>
      <c r="U7" s="67">
        <f>'Model Initial - Battery Lazard'!N43</f>
        <v>-1557.47836876818</v>
      </c>
      <c r="V7" s="67">
        <f>'Model Initial - Battery Lazard'!O43</f>
        <v>-1556.5049447877002</v>
      </c>
      <c r="W7" s="67">
        <f>'Model Initial - Battery Lazard'!P43</f>
        <v>-1555.5321291972075</v>
      </c>
      <c r="X7" s="67">
        <f>'Model Initial - Battery Lazard'!Q43</f>
        <v>-1554.5599216164592</v>
      </c>
      <c r="Y7" s="67">
        <f>'Model Initial - Battery Lazard'!R43</f>
        <v>-1553.5883216654488</v>
      </c>
      <c r="Z7" s="67">
        <f>'Model Initial - Battery Lazard'!S43</f>
        <v>-1552.6173289644078</v>
      </c>
      <c r="AA7" s="67">
        <f>'Model Initial - Battery Lazard'!T43</f>
        <v>-1551.6469431338048</v>
      </c>
      <c r="AB7" s="67">
        <f>'Model Initial - Battery Lazard'!U43</f>
        <v>-1550.6771637943461</v>
      </c>
      <c r="AC7" s="67">
        <f>'Model Initial - Battery Lazard'!V43</f>
        <v>-1549.707990566975</v>
      </c>
      <c r="AD7" s="67">
        <f>'Model Initial - Battery Lazard'!W43</f>
        <v>-1548.7394230728703</v>
      </c>
      <c r="AE7" s="67">
        <f>'Model Initial - Battery Lazard'!X43</f>
        <v>-1547.7714609334498</v>
      </c>
    </row>
    <row r="8" spans="10:31">
      <c r="J8" s="13" t="s">
        <v>117</v>
      </c>
      <c r="K8" s="60">
        <f xml:space="preserve"> SUM(L8:AE8)</f>
        <v>11655.24930444428</v>
      </c>
      <c r="L8" s="68">
        <f>-L7 / (1+$K$3) ^L$2</f>
        <v>1398.45234375</v>
      </c>
      <c r="M8" s="68">
        <f t="shared" ref="M8:AE8" si="1">-M7 / (1+$K$3) ^M$2</f>
        <v>1247.8377777099608</v>
      </c>
      <c r="N8" s="68">
        <f t="shared" si="1"/>
        <v>1113.4445349097248</v>
      </c>
      <c r="O8" s="68">
        <f t="shared" si="1"/>
        <v>993.5255643530412</v>
      </c>
      <c r="P8" s="68">
        <f t="shared" si="1"/>
        <v>886.52197399582155</v>
      </c>
      <c r="Q8" s="68">
        <f t="shared" si="1"/>
        <v>791.04276585899493</v>
      </c>
      <c r="R8" s="68">
        <f t="shared" si="1"/>
        <v>705.84675368779722</v>
      </c>
      <c r="S8" s="68">
        <f t="shared" si="1"/>
        <v>629.82642809530546</v>
      </c>
      <c r="T8" s="68">
        <f t="shared" si="1"/>
        <v>561.99355944441595</v>
      </c>
      <c r="U8" s="68">
        <f t="shared" si="1"/>
        <v>501.46635131228851</v>
      </c>
      <c r="V8" s="68">
        <f t="shared" si="1"/>
        <v>447.45797753814139</v>
      </c>
      <c r="W8" s="68">
        <f t="shared" si="1"/>
        <v>399.2663538412321</v>
      </c>
      <c r="X8" s="68">
        <f t="shared" si="1"/>
        <v>356.26501104471538</v>
      </c>
      <c r="Y8" s="68">
        <f t="shared" si="1"/>
        <v>317.89495126143964</v>
      </c>
      <c r="Z8" s="68">
        <f t="shared" si="1"/>
        <v>283.65738117580469</v>
      </c>
      <c r="AA8" s="68">
        <f t="shared" si="1"/>
        <v>253.10722795765153</v>
      </c>
      <c r="AB8" s="68">
        <f t="shared" si="1"/>
        <v>225.84735351801604</v>
      </c>
      <c r="AC8" s="68">
        <f t="shared" si="1"/>
        <v>201.52339189470297</v>
      </c>
      <c r="AD8" s="68">
        <f t="shared" si="1"/>
        <v>179.81914265604348</v>
      </c>
      <c r="AE8" s="68">
        <f t="shared" si="1"/>
        <v>160.45246043918166</v>
      </c>
    </row>
    <row r="9" spans="10:31">
      <c r="J9" t="s">
        <v>119</v>
      </c>
      <c r="K9" s="53"/>
      <c r="L9" s="67">
        <f>'Model Initial - Battery Lazard'!E42</f>
        <v>-1409.6399624999999</v>
      </c>
      <c r="M9" s="67">
        <f>'Model Initial - Battery Lazard'!F42</f>
        <v>-1408.7589375234375</v>
      </c>
      <c r="N9" s="67">
        <f>'Model Initial - Battery Lazard'!G42</f>
        <v>-1407.8784631874855</v>
      </c>
      <c r="O9" s="67">
        <f>'Model Initial - Battery Lazard'!H42</f>
        <v>-1406.9985391479929</v>
      </c>
      <c r="P9" s="67">
        <f>'Model Initial - Battery Lazard'!I42</f>
        <v>-1406.1191650610249</v>
      </c>
      <c r="Q9" s="67">
        <f>'Model Initial - Battery Lazard'!J42</f>
        <v>-1405.2403405828622</v>
      </c>
      <c r="R9" s="67">
        <f>'Model Initial - Battery Lazard'!K42</f>
        <v>-1404.3620653699977</v>
      </c>
      <c r="S9" s="67">
        <f>'Model Initial - Battery Lazard'!L42</f>
        <v>-1403.4843390791409</v>
      </c>
      <c r="T9" s="67">
        <f>'Model Initial - Battery Lazard'!M42</f>
        <v>-1402.6071613672163</v>
      </c>
      <c r="U9" s="67">
        <f>'Model Initial - Battery Lazard'!N42</f>
        <v>-1401.7305318913623</v>
      </c>
      <c r="V9" s="67">
        <f>'Model Initial - Battery Lazard'!O42</f>
        <v>-1400.8544503089302</v>
      </c>
      <c r="W9" s="67">
        <f>'Model Initial - Battery Lazard'!P42</f>
        <v>-1399.9789162774869</v>
      </c>
      <c r="X9" s="67">
        <f>'Model Initial - Battery Lazard'!Q42</f>
        <v>-1399.1039294548132</v>
      </c>
      <c r="Y9" s="67">
        <f>'Model Initial - Battery Lazard'!R42</f>
        <v>-1398.2294894989038</v>
      </c>
      <c r="Z9" s="67">
        <f>'Model Initial - Battery Lazard'!S42</f>
        <v>-1397.3555960679669</v>
      </c>
      <c r="AA9" s="67">
        <f>'Model Initial - Battery Lazard'!T42</f>
        <v>-1396.4822488204245</v>
      </c>
      <c r="AB9" s="67">
        <f>'Model Initial - Battery Lazard'!U42</f>
        <v>-1395.6094474149115</v>
      </c>
      <c r="AC9" s="67">
        <f>'Model Initial - Battery Lazard'!V42</f>
        <v>-1394.7371915102774</v>
      </c>
      <c r="AD9" s="67">
        <f>'Model Initial - Battery Lazard'!W42</f>
        <v>-1393.8654807655832</v>
      </c>
      <c r="AE9" s="67">
        <f>'Model Initial - Battery Lazard'!X42</f>
        <v>-1392.9943148401046</v>
      </c>
    </row>
    <row r="10" spans="10:31">
      <c r="J10" s="13" t="s">
        <v>120</v>
      </c>
      <c r="K10" s="66">
        <f>SUM(L10:AE10)</f>
        <v>10489.724373999854</v>
      </c>
      <c r="L10" s="68">
        <f>-L9 / (1+$K$3) ^ L$2</f>
        <v>1258.6071093749997</v>
      </c>
      <c r="M10" s="68">
        <f t="shared" ref="M10:AE10" si="2">-M9 / (1+$K$3) ^ M$2</f>
        <v>1123.0539999389646</v>
      </c>
      <c r="N10" s="68">
        <f t="shared" si="2"/>
        <v>1002.1000814187526</v>
      </c>
      <c r="O10" s="68">
        <f t="shared" si="2"/>
        <v>894.1730079177371</v>
      </c>
      <c r="P10" s="68">
        <f t="shared" si="2"/>
        <v>797.86977659623938</v>
      </c>
      <c r="Q10" s="68">
        <f t="shared" si="2"/>
        <v>711.93848927309546</v>
      </c>
      <c r="R10" s="68">
        <f t="shared" si="2"/>
        <v>635.26207831901752</v>
      </c>
      <c r="S10" s="68">
        <f t="shared" si="2"/>
        <v>566.84378528577486</v>
      </c>
      <c r="T10" s="68">
        <f t="shared" si="2"/>
        <v>505.79420349997429</v>
      </c>
      <c r="U10" s="68">
        <f t="shared" si="2"/>
        <v>451.31971618105973</v>
      </c>
      <c r="V10" s="68">
        <f t="shared" si="2"/>
        <v>402.71217978432725</v>
      </c>
      <c r="W10" s="68">
        <f t="shared" si="2"/>
        <v>359.33971845710892</v>
      </c>
      <c r="X10" s="68">
        <f t="shared" si="2"/>
        <v>320.63850994024386</v>
      </c>
      <c r="Y10" s="68">
        <f t="shared" si="2"/>
        <v>286.10545613529564</v>
      </c>
      <c r="Z10" s="68">
        <f t="shared" si="2"/>
        <v>255.2916430582242</v>
      </c>
      <c r="AA10" s="68">
        <f t="shared" si="2"/>
        <v>227.79650516188642</v>
      </c>
      <c r="AB10" s="68">
        <f t="shared" si="2"/>
        <v>203.26261816621445</v>
      </c>
      <c r="AC10" s="68">
        <f t="shared" si="2"/>
        <v>181.37105270523264</v>
      </c>
      <c r="AD10" s="68">
        <f t="shared" si="2"/>
        <v>161.83722839043912</v>
      </c>
      <c r="AE10" s="68">
        <f t="shared" si="2"/>
        <v>144.40721439526348</v>
      </c>
    </row>
    <row r="11" spans="10:31">
      <c r="J11" t="s">
        <v>121</v>
      </c>
      <c r="K11" s="53"/>
    </row>
    <row r="12" spans="10:31">
      <c r="J12" s="54" t="s">
        <v>122</v>
      </c>
      <c r="K12" s="53"/>
      <c r="L12" s="4">
        <f>K4 * (1-$K$13)</f>
        <v>354016</v>
      </c>
      <c r="M12" s="56">
        <f>L12 *(1-$K$13)</f>
        <v>325694.72000000003</v>
      </c>
      <c r="N12" s="56">
        <f>M12 *(1-$K$13)</f>
        <v>299639.14240000007</v>
      </c>
      <c r="O12" s="56">
        <f t="shared" ref="O12:AE12" si="3">N12 *(1-$K$13)</f>
        <v>275668.01100800006</v>
      </c>
      <c r="P12" s="56">
        <f t="shared" si="3"/>
        <v>253614.57012736006</v>
      </c>
      <c r="Q12" s="56">
        <f t="shared" si="3"/>
        <v>233325.40451717126</v>
      </c>
      <c r="R12" s="56">
        <f t="shared" si="3"/>
        <v>214659.37215579758</v>
      </c>
      <c r="S12" s="56">
        <f t="shared" si="3"/>
        <v>197486.62238333377</v>
      </c>
      <c r="T12" s="56">
        <f t="shared" si="3"/>
        <v>181687.69259266707</v>
      </c>
      <c r="U12" s="56">
        <f t="shared" si="3"/>
        <v>167152.67718525371</v>
      </c>
      <c r="V12" s="56">
        <f t="shared" si="3"/>
        <v>153780.46301043342</v>
      </c>
      <c r="W12" s="56">
        <f t="shared" si="3"/>
        <v>141478.02596959876</v>
      </c>
      <c r="X12" s="56">
        <f t="shared" si="3"/>
        <v>130159.78389203087</v>
      </c>
      <c r="Y12" s="56">
        <f t="shared" si="3"/>
        <v>119747.00118066841</v>
      </c>
      <c r="Z12" s="56">
        <f t="shared" si="3"/>
        <v>110167.24108621494</v>
      </c>
      <c r="AA12" s="56">
        <f t="shared" si="3"/>
        <v>101353.86179931775</v>
      </c>
      <c r="AB12" s="56">
        <f t="shared" si="3"/>
        <v>93245.552855372327</v>
      </c>
      <c r="AC12" s="56">
        <f t="shared" si="3"/>
        <v>85785.908626942546</v>
      </c>
      <c r="AD12" s="56">
        <f t="shared" si="3"/>
        <v>78923.035936787142</v>
      </c>
      <c r="AE12" s="56">
        <f t="shared" si="3"/>
        <v>72609.193061844169</v>
      </c>
    </row>
    <row r="13" spans="10:31">
      <c r="J13" s="54" t="s">
        <v>123</v>
      </c>
      <c r="K13" s="58">
        <v>0.08</v>
      </c>
    </row>
    <row r="14" spans="10:31">
      <c r="J14" s="54" t="s">
        <v>124</v>
      </c>
      <c r="K14" s="53"/>
      <c r="P14">
        <v>1</v>
      </c>
      <c r="U14">
        <v>1</v>
      </c>
      <c r="Z14">
        <v>1</v>
      </c>
      <c r="AE14">
        <v>1</v>
      </c>
    </row>
    <row r="15" spans="10:31">
      <c r="J15" s="54" t="s">
        <v>50</v>
      </c>
      <c r="K15" s="61">
        <v>0.03</v>
      </c>
    </row>
    <row r="16" spans="10:31">
      <c r="J16" s="54" t="s">
        <v>134</v>
      </c>
      <c r="K16" s="61"/>
      <c r="L16" s="20">
        <f>1-$K$15</f>
        <v>0.97</v>
      </c>
      <c r="M16" s="20">
        <f>L16-$K$15</f>
        <v>0.94</v>
      </c>
      <c r="N16" s="20">
        <f>M16-$K$15</f>
        <v>0.90999999999999992</v>
      </c>
      <c r="O16" s="20">
        <f>N16-$K$15</f>
        <v>0.87999999999999989</v>
      </c>
      <c r="P16" s="20">
        <f>O16-$K$15</f>
        <v>0.84999999999999987</v>
      </c>
      <c r="Q16" s="20">
        <f>1-$K$15</f>
        <v>0.97</v>
      </c>
      <c r="R16" s="20">
        <f>Q16-$K$15</f>
        <v>0.94</v>
      </c>
      <c r="S16" s="20">
        <f>R16-$K$15</f>
        <v>0.90999999999999992</v>
      </c>
      <c r="T16" s="20">
        <f>S16-$K$15</f>
        <v>0.87999999999999989</v>
      </c>
      <c r="U16" s="20">
        <f>T16-$K$15</f>
        <v>0.84999999999999987</v>
      </c>
      <c r="V16" s="20">
        <f>1-$K$15</f>
        <v>0.97</v>
      </c>
      <c r="W16" s="20">
        <f>V16-$K$15</f>
        <v>0.94</v>
      </c>
      <c r="X16" s="20">
        <f>W16-$K$15</f>
        <v>0.90999999999999992</v>
      </c>
      <c r="Y16" s="20">
        <f>X16-$K$15</f>
        <v>0.87999999999999989</v>
      </c>
      <c r="Z16" s="20">
        <f>Y16-$K$15</f>
        <v>0.84999999999999987</v>
      </c>
      <c r="AA16" s="20">
        <f>1-$K$15</f>
        <v>0.97</v>
      </c>
      <c r="AB16" s="20">
        <f>AA16-$K$15</f>
        <v>0.94</v>
      </c>
      <c r="AC16" s="20">
        <f>AB16-$K$15</f>
        <v>0.90999999999999992</v>
      </c>
      <c r="AD16" s="20">
        <f>AC16-$K$15</f>
        <v>0.87999999999999989</v>
      </c>
      <c r="AE16" s="20">
        <f>AD16-$K$15</f>
        <v>0.84999999999999987</v>
      </c>
    </row>
    <row r="17" spans="10:31">
      <c r="J17" s="54" t="s">
        <v>136</v>
      </c>
      <c r="K17" s="53"/>
      <c r="L17" s="5">
        <f>L16 * L12</f>
        <v>343395.52</v>
      </c>
      <c r="M17" s="5">
        <f t="shared" ref="M17:AE17" si="4">M16 * M12</f>
        <v>306153.0368</v>
      </c>
      <c r="N17" s="5">
        <f t="shared" si="4"/>
        <v>272671.61958400003</v>
      </c>
      <c r="O17" s="5">
        <f t="shared" si="4"/>
        <v>242587.84968704003</v>
      </c>
      <c r="P17" s="5">
        <f>P16 * P12</f>
        <v>215572.38460825602</v>
      </c>
      <c r="Q17" s="5">
        <f>Q16 * Q12</f>
        <v>226325.64238165613</v>
      </c>
      <c r="R17" s="5">
        <f t="shared" si="4"/>
        <v>201779.80982644972</v>
      </c>
      <c r="S17" s="5">
        <f t="shared" si="4"/>
        <v>179712.82636883372</v>
      </c>
      <c r="T17" s="5">
        <f t="shared" si="4"/>
        <v>159885.169481547</v>
      </c>
      <c r="U17" s="5">
        <f t="shared" si="4"/>
        <v>142079.77560746562</v>
      </c>
      <c r="V17" s="5">
        <f t="shared" si="4"/>
        <v>149167.04912012041</v>
      </c>
      <c r="W17" s="5">
        <f t="shared" si="4"/>
        <v>132989.34441142282</v>
      </c>
      <c r="X17" s="5">
        <f t="shared" si="4"/>
        <v>118445.40334174808</v>
      </c>
      <c r="Y17" s="5">
        <f t="shared" si="4"/>
        <v>105377.36103898818</v>
      </c>
      <c r="Z17" s="5">
        <f t="shared" si="4"/>
        <v>93642.15492328268</v>
      </c>
      <c r="AA17" s="5">
        <f t="shared" si="4"/>
        <v>98313.245945338218</v>
      </c>
      <c r="AB17" s="5">
        <f t="shared" si="4"/>
        <v>87650.819684049988</v>
      </c>
      <c r="AC17" s="5">
        <f t="shared" si="4"/>
        <v>78065.176850517717</v>
      </c>
      <c r="AD17" s="5">
        <f t="shared" si="4"/>
        <v>69452.271624372675</v>
      </c>
      <c r="AE17" s="5">
        <f t="shared" si="4"/>
        <v>61717.814102567536</v>
      </c>
    </row>
    <row r="18" spans="10:31">
      <c r="J18" s="54" t="s">
        <v>135</v>
      </c>
      <c r="K18" s="53"/>
      <c r="L18" s="5">
        <f>L17 / (1+$K$3) ^ L$2 * L14</f>
        <v>0</v>
      </c>
      <c r="M18" s="5">
        <f t="shared" ref="M18:AE18" si="5">M17 / (1+$K$3) ^ M$2 * M14</f>
        <v>0</v>
      </c>
      <c r="N18" s="5">
        <f t="shared" si="5"/>
        <v>0</v>
      </c>
      <c r="O18" s="5">
        <f t="shared" si="5"/>
        <v>0</v>
      </c>
      <c r="P18" s="5">
        <f>P17 / (1+$K$3) ^ P$2 * P14</f>
        <v>122321.56037802326</v>
      </c>
      <c r="Q18" s="5">
        <f t="shared" si="5"/>
        <v>0</v>
      </c>
      <c r="R18" s="5">
        <f t="shared" si="5"/>
        <v>0</v>
      </c>
      <c r="S18" s="5">
        <f t="shared" si="5"/>
        <v>0</v>
      </c>
      <c r="T18" s="5">
        <f t="shared" si="5"/>
        <v>0</v>
      </c>
      <c r="U18" s="5">
        <f t="shared" si="5"/>
        <v>45745.885206415529</v>
      </c>
      <c r="V18" s="5">
        <f t="shared" si="5"/>
        <v>0</v>
      </c>
      <c r="W18" s="5">
        <f t="shared" si="5"/>
        <v>0</v>
      </c>
      <c r="X18" s="5">
        <f t="shared" si="5"/>
        <v>0</v>
      </c>
      <c r="Y18" s="5">
        <f t="shared" si="5"/>
        <v>0</v>
      </c>
      <c r="Z18" s="5">
        <f t="shared" si="5"/>
        <v>17108.071601206677</v>
      </c>
      <c r="AA18" s="5">
        <f t="shared" si="5"/>
        <v>0</v>
      </c>
      <c r="AB18" s="5">
        <f t="shared" si="5"/>
        <v>0</v>
      </c>
      <c r="AC18" s="5">
        <f t="shared" si="5"/>
        <v>0</v>
      </c>
      <c r="AD18" s="5">
        <f t="shared" si="5"/>
        <v>0</v>
      </c>
      <c r="AE18" s="5">
        <f t="shared" si="5"/>
        <v>6398.0861358644606</v>
      </c>
    </row>
    <row r="19" spans="10:31">
      <c r="J19" s="13" t="s">
        <v>125</v>
      </c>
      <c r="K19" s="60">
        <f>-SUM(L19:AE19)</f>
        <v>33807.106468501799</v>
      </c>
      <c r="L19" s="4">
        <f>-(L12 / (1 + $K$3) ^ L$2 * L14 - L18)</f>
        <v>0</v>
      </c>
      <c r="M19" s="4">
        <f t="shared" ref="M19:AE19" si="6">-(M12 / (1 + $K$3) ^ M$2 * M14 - M18)</f>
        <v>0</v>
      </c>
      <c r="N19" s="4">
        <f t="shared" si="6"/>
        <v>0</v>
      </c>
      <c r="O19" s="4">
        <f t="shared" si="6"/>
        <v>0</v>
      </c>
      <c r="P19" s="123">
        <f>-(P12 / (1 + $K$3) ^ P$2 * P14 - P18)</f>
        <v>-21586.157713768844</v>
      </c>
      <c r="Q19" s="4">
        <f t="shared" si="6"/>
        <v>0</v>
      </c>
      <c r="R19" s="4">
        <f t="shared" si="6"/>
        <v>0</v>
      </c>
      <c r="S19" s="4">
        <f t="shared" si="6"/>
        <v>0</v>
      </c>
      <c r="T19" s="4">
        <f t="shared" si="6"/>
        <v>0</v>
      </c>
      <c r="U19" s="4">
        <f t="shared" si="6"/>
        <v>-8072.8032717203969</v>
      </c>
      <c r="V19" s="4">
        <f t="shared" si="6"/>
        <v>0</v>
      </c>
      <c r="W19" s="4">
        <f t="shared" si="6"/>
        <v>0</v>
      </c>
      <c r="X19" s="4">
        <f t="shared" si="6"/>
        <v>0</v>
      </c>
      <c r="Y19" s="4">
        <f t="shared" si="6"/>
        <v>0</v>
      </c>
      <c r="Z19" s="4">
        <f t="shared" si="6"/>
        <v>-3019.0714590364769</v>
      </c>
      <c r="AA19" s="4">
        <f t="shared" si="6"/>
        <v>0</v>
      </c>
      <c r="AB19" s="4">
        <f t="shared" si="6"/>
        <v>0</v>
      </c>
      <c r="AC19" s="4">
        <f t="shared" si="6"/>
        <v>0</v>
      </c>
      <c r="AD19" s="4">
        <f t="shared" si="6"/>
        <v>0</v>
      </c>
      <c r="AE19" s="4">
        <f t="shared" si="6"/>
        <v>-1129.0740239760817</v>
      </c>
    </row>
    <row r="20" spans="10:31">
      <c r="J20" t="s">
        <v>126</v>
      </c>
      <c r="K20" s="53"/>
      <c r="L20" s="4">
        <f>L21   * $K$23 * $K$24 * (1-$K$25)</f>
        <v>365.81876099999999</v>
      </c>
      <c r="M20" s="4">
        <f t="shared" ref="M20:AE20" si="7">M21   * $K$23 * $K$24 * (1-$K$25)</f>
        <v>356.67329197500004</v>
      </c>
      <c r="N20" s="4">
        <f t="shared" si="7"/>
        <v>347.75645967562502</v>
      </c>
      <c r="O20" s="4">
        <f t="shared" si="7"/>
        <v>339.06254818373441</v>
      </c>
      <c r="P20" s="4">
        <f t="shared" si="7"/>
        <v>330.58598447914096</v>
      </c>
      <c r="Q20" s="4">
        <f t="shared" si="7"/>
        <v>322.32133486716253</v>
      </c>
      <c r="R20" s="4">
        <f t="shared" si="7"/>
        <v>314.2633014954834</v>
      </c>
      <c r="S20" s="4">
        <f t="shared" si="7"/>
        <v>306.40671895809629</v>
      </c>
      <c r="T20" s="4">
        <f t="shared" si="7"/>
        <v>298.74655098414388</v>
      </c>
      <c r="U20" s="4">
        <f t="shared" si="7"/>
        <v>291.27788720954032</v>
      </c>
      <c r="V20" s="4">
        <f t="shared" si="7"/>
        <v>283.99594002930183</v>
      </c>
      <c r="W20" s="4">
        <f t="shared" si="7"/>
        <v>276.89604152856924</v>
      </c>
      <c r="X20" s="4">
        <f t="shared" si="7"/>
        <v>269.97364049035497</v>
      </c>
      <c r="Y20" s="4">
        <f t="shared" si="7"/>
        <v>263.22429947809621</v>
      </c>
      <c r="Z20" s="4">
        <f t="shared" si="7"/>
        <v>256.64369199114367</v>
      </c>
      <c r="AA20" s="4">
        <f t="shared" si="7"/>
        <v>250.2275996913651</v>
      </c>
      <c r="AB20" s="4">
        <f t="shared" si="7"/>
        <v>243.97190969908095</v>
      </c>
      <c r="AC20" s="4">
        <f t="shared" si="7"/>
        <v>237.87261195660398</v>
      </c>
      <c r="AD20" s="4">
        <f t="shared" si="7"/>
        <v>231.92579665768884</v>
      </c>
      <c r="AE20" s="4">
        <f t="shared" si="7"/>
        <v>226.12765174124667</v>
      </c>
    </row>
    <row r="21" spans="10:31">
      <c r="J21" s="54" t="s">
        <v>265</v>
      </c>
      <c r="K21" s="53"/>
      <c r="L21" s="64">
        <f>'Model Initial - Battery Lazard'!E38</f>
        <v>436.59000000000003</v>
      </c>
      <c r="M21" s="64">
        <f>'Model Initial - Battery Lazard'!F38</f>
        <v>425.67525000000001</v>
      </c>
      <c r="N21" s="64">
        <f>'Model Initial - Battery Lazard'!G38</f>
        <v>415.03336875000002</v>
      </c>
      <c r="O21" s="64">
        <f>'Model Initial - Battery Lazard'!H38</f>
        <v>404.65753453125001</v>
      </c>
      <c r="P21" s="64">
        <f>'Model Initial - Battery Lazard'!I38</f>
        <v>394.5410961679687</v>
      </c>
      <c r="Q21" s="64">
        <f>'Model Initial - Battery Lazard'!J38</f>
        <v>384.67756876376956</v>
      </c>
      <c r="R21" s="64">
        <f>'Model Initial - Battery Lazard'!K38</f>
        <v>375.06062954467529</v>
      </c>
      <c r="S21" s="64">
        <f>'Model Initial - Battery Lazard'!L38</f>
        <v>365.68411380605835</v>
      </c>
      <c r="T21" s="64">
        <f>'Model Initial - Battery Lazard'!M38</f>
        <v>356.54201096090691</v>
      </c>
      <c r="U21" s="64">
        <f>'Model Initial - Battery Lazard'!N38</f>
        <v>347.62846068688424</v>
      </c>
      <c r="V21" s="64">
        <f>'Model Initial - Battery Lazard'!O38</f>
        <v>338.93774916971216</v>
      </c>
      <c r="W21" s="64">
        <f>'Model Initial - Battery Lazard'!P38</f>
        <v>330.46430544046933</v>
      </c>
      <c r="X21" s="64">
        <f>'Model Initial - Battery Lazard'!Q38</f>
        <v>322.20269780445756</v>
      </c>
      <c r="Y21" s="64">
        <f>'Model Initial - Battery Lazard'!R38</f>
        <v>314.14763035934618</v>
      </c>
      <c r="Z21" s="64">
        <f>'Model Initial - Battery Lazard'!S38</f>
        <v>306.29393960036242</v>
      </c>
      <c r="AA21" s="64">
        <f>'Model Initial - Battery Lazard'!T38</f>
        <v>298.63659111035338</v>
      </c>
      <c r="AB21" s="64">
        <f>'Model Initial - Battery Lazard'!U38</f>
        <v>291.17067633259455</v>
      </c>
      <c r="AC21" s="64">
        <f>'Model Initial - Battery Lazard'!V38</f>
        <v>283.89140942427974</v>
      </c>
      <c r="AD21" s="64">
        <f>'Model Initial - Battery Lazard'!W38</f>
        <v>276.7941241886727</v>
      </c>
      <c r="AE21" s="64">
        <f>'Model Initial - Battery Lazard'!X38</f>
        <v>269.87427108395593</v>
      </c>
    </row>
    <row r="22" spans="10:31">
      <c r="J22" s="54" t="s">
        <v>127</v>
      </c>
      <c r="K22" s="53">
        <v>350</v>
      </c>
      <c r="L22" s="24"/>
    </row>
    <row r="23" spans="10:31">
      <c r="J23" s="54" t="s">
        <v>128</v>
      </c>
      <c r="K23" s="53">
        <v>0.9</v>
      </c>
      <c r="AE23" s="4"/>
    </row>
    <row r="24" spans="10:31">
      <c r="J24" s="54" t="s">
        <v>129</v>
      </c>
      <c r="K24" s="53">
        <f>0.95</f>
        <v>0.95</v>
      </c>
    </row>
    <row r="25" spans="10:31">
      <c r="J25" s="54" t="s">
        <v>130</v>
      </c>
      <c r="K25" s="59">
        <v>0.02</v>
      </c>
    </row>
    <row r="26" spans="10:31">
      <c r="J26" s="13" t="s">
        <v>132</v>
      </c>
      <c r="K26" s="62">
        <f>-SUM(L26:AE26)</f>
        <v>2365.2612889825859</v>
      </c>
      <c r="L26" s="68">
        <f>-L20 / (1+$K$3)^L$2</f>
        <v>-326.62389374999998</v>
      </c>
      <c r="M26" s="68">
        <f t="shared" ref="M26:AE26" si="8">-M20 / (1+$K$3)^M$2</f>
        <v>-284.33776464843748</v>
      </c>
      <c r="N26" s="68">
        <f t="shared" si="8"/>
        <v>-247.5261790466308</v>
      </c>
      <c r="O26" s="68">
        <f t="shared" si="8"/>
        <v>-215.48037908077237</v>
      </c>
      <c r="P26" s="68">
        <f t="shared" si="8"/>
        <v>-187.58336571763661</v>
      </c>
      <c r="Q26" s="68">
        <f t="shared" si="8"/>
        <v>-163.29801926312118</v>
      </c>
      <c r="R26" s="68">
        <f t="shared" si="8"/>
        <v>-142.15675784066349</v>
      </c>
      <c r="S26" s="68">
        <f t="shared" si="8"/>
        <v>-123.75253472736328</v>
      </c>
      <c r="T26" s="68">
        <f t="shared" si="8"/>
        <v>-107.73100121355286</v>
      </c>
      <c r="U26" s="68">
        <f t="shared" si="8"/>
        <v>-93.783684092155397</v>
      </c>
      <c r="V26" s="68">
        <f t="shared" si="8"/>
        <v>-81.642046419510265</v>
      </c>
      <c r="W26" s="68">
        <f t="shared" si="8"/>
        <v>-71.072317195555812</v>
      </c>
      <c r="X26" s="68">
        <f t="shared" si="8"/>
        <v>-61.87099041577401</v>
      </c>
      <c r="Y26" s="68">
        <f t="shared" si="8"/>
        <v>-53.860906835160428</v>
      </c>
      <c r="Z26" s="68">
        <f t="shared" si="8"/>
        <v>-46.887843003822674</v>
      </c>
      <c r="AA26" s="68">
        <f t="shared" si="8"/>
        <v>-40.817541900649196</v>
      </c>
      <c r="AB26" s="68">
        <f t="shared" si="8"/>
        <v>-35.533127993868717</v>
      </c>
      <c r="AC26" s="68">
        <f t="shared" si="8"/>
        <v>-30.932856958948214</v>
      </c>
      <c r="AD26" s="68">
        <f t="shared" si="8"/>
        <v>-26.928156727655804</v>
      </c>
      <c r="AE26" s="68">
        <f t="shared" si="8"/>
        <v>-23.441922151307516</v>
      </c>
    </row>
    <row r="27" spans="10:31">
      <c r="J27" s="57" t="s">
        <v>133</v>
      </c>
      <c r="K27" s="63">
        <f>SUM(K19,K10,K8,K4) / K26</f>
        <v>186.34392834312817</v>
      </c>
    </row>
    <row r="28" spans="10:31">
      <c r="K28" s="6"/>
    </row>
    <row r="29" spans="10:31">
      <c r="J29" s="57" t="s">
        <v>133</v>
      </c>
      <c r="K29" s="5">
        <v>186.34392834312817</v>
      </c>
    </row>
  </sheetData>
  <pageMargins left="0.7" right="0.7" top="0.75" bottom="0.75" header="0.3" footer="0.3"/>
  <drawing r:id="rId1"/>
  <mc:AlternateContent xmlns:mc="http://schemas.openxmlformats.org/markup-compatibility/2006">
    <mc:Choice Requires="v">
      <legacyDrawing r:id="rId2"/>
    </mc:Choice>
  </mc:AlternateContent>
</worksheet>
</file>

<file path=xl/worksheets/sheet1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2E1C3-EBA2-ED43-B519-9DAEA3DD17F0}">
  <sheetPr>
    <tabColor rgb="FF00B050"/>
  </sheetPr>
  <dimension ref="B2:E73"/>
  <sheetViews>
    <sheetView showGridLines="0" topLeftCell="A55" workbookViewId="0">
      <selection activeCell="B18" sqref="B18"/>
    </sheetView>
  </sheetViews>
  <sheetFormatPr baseColWidth="10" defaultRowHeight="16"/>
  <cols>
    <col min="2" max="2" width="51.6640625" bestFit="1" customWidth="1"/>
    <col min="3" max="3" width="31.33203125" bestFit="1" customWidth="1"/>
    <col min="4" max="4" width="11.1640625" bestFit="1" customWidth="1"/>
  </cols>
  <sheetData>
    <row r="2" spans="2:4">
      <c r="B2" s="336" t="s">
        <v>320</v>
      </c>
      <c r="C2" s="337"/>
      <c r="D2" s="338"/>
    </row>
    <row r="3" spans="2:4">
      <c r="B3" s="339"/>
      <c r="C3" s="340"/>
      <c r="D3" s="341"/>
    </row>
    <row r="4" spans="2:4">
      <c r="B4" s="129" t="s">
        <v>312</v>
      </c>
      <c r="C4" s="1" t="s">
        <v>174</v>
      </c>
      <c r="D4" s="128">
        <v>950</v>
      </c>
    </row>
    <row r="5" spans="2:4">
      <c r="B5" s="129" t="s">
        <v>313</v>
      </c>
      <c r="C5" s="1" t="s">
        <v>174</v>
      </c>
      <c r="D5" s="128">
        <v>800</v>
      </c>
    </row>
    <row r="6" spans="2:4">
      <c r="B6" s="129" t="s">
        <v>314</v>
      </c>
      <c r="C6" s="1" t="s">
        <v>174</v>
      </c>
      <c r="D6" s="128">
        <v>950</v>
      </c>
    </row>
    <row r="7" spans="2:4">
      <c r="B7" s="129" t="s">
        <v>315</v>
      </c>
      <c r="C7" s="1" t="s">
        <v>174</v>
      </c>
      <c r="D7" s="128">
        <v>800</v>
      </c>
    </row>
    <row r="8" spans="2:4">
      <c r="B8" s="233" t="s">
        <v>316</v>
      </c>
      <c r="C8" s="234" t="s">
        <v>174</v>
      </c>
      <c r="D8" s="236">
        <f>D12/('LCOS Solar + Degradation'!E17 * 1000)</f>
        <v>1700</v>
      </c>
    </row>
    <row r="9" spans="2:4">
      <c r="B9" s="129"/>
      <c r="D9" s="128"/>
    </row>
    <row r="10" spans="2:4">
      <c r="B10" s="216" t="s">
        <v>334</v>
      </c>
      <c r="D10" s="128"/>
    </row>
    <row r="11" spans="2:4">
      <c r="B11" s="210" t="s">
        <v>146</v>
      </c>
      <c r="C11" s="41" t="s">
        <v>174</v>
      </c>
      <c r="D11" s="211">
        <f>D12 * (1 - D13)</f>
        <v>357000</v>
      </c>
    </row>
    <row r="12" spans="2:4">
      <c r="B12" s="210" t="s">
        <v>243</v>
      </c>
      <c r="C12" s="41" t="s">
        <v>174</v>
      </c>
      <c r="D12" s="212">
        <f>510000</f>
        <v>510000</v>
      </c>
    </row>
    <row r="13" spans="2:4">
      <c r="B13" s="213" t="s">
        <v>233</v>
      </c>
      <c r="C13" s="214" t="s">
        <v>167</v>
      </c>
      <c r="D13" s="215">
        <v>0.3</v>
      </c>
    </row>
    <row r="15" spans="2:4">
      <c r="B15" s="336" t="s">
        <v>321</v>
      </c>
      <c r="C15" s="337"/>
      <c r="D15" s="338"/>
    </row>
    <row r="16" spans="2:4">
      <c r="B16" s="339"/>
      <c r="C16" s="340"/>
      <c r="D16" s="341"/>
    </row>
    <row r="17" spans="2:5">
      <c r="B17" s="217" t="s">
        <v>322</v>
      </c>
      <c r="D17" s="128"/>
    </row>
    <row r="18" spans="2:5">
      <c r="B18" s="129"/>
      <c r="D18" s="128"/>
    </row>
    <row r="19" spans="2:5">
      <c r="B19" s="129" t="s">
        <v>350</v>
      </c>
      <c r="C19" s="1" t="s">
        <v>174</v>
      </c>
      <c r="D19" s="128">
        <v>2490</v>
      </c>
    </row>
    <row r="20" spans="2:5">
      <c r="B20" s="129" t="s">
        <v>351</v>
      </c>
      <c r="C20" s="1" t="s">
        <v>174</v>
      </c>
      <c r="D20" s="128">
        <v>1760</v>
      </c>
    </row>
    <row r="21" spans="2:5">
      <c r="B21" s="129" t="s">
        <v>352</v>
      </c>
      <c r="C21" s="1" t="s">
        <v>174</v>
      </c>
      <c r="D21" s="128">
        <v>970</v>
      </c>
    </row>
    <row r="22" spans="2:5">
      <c r="B22" s="129" t="s">
        <v>353</v>
      </c>
      <c r="C22" s="1" t="s">
        <v>174</v>
      </c>
      <c r="D22" s="128">
        <v>1570</v>
      </c>
    </row>
    <row r="23" spans="2:5">
      <c r="B23" s="129" t="s">
        <v>354</v>
      </c>
      <c r="C23" s="1" t="s">
        <v>174</v>
      </c>
      <c r="D23" s="128">
        <v>1110</v>
      </c>
    </row>
    <row r="24" spans="2:5">
      <c r="B24" s="129" t="s">
        <v>355</v>
      </c>
      <c r="C24" s="1" t="s">
        <v>174</v>
      </c>
      <c r="D24" s="128">
        <v>610</v>
      </c>
    </row>
    <row r="25" spans="2:5">
      <c r="B25" s="129" t="s">
        <v>356</v>
      </c>
      <c r="C25" s="1" t="s">
        <v>174</v>
      </c>
      <c r="D25" s="128">
        <v>1190</v>
      </c>
    </row>
    <row r="26" spans="2:5">
      <c r="B26" s="129" t="s">
        <v>357</v>
      </c>
      <c r="C26" s="1" t="s">
        <v>174</v>
      </c>
      <c r="D26" s="128">
        <v>840</v>
      </c>
    </row>
    <row r="27" spans="2:5">
      <c r="B27" s="129" t="s">
        <v>358</v>
      </c>
      <c r="C27" s="1" t="s">
        <v>174</v>
      </c>
      <c r="D27" s="128">
        <v>460</v>
      </c>
    </row>
    <row r="28" spans="2:5">
      <c r="B28" s="233" t="s">
        <v>359</v>
      </c>
      <c r="C28" s="234" t="s">
        <v>174</v>
      </c>
      <c r="D28" s="235">
        <f>D64 / 'PEM Electrolyser'!D9 / ('PEM Electrolyser'!D5 / 1000)</f>
        <v>595.4861111111112</v>
      </c>
      <c r="E28" s="218"/>
    </row>
    <row r="29" spans="2:5">
      <c r="B29" s="129"/>
      <c r="D29" s="128"/>
    </row>
    <row r="30" spans="2:5">
      <c r="B30" s="216" t="s">
        <v>324</v>
      </c>
      <c r="D30" s="128"/>
    </row>
    <row r="31" spans="2:5">
      <c r="B31" s="129"/>
      <c r="D31" s="128"/>
    </row>
    <row r="32" spans="2:5">
      <c r="B32" s="129" t="s">
        <v>340</v>
      </c>
      <c r="C32" s="1" t="s">
        <v>174</v>
      </c>
      <c r="D32" s="128">
        <v>820</v>
      </c>
    </row>
    <row r="33" spans="2:5">
      <c r="B33" s="129" t="s">
        <v>341</v>
      </c>
      <c r="C33" s="1" t="s">
        <v>174</v>
      </c>
      <c r="D33" s="128">
        <v>580</v>
      </c>
    </row>
    <row r="34" spans="2:5">
      <c r="B34" s="129" t="s">
        <v>342</v>
      </c>
      <c r="C34" s="1" t="s">
        <v>174</v>
      </c>
      <c r="D34" s="128">
        <v>320</v>
      </c>
    </row>
    <row r="35" spans="2:5">
      <c r="B35" s="129" t="s">
        <v>343</v>
      </c>
      <c r="C35" s="1" t="s">
        <v>174</v>
      </c>
      <c r="D35" s="128">
        <v>635</v>
      </c>
    </row>
    <row r="36" spans="2:5">
      <c r="B36" s="129" t="s">
        <v>344</v>
      </c>
      <c r="C36" s="1" t="s">
        <v>174</v>
      </c>
      <c r="D36" s="128">
        <v>450</v>
      </c>
    </row>
    <row r="37" spans="2:5">
      <c r="B37" s="129" t="s">
        <v>345</v>
      </c>
      <c r="C37" s="1" t="s">
        <v>174</v>
      </c>
      <c r="D37" s="128">
        <v>245</v>
      </c>
    </row>
    <row r="38" spans="2:5">
      <c r="B38" s="129" t="s">
        <v>346</v>
      </c>
      <c r="C38" s="1" t="s">
        <v>174</v>
      </c>
      <c r="D38" s="128">
        <v>555</v>
      </c>
    </row>
    <row r="39" spans="2:5">
      <c r="B39" s="129" t="s">
        <v>347</v>
      </c>
      <c r="C39" s="1" t="s">
        <v>174</v>
      </c>
      <c r="D39" s="128">
        <v>395</v>
      </c>
    </row>
    <row r="40" spans="2:5">
      <c r="B40" s="129" t="s">
        <v>348</v>
      </c>
      <c r="C40" s="1" t="s">
        <v>174</v>
      </c>
      <c r="D40" s="128">
        <v>215</v>
      </c>
    </row>
    <row r="41" spans="2:5">
      <c r="B41" s="233" t="s">
        <v>349</v>
      </c>
      <c r="C41" s="234" t="s">
        <v>174</v>
      </c>
      <c r="D41" s="235">
        <f>D60 / 'PEM Electrolyser'!D9 / ('PEM Electrolyser'!D5 / 1000)</f>
        <v>147.56944444444446</v>
      </c>
    </row>
    <row r="42" spans="2:5">
      <c r="B42" s="129"/>
      <c r="D42" s="128"/>
    </row>
    <row r="43" spans="2:5">
      <c r="B43" s="216" t="s">
        <v>337</v>
      </c>
      <c r="D43" s="128"/>
    </row>
    <row r="44" spans="2:5">
      <c r="B44" s="129"/>
      <c r="D44" s="128"/>
    </row>
    <row r="45" spans="2:5">
      <c r="B45" s="129" t="s">
        <v>325</v>
      </c>
      <c r="C45" s="1" t="s">
        <v>174</v>
      </c>
      <c r="D45" s="128">
        <f t="shared" ref="D45:D53" si="0">D19 - D32</f>
        <v>1670</v>
      </c>
      <c r="E45" s="70"/>
    </row>
    <row r="46" spans="2:5">
      <c r="B46" s="129" t="s">
        <v>326</v>
      </c>
      <c r="C46" s="1" t="s">
        <v>174</v>
      </c>
      <c r="D46" s="128">
        <f t="shared" si="0"/>
        <v>1180</v>
      </c>
      <c r="E46" s="70"/>
    </row>
    <row r="47" spans="2:5">
      <c r="B47" s="129" t="s">
        <v>327</v>
      </c>
      <c r="C47" s="1" t="s">
        <v>174</v>
      </c>
      <c r="D47" s="128">
        <f t="shared" si="0"/>
        <v>650</v>
      </c>
      <c r="E47" s="70"/>
    </row>
    <row r="48" spans="2:5">
      <c r="B48" s="129" t="s">
        <v>328</v>
      </c>
      <c r="C48" s="1" t="s">
        <v>174</v>
      </c>
      <c r="D48" s="128">
        <f t="shared" si="0"/>
        <v>935</v>
      </c>
      <c r="E48" s="70"/>
    </row>
    <row r="49" spans="2:5">
      <c r="B49" s="129" t="s">
        <v>329</v>
      </c>
      <c r="C49" s="1" t="s">
        <v>174</v>
      </c>
      <c r="D49" s="128">
        <f t="shared" si="0"/>
        <v>660</v>
      </c>
      <c r="E49" s="70"/>
    </row>
    <row r="50" spans="2:5">
      <c r="B50" s="129" t="s">
        <v>330</v>
      </c>
      <c r="C50" s="1" t="s">
        <v>174</v>
      </c>
      <c r="D50" s="128">
        <f t="shared" si="0"/>
        <v>365</v>
      </c>
      <c r="E50" s="70"/>
    </row>
    <row r="51" spans="2:5">
      <c r="B51" s="129" t="s">
        <v>331</v>
      </c>
      <c r="C51" s="1" t="s">
        <v>174</v>
      </c>
      <c r="D51" s="128">
        <f t="shared" si="0"/>
        <v>635</v>
      </c>
      <c r="E51" s="70"/>
    </row>
    <row r="52" spans="2:5">
      <c r="B52" s="129" t="s">
        <v>332</v>
      </c>
      <c r="C52" s="1" t="s">
        <v>174</v>
      </c>
      <c r="D52" s="128">
        <f t="shared" si="0"/>
        <v>445</v>
      </c>
      <c r="E52" s="70"/>
    </row>
    <row r="53" spans="2:5">
      <c r="B53" s="129" t="s">
        <v>333</v>
      </c>
      <c r="C53" s="1" t="s">
        <v>174</v>
      </c>
      <c r="D53" s="128">
        <f t="shared" si="0"/>
        <v>245</v>
      </c>
      <c r="E53" s="70"/>
    </row>
    <row r="54" spans="2:5">
      <c r="B54" s="233" t="s">
        <v>323</v>
      </c>
      <c r="C54" s="234" t="s">
        <v>174</v>
      </c>
      <c r="D54" s="235">
        <f>D58 / 'PEM Electrolyser'!D9 / ('PEM Electrolyser'!D5 / 1000)</f>
        <v>280.09259259259261</v>
      </c>
      <c r="E54" s="70"/>
    </row>
    <row r="55" spans="2:5">
      <c r="B55" s="129"/>
      <c r="C55" s="1"/>
      <c r="D55" s="231"/>
    </row>
    <row r="56" spans="2:5">
      <c r="B56" s="216" t="s">
        <v>334</v>
      </c>
      <c r="D56" s="128"/>
    </row>
    <row r="57" spans="2:5">
      <c r="B57" s="216"/>
      <c r="D57" s="128"/>
    </row>
    <row r="58" spans="2:5">
      <c r="B58" s="129" t="s">
        <v>338</v>
      </c>
      <c r="D58" s="212">
        <v>484000</v>
      </c>
    </row>
    <row r="59" spans="2:5">
      <c r="B59" s="216"/>
      <c r="D59" s="128"/>
    </row>
    <row r="60" spans="2:5">
      <c r="B60" s="129" t="s">
        <v>336</v>
      </c>
      <c r="C60" s="41" t="s">
        <v>174</v>
      </c>
      <c r="D60" s="212">
        <v>255000</v>
      </c>
    </row>
    <row r="61" spans="2:5">
      <c r="B61" s="129"/>
      <c r="C61" s="41"/>
      <c r="D61" s="128"/>
    </row>
    <row r="62" spans="2:5">
      <c r="B62" s="129" t="s">
        <v>339</v>
      </c>
      <c r="C62" s="41" t="s">
        <v>174</v>
      </c>
      <c r="D62" s="212">
        <v>290000</v>
      </c>
    </row>
    <row r="63" spans="2:5">
      <c r="B63" s="129"/>
      <c r="D63" s="128"/>
    </row>
    <row r="64" spans="2:5">
      <c r="B64" s="213" t="s">
        <v>335</v>
      </c>
      <c r="C64" s="220" t="s">
        <v>174</v>
      </c>
      <c r="D64" s="221">
        <f>D58 + D62 + D60</f>
        <v>1029000</v>
      </c>
      <c r="E64" s="218" t="s">
        <v>364</v>
      </c>
    </row>
    <row r="66" spans="2:5">
      <c r="B66" s="336" t="s">
        <v>101</v>
      </c>
      <c r="C66" s="337"/>
      <c r="D66" s="338"/>
    </row>
    <row r="67" spans="2:5">
      <c r="B67" s="339"/>
      <c r="C67" s="340"/>
      <c r="D67" s="341"/>
    </row>
    <row r="68" spans="2:5">
      <c r="B68" s="129" t="s">
        <v>360</v>
      </c>
      <c r="C68" s="1" t="s">
        <v>174</v>
      </c>
      <c r="D68" s="128">
        <v>303</v>
      </c>
    </row>
    <row r="69" spans="2:5">
      <c r="B69" s="129" t="s">
        <v>361</v>
      </c>
      <c r="C69" s="1" t="s">
        <v>174</v>
      </c>
      <c r="D69" s="128">
        <v>628</v>
      </c>
    </row>
    <row r="70" spans="2:5">
      <c r="B70" s="129" t="s">
        <v>316</v>
      </c>
      <c r="C70" s="1" t="s">
        <v>174</v>
      </c>
      <c r="D70" s="232">
        <f>D73 / ('Model Initial - Battery Lazard'!E37 * 1000)</f>
        <v>525.25252525252517</v>
      </c>
      <c r="E70" s="85"/>
    </row>
    <row r="71" spans="2:5">
      <c r="B71" s="129"/>
      <c r="D71" s="128"/>
    </row>
    <row r="72" spans="2:5">
      <c r="B72" s="216" t="s">
        <v>334</v>
      </c>
      <c r="D72" s="128"/>
    </row>
    <row r="73" spans="2:5">
      <c r="B73" s="213" t="s">
        <v>243</v>
      </c>
      <c r="C73" s="220" t="s">
        <v>174</v>
      </c>
      <c r="D73" s="221">
        <v>520000</v>
      </c>
    </row>
  </sheetData>
  <mergeCells count="3">
    <mergeCell ref="B2:D3"/>
    <mergeCell ref="B15:D16"/>
    <mergeCell ref="B66:D67"/>
  </mergeCells>
  <pageMargins left="0.7" right="0.7" top="0.75" bottom="0.75" header="0.3" footer="0.3"/>
</worksheet>
</file>

<file path=xl/worksheets/sheet1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BAC7C-AB94-2D41-B985-D67EC173FF59}">
  <sheetPr>
    <tabColor rgb="FF002060"/>
  </sheetPr>
  <dimension ref="B1:X145"/>
  <sheetViews>
    <sheetView showGridLines="0" topLeftCell="H1" workbookViewId="0">
      <selection activeCell="M17" sqref="M17"/>
    </sheetView>
  </sheetViews>
  <sheetFormatPr baseColWidth="10" defaultRowHeight="16"/>
  <cols>
    <col min="1" max="1" width="7.1640625" customWidth="1"/>
    <col min="2" max="2" width="65.5" bestFit="1" customWidth="1"/>
    <col min="3" max="3" width="12.83203125" bestFit="1" customWidth="1"/>
    <col min="4" max="4" width="16.6640625" bestFit="1" customWidth="1"/>
    <col min="5" max="5" width="17.1640625" bestFit="1" customWidth="1"/>
    <col min="6" max="6" width="11.5" customWidth="1"/>
    <col min="7" max="7" width="11.5" bestFit="1" customWidth="1"/>
    <col min="8" max="8" width="10.5" customWidth="1"/>
    <col min="9" max="24" width="11.5" bestFit="1" customWidth="1"/>
  </cols>
  <sheetData>
    <row r="1" spans="2:24">
      <c r="B1" s="13" t="s">
        <v>159</v>
      </c>
      <c r="D1">
        <v>0</v>
      </c>
      <c r="E1">
        <f>D1+1</f>
        <v>1</v>
      </c>
      <c r="F1">
        <f t="shared" ref="F1:X1" si="0">E1+1</f>
        <v>2</v>
      </c>
      <c r="G1">
        <f t="shared" si="0"/>
        <v>3</v>
      </c>
      <c r="H1">
        <f t="shared" si="0"/>
        <v>4</v>
      </c>
      <c r="I1">
        <f t="shared" si="0"/>
        <v>5</v>
      </c>
      <c r="J1">
        <f t="shared" si="0"/>
        <v>6</v>
      </c>
      <c r="K1">
        <f t="shared" si="0"/>
        <v>7</v>
      </c>
      <c r="L1">
        <f t="shared" si="0"/>
        <v>8</v>
      </c>
      <c r="M1">
        <f t="shared" si="0"/>
        <v>9</v>
      </c>
      <c r="N1">
        <f t="shared" si="0"/>
        <v>10</v>
      </c>
      <c r="O1">
        <f t="shared" si="0"/>
        <v>11</v>
      </c>
      <c r="P1">
        <f t="shared" si="0"/>
        <v>12</v>
      </c>
      <c r="Q1">
        <f t="shared" si="0"/>
        <v>13</v>
      </c>
      <c r="R1">
        <f t="shared" si="0"/>
        <v>14</v>
      </c>
      <c r="S1">
        <f t="shared" si="0"/>
        <v>15</v>
      </c>
      <c r="T1">
        <f t="shared" si="0"/>
        <v>16</v>
      </c>
      <c r="U1">
        <f t="shared" si="0"/>
        <v>17</v>
      </c>
      <c r="V1">
        <f t="shared" si="0"/>
        <v>18</v>
      </c>
      <c r="W1">
        <f t="shared" si="0"/>
        <v>19</v>
      </c>
      <c r="X1">
        <f t="shared" si="0"/>
        <v>20</v>
      </c>
    </row>
    <row r="2" spans="2:24">
      <c r="B2" s="78" t="s">
        <v>172</v>
      </c>
      <c r="C2" s="78" t="s">
        <v>160</v>
      </c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</row>
    <row r="3" spans="2:24">
      <c r="C3" s="79"/>
      <c r="E3" s="6"/>
    </row>
    <row r="4" spans="2:24">
      <c r="B4" s="19" t="s">
        <v>147</v>
      </c>
      <c r="C4" s="19"/>
      <c r="E4" s="5"/>
      <c r="F4" s="70"/>
      <c r="G4" s="70"/>
    </row>
    <row r="5" spans="2:24">
      <c r="B5" s="75" t="s">
        <v>200</v>
      </c>
      <c r="C5" s="75" t="s">
        <v>201</v>
      </c>
      <c r="D5" s="4">
        <v>300</v>
      </c>
      <c r="E5" s="84"/>
      <c r="F5" s="171"/>
      <c r="G5" s="171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</row>
    <row r="6" spans="2:24">
      <c r="B6" s="75" t="s">
        <v>181</v>
      </c>
      <c r="C6" s="75" t="s">
        <v>162</v>
      </c>
      <c r="D6" s="4">
        <v>24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</row>
    <row r="7" spans="2:24" s="13" customFormat="1">
      <c r="B7" s="82" t="s">
        <v>182</v>
      </c>
      <c r="C7" s="82" t="s">
        <v>180</v>
      </c>
      <c r="D7" s="83">
        <f>D9*D20</f>
        <v>2016000</v>
      </c>
      <c r="E7" s="83">
        <f>D7</f>
        <v>2016000</v>
      </c>
      <c r="F7" s="83">
        <f t="shared" ref="F7:X7" si="1">E7</f>
        <v>2016000</v>
      </c>
      <c r="G7" s="83">
        <f t="shared" si="1"/>
        <v>2016000</v>
      </c>
      <c r="H7" s="83">
        <f t="shared" si="1"/>
        <v>2016000</v>
      </c>
      <c r="I7" s="83">
        <f t="shared" si="1"/>
        <v>2016000</v>
      </c>
      <c r="J7" s="83">
        <f t="shared" si="1"/>
        <v>2016000</v>
      </c>
      <c r="K7" s="83">
        <f t="shared" si="1"/>
        <v>2016000</v>
      </c>
      <c r="L7" s="83">
        <f t="shared" si="1"/>
        <v>2016000</v>
      </c>
      <c r="M7" s="83">
        <f t="shared" si="1"/>
        <v>2016000</v>
      </c>
      <c r="N7" s="83">
        <f t="shared" si="1"/>
        <v>2016000</v>
      </c>
      <c r="O7" s="83">
        <f t="shared" si="1"/>
        <v>2016000</v>
      </c>
      <c r="P7" s="83">
        <f t="shared" si="1"/>
        <v>2016000</v>
      </c>
      <c r="Q7" s="83">
        <f t="shared" si="1"/>
        <v>2016000</v>
      </c>
      <c r="R7" s="83">
        <f t="shared" si="1"/>
        <v>2016000</v>
      </c>
      <c r="S7" s="83">
        <f t="shared" si="1"/>
        <v>2016000</v>
      </c>
      <c r="T7" s="83">
        <f t="shared" si="1"/>
        <v>2016000</v>
      </c>
      <c r="U7" s="83">
        <f t="shared" si="1"/>
        <v>2016000</v>
      </c>
      <c r="V7" s="83">
        <f t="shared" si="1"/>
        <v>2016000</v>
      </c>
      <c r="W7" s="83">
        <f t="shared" si="1"/>
        <v>2016000</v>
      </c>
      <c r="X7" s="83">
        <f t="shared" si="1"/>
        <v>2016000</v>
      </c>
    </row>
    <row r="8" spans="2:24">
      <c r="B8" s="75" t="s">
        <v>235</v>
      </c>
      <c r="C8" s="75" t="s">
        <v>174</v>
      </c>
      <c r="D8" s="4">
        <v>66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</row>
    <row r="9" spans="2:24">
      <c r="B9" s="75" t="s">
        <v>191</v>
      </c>
      <c r="C9" s="75" t="s">
        <v>192</v>
      </c>
      <c r="D9" s="4">
        <f>D5*D6*D10</f>
        <v>5760</v>
      </c>
      <c r="E9" s="4"/>
      <c r="F9" s="171"/>
      <c r="G9" s="171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</row>
    <row r="10" spans="2:24">
      <c r="B10" s="75" t="s">
        <v>193</v>
      </c>
      <c r="C10" s="75"/>
      <c r="D10" s="98">
        <v>0.8</v>
      </c>
      <c r="E10" s="4"/>
      <c r="F10" s="171"/>
      <c r="G10" s="171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</row>
    <row r="11" spans="2:24">
      <c r="B11" s="75" t="s">
        <v>229</v>
      </c>
      <c r="C11" s="75" t="s">
        <v>174</v>
      </c>
      <c r="D11" s="107">
        <v>290000</v>
      </c>
    </row>
    <row r="12" spans="2:24">
      <c r="B12" s="219" t="s">
        <v>349</v>
      </c>
      <c r="C12" s="75" t="s">
        <v>174</v>
      </c>
      <c r="D12" s="69">
        <f>INDEX('H3 Project Proposal'!$D$32:$D$41,MATCH(B12,'H3 Project Proposal'!$B$32:$B$41,0)) * D9  * D5 / 1000</f>
        <v>255000.00000000003</v>
      </c>
    </row>
    <row r="13" spans="2:24">
      <c r="B13" s="75" t="s">
        <v>173</v>
      </c>
      <c r="C13" s="75" t="s">
        <v>161</v>
      </c>
      <c r="D13">
        <v>20</v>
      </c>
    </row>
    <row r="14" spans="2:24" ht="20" customHeight="1">
      <c r="B14" s="75" t="s">
        <v>175</v>
      </c>
      <c r="C14" s="75" t="s">
        <v>162</v>
      </c>
      <c r="D14" s="4">
        <v>80000</v>
      </c>
      <c r="F14" s="106"/>
    </row>
    <row r="15" spans="2:24">
      <c r="B15" s="75" t="s">
        <v>175</v>
      </c>
      <c r="C15" s="75" t="s">
        <v>161</v>
      </c>
      <c r="D15" s="73">
        <f>D14/(D6*D20)</f>
        <v>9.5238095238095237</v>
      </c>
      <c r="F15" s="42"/>
    </row>
    <row r="16" spans="2:24">
      <c r="B16" s="75" t="s">
        <v>178</v>
      </c>
      <c r="C16" s="75" t="s">
        <v>179</v>
      </c>
      <c r="D16" s="64" t="s">
        <v>179</v>
      </c>
      <c r="F16" s="42"/>
      <c r="N16">
        <v>1</v>
      </c>
    </row>
    <row r="17" spans="2:24" s="13" customFormat="1">
      <c r="B17" s="82" t="s">
        <v>186</v>
      </c>
      <c r="C17" s="82"/>
      <c r="D17" s="170"/>
      <c r="F17" s="42"/>
      <c r="H17"/>
      <c r="K17" s="23"/>
      <c r="N17" s="23">
        <f>$D$12</f>
        <v>255000.00000000003</v>
      </c>
      <c r="R17" s="23"/>
      <c r="X17" s="23"/>
    </row>
    <row r="18" spans="2:24" s="13" customFormat="1">
      <c r="B18" s="82" t="s">
        <v>199</v>
      </c>
      <c r="C18" s="82"/>
      <c r="D18" s="170">
        <f>SUM(E18:X18)</f>
        <v>82103.175330627491</v>
      </c>
      <c r="F18" s="42"/>
      <c r="H18"/>
      <c r="K18" s="23"/>
      <c r="L18" s="23"/>
      <c r="M18" s="23"/>
      <c r="N18" s="23">
        <f>N17 / (1+$D$115)^N$1</f>
        <v>82103.175330627491</v>
      </c>
      <c r="O18" s="23"/>
      <c r="P18" s="23"/>
      <c r="Q18" s="23"/>
      <c r="R18" s="23"/>
      <c r="X18" s="23"/>
    </row>
    <row r="19" spans="2:24">
      <c r="B19" s="75" t="s">
        <v>183</v>
      </c>
      <c r="C19" s="75"/>
      <c r="D19" s="4">
        <f>D12 / D15</f>
        <v>26775.000000000004</v>
      </c>
      <c r="F19" s="42"/>
    </row>
    <row r="20" spans="2:24">
      <c r="B20" s="75" t="s">
        <v>176</v>
      </c>
      <c r="C20" s="75" t="s">
        <v>177</v>
      </c>
      <c r="D20" s="4">
        <v>350</v>
      </c>
    </row>
    <row r="21" spans="2:24">
      <c r="B21" s="75" t="s">
        <v>164</v>
      </c>
      <c r="C21" s="75" t="s">
        <v>166</v>
      </c>
      <c r="D21" s="4">
        <f>D26/D23</f>
        <v>48.000000000000007</v>
      </c>
      <c r="E21" s="84">
        <f>$D$26/E25</f>
        <v>50.526315789473692</v>
      </c>
      <c r="F21" s="84">
        <f>$D$26/F25</f>
        <v>53.333333333333343</v>
      </c>
      <c r="G21" s="84">
        <f t="shared" ref="G21:X21" si="2">$D$26/G25</f>
        <v>56.47058823529413</v>
      </c>
      <c r="H21" s="84">
        <f t="shared" si="2"/>
        <v>60.000000000000021</v>
      </c>
      <c r="I21" s="84">
        <f t="shared" si="2"/>
        <v>64.000000000000028</v>
      </c>
      <c r="J21" s="84">
        <f t="shared" si="2"/>
        <v>68.571428571428612</v>
      </c>
      <c r="K21" s="84">
        <f t="shared" si="2"/>
        <v>73.846153846153896</v>
      </c>
      <c r="L21" s="84">
        <f t="shared" si="2"/>
        <v>80.000000000000057</v>
      </c>
      <c r="M21" s="84">
        <f t="shared" si="2"/>
        <v>87.272727272727352</v>
      </c>
      <c r="N21" s="84">
        <f t="shared" si="2"/>
        <v>96.000000000000099</v>
      </c>
      <c r="O21" s="84">
        <f t="shared" si="2"/>
        <v>48.000000000000007</v>
      </c>
      <c r="P21" s="84">
        <f t="shared" si="2"/>
        <v>50.526315789473692</v>
      </c>
      <c r="Q21" s="84">
        <f t="shared" si="2"/>
        <v>53.333333333333343</v>
      </c>
      <c r="R21" s="84">
        <f t="shared" si="2"/>
        <v>56.47058823529413</v>
      </c>
      <c r="S21" s="84">
        <f t="shared" si="2"/>
        <v>60.000000000000021</v>
      </c>
      <c r="T21" s="84">
        <f t="shared" si="2"/>
        <v>64.000000000000028</v>
      </c>
      <c r="U21" s="84">
        <f>$D$26/U25</f>
        <v>68.571428571428612</v>
      </c>
      <c r="V21" s="84">
        <f t="shared" si="2"/>
        <v>73.846153846153896</v>
      </c>
      <c r="W21" s="84">
        <f t="shared" si="2"/>
        <v>80.000000000000057</v>
      </c>
      <c r="X21" s="84">
        <f t="shared" si="2"/>
        <v>87.272727272727352</v>
      </c>
    </row>
    <row r="22" spans="2:24">
      <c r="B22" s="75" t="s">
        <v>163</v>
      </c>
      <c r="C22" s="75" t="s">
        <v>167</v>
      </c>
      <c r="D22" s="81">
        <v>0.98</v>
      </c>
      <c r="F22" s="42"/>
    </row>
    <row r="23" spans="2:24">
      <c r="B23" s="75" t="s">
        <v>165</v>
      </c>
      <c r="C23" s="75" t="s">
        <v>168</v>
      </c>
      <c r="D23" s="81">
        <v>0.7</v>
      </c>
      <c r="E23" s="5"/>
    </row>
    <row r="24" spans="2:24" s="13" customFormat="1">
      <c r="B24" s="82" t="s">
        <v>277</v>
      </c>
      <c r="C24" s="82" t="s">
        <v>167</v>
      </c>
      <c r="D24" s="172">
        <v>3.5000000000000003E-2</v>
      </c>
      <c r="F24" s="42"/>
      <c r="H24"/>
      <c r="K24" s="23"/>
      <c r="N24" s="23"/>
      <c r="R24" s="23"/>
      <c r="X24" s="23"/>
    </row>
    <row r="25" spans="2:24" s="13" customFormat="1">
      <c r="B25" s="82" t="s">
        <v>278</v>
      </c>
      <c r="C25" s="82"/>
      <c r="D25" s="172"/>
      <c r="E25" s="81">
        <f>D23 - D24</f>
        <v>0.66499999999999992</v>
      </c>
      <c r="F25" s="173">
        <f>IF(E16&lt;&gt;1,E25 - $D$24,$D$23)</f>
        <v>0.62999999999999989</v>
      </c>
      <c r="G25" s="173">
        <f t="shared" ref="G25:X25" si="3">IF(F16&lt;&gt;1,F25 - $D$24,$D$23)</f>
        <v>0.59499999999999986</v>
      </c>
      <c r="H25" s="173">
        <f t="shared" si="3"/>
        <v>0.55999999999999983</v>
      </c>
      <c r="I25" s="173">
        <f t="shared" si="3"/>
        <v>0.5249999999999998</v>
      </c>
      <c r="J25" s="173">
        <f t="shared" si="3"/>
        <v>0.48999999999999977</v>
      </c>
      <c r="K25" s="173">
        <f t="shared" si="3"/>
        <v>0.45499999999999974</v>
      </c>
      <c r="L25" s="173">
        <f t="shared" si="3"/>
        <v>0.41999999999999971</v>
      </c>
      <c r="M25" s="173">
        <f t="shared" si="3"/>
        <v>0.38499999999999968</v>
      </c>
      <c r="N25" s="173">
        <f t="shared" si="3"/>
        <v>0.34999999999999964</v>
      </c>
      <c r="O25" s="173">
        <f t="shared" si="3"/>
        <v>0.7</v>
      </c>
      <c r="P25" s="173">
        <f t="shared" si="3"/>
        <v>0.66499999999999992</v>
      </c>
      <c r="Q25" s="173">
        <f t="shared" si="3"/>
        <v>0.62999999999999989</v>
      </c>
      <c r="R25" s="173">
        <f t="shared" si="3"/>
        <v>0.59499999999999986</v>
      </c>
      <c r="S25" s="173">
        <f t="shared" si="3"/>
        <v>0.55999999999999983</v>
      </c>
      <c r="T25" s="173">
        <f t="shared" si="3"/>
        <v>0.5249999999999998</v>
      </c>
      <c r="U25" s="173">
        <f t="shared" si="3"/>
        <v>0.48999999999999977</v>
      </c>
      <c r="V25" s="173">
        <f t="shared" si="3"/>
        <v>0.45499999999999974</v>
      </c>
      <c r="W25" s="173">
        <f t="shared" si="3"/>
        <v>0.41999999999999971</v>
      </c>
      <c r="X25" s="173">
        <f t="shared" si="3"/>
        <v>0.38499999999999968</v>
      </c>
    </row>
    <row r="26" spans="2:24">
      <c r="B26" s="75" t="s">
        <v>228</v>
      </c>
      <c r="D26" s="3">
        <v>33.6</v>
      </c>
    </row>
    <row r="27" spans="2:24">
      <c r="B27" s="75" t="s">
        <v>210</v>
      </c>
      <c r="C27" s="75" t="s">
        <v>167</v>
      </c>
      <c r="D27" s="24">
        <f>'Model Initial - Battery Lazard'!C29</f>
        <v>2.5000000000000001E-2</v>
      </c>
    </row>
    <row r="28" spans="2:24">
      <c r="B28" s="75"/>
      <c r="F28" s="70"/>
    </row>
    <row r="29" spans="2:24">
      <c r="B29" s="76" t="s">
        <v>148</v>
      </c>
      <c r="C29" s="76"/>
      <c r="E29" s="4"/>
      <c r="F29" s="85"/>
      <c r="G29" s="85"/>
      <c r="H29" s="85"/>
      <c r="I29" s="85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</row>
    <row r="30" spans="2:24">
      <c r="B30" s="75" t="s">
        <v>149</v>
      </c>
      <c r="C30" s="75" t="s">
        <v>226</v>
      </c>
      <c r="D30" s="99"/>
      <c r="E30" s="4">
        <f t="shared" ref="E30:X30" si="4">$D$7 / E$21 * $D$22</f>
        <v>39101.999999999993</v>
      </c>
      <c r="F30" s="4">
        <f t="shared" si="4"/>
        <v>37043.999999999993</v>
      </c>
      <c r="G30" s="4">
        <f t="shared" si="4"/>
        <v>34985.999999999993</v>
      </c>
      <c r="H30" s="4">
        <f t="shared" si="4"/>
        <v>32927.999999999985</v>
      </c>
      <c r="I30" s="4">
        <f t="shared" si="4"/>
        <v>30869.999999999985</v>
      </c>
      <c r="J30" s="4">
        <f t="shared" si="4"/>
        <v>28811.999999999982</v>
      </c>
      <c r="K30" s="4">
        <f t="shared" si="4"/>
        <v>26753.999999999982</v>
      </c>
      <c r="L30" s="4">
        <f t="shared" si="4"/>
        <v>24695.999999999982</v>
      </c>
      <c r="M30" s="4">
        <f t="shared" si="4"/>
        <v>22637.999999999978</v>
      </c>
      <c r="N30" s="4">
        <f t="shared" si="4"/>
        <v>20579.999999999978</v>
      </c>
      <c r="O30" s="4">
        <f t="shared" si="4"/>
        <v>41159.999999999993</v>
      </c>
      <c r="P30" s="4">
        <f t="shared" si="4"/>
        <v>39101.999999999993</v>
      </c>
      <c r="Q30" s="4">
        <f t="shared" si="4"/>
        <v>37043.999999999993</v>
      </c>
      <c r="R30" s="4">
        <f t="shared" si="4"/>
        <v>34985.999999999993</v>
      </c>
      <c r="S30" s="4">
        <f t="shared" si="4"/>
        <v>32927.999999999985</v>
      </c>
      <c r="T30" s="4">
        <f t="shared" si="4"/>
        <v>30869.999999999985</v>
      </c>
      <c r="U30" s="4">
        <f t="shared" si="4"/>
        <v>28811.999999999982</v>
      </c>
      <c r="V30" s="4">
        <f t="shared" si="4"/>
        <v>26753.999999999982</v>
      </c>
      <c r="W30" s="4">
        <f t="shared" si="4"/>
        <v>24695.999999999982</v>
      </c>
      <c r="X30" s="4">
        <f t="shared" si="4"/>
        <v>22637.999999999978</v>
      </c>
    </row>
    <row r="31" spans="2:24">
      <c r="B31" s="75" t="s">
        <v>234</v>
      </c>
      <c r="C31" s="75" t="s">
        <v>227</v>
      </c>
      <c r="D31" s="73">
        <f>E30/D20</f>
        <v>111.71999999999998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</row>
    <row r="32" spans="2:24" s="13" customFormat="1" ht="17" thickBot="1">
      <c r="B32" s="144" t="s">
        <v>245</v>
      </c>
      <c r="C32" s="144" t="s">
        <v>174</v>
      </c>
      <c r="D32" s="71"/>
      <c r="E32" s="71">
        <f t="shared" ref="E32:X32" si="5">E30 * $D$127</f>
        <v>220887.41386630008</v>
      </c>
      <c r="F32" s="71">
        <f t="shared" si="5"/>
        <v>209261.76050491587</v>
      </c>
      <c r="G32" s="71">
        <f t="shared" si="5"/>
        <v>197636.10714353164</v>
      </c>
      <c r="H32" s="71">
        <f t="shared" si="5"/>
        <v>186010.45378214738</v>
      </c>
      <c r="I32" s="71">
        <f t="shared" si="5"/>
        <v>174384.80042076317</v>
      </c>
      <c r="J32" s="71">
        <f t="shared" si="5"/>
        <v>162759.14705937894</v>
      </c>
      <c r="K32" s="71">
        <f t="shared" si="5"/>
        <v>151133.49369799471</v>
      </c>
      <c r="L32" s="71">
        <f t="shared" si="5"/>
        <v>139507.8403366105</v>
      </c>
      <c r="M32" s="71">
        <f t="shared" si="5"/>
        <v>127882.18697522627</v>
      </c>
      <c r="N32" s="71">
        <f t="shared" si="5"/>
        <v>116256.53361384205</v>
      </c>
      <c r="O32" s="71">
        <f t="shared" si="5"/>
        <v>232513.06722768431</v>
      </c>
      <c r="P32" s="71">
        <f t="shared" si="5"/>
        <v>220887.41386630008</v>
      </c>
      <c r="Q32" s="71">
        <f t="shared" si="5"/>
        <v>209261.76050491587</v>
      </c>
      <c r="R32" s="71">
        <f t="shared" si="5"/>
        <v>197636.10714353164</v>
      </c>
      <c r="S32" s="71">
        <f t="shared" si="5"/>
        <v>186010.45378214738</v>
      </c>
      <c r="T32" s="71">
        <f t="shared" si="5"/>
        <v>174384.80042076317</v>
      </c>
      <c r="U32" s="71">
        <f t="shared" si="5"/>
        <v>162759.14705937894</v>
      </c>
      <c r="V32" s="71">
        <f t="shared" si="5"/>
        <v>151133.49369799471</v>
      </c>
      <c r="W32" s="71">
        <f t="shared" si="5"/>
        <v>139507.8403366105</v>
      </c>
      <c r="X32" s="71">
        <f t="shared" si="5"/>
        <v>127882.18697522627</v>
      </c>
    </row>
    <row r="33" spans="2:24" ht="17" thickTop="1">
      <c r="B33" s="75"/>
      <c r="C33" s="75"/>
      <c r="D33" s="73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</row>
    <row r="34" spans="2:24">
      <c r="B34" t="s">
        <v>150</v>
      </c>
      <c r="C34" s="75" t="s">
        <v>169</v>
      </c>
      <c r="D34">
        <v>2.1000000000000001E-2</v>
      </c>
    </row>
    <row r="35" spans="2:24" s="13" customFormat="1">
      <c r="B35" s="13" t="s">
        <v>184</v>
      </c>
      <c r="C35" s="82" t="s">
        <v>174</v>
      </c>
      <c r="E35" s="23">
        <f t="shared" ref="E35:X35" si="6">E30 * $D$34 * (1 + $D$27) ^ E1</f>
        <v>841.67054999999982</v>
      </c>
      <c r="F35" s="23">
        <f t="shared" si="6"/>
        <v>817.30640249999976</v>
      </c>
      <c r="G35" s="23">
        <f t="shared" si="6"/>
        <v>791.19800353124981</v>
      </c>
      <c r="H35" s="23">
        <f t="shared" si="6"/>
        <v>763.2733681124995</v>
      </c>
      <c r="I35" s="23">
        <f t="shared" si="6"/>
        <v>733.45800217060491</v>
      </c>
      <c r="J35" s="23">
        <f t="shared" si="6"/>
        <v>701.6748220765453</v>
      </c>
      <c r="K35" s="23">
        <f t="shared" si="6"/>
        <v>667.84407172642602</v>
      </c>
      <c r="L35" s="23">
        <f t="shared" si="6"/>
        <v>631.8832370950031</v>
      </c>
      <c r="M35" s="23">
        <f t="shared" si="6"/>
        <v>593.70695818717968</v>
      </c>
      <c r="N35" s="23">
        <f t="shared" si="6"/>
        <v>553.22693831078107</v>
      </c>
      <c r="O35" s="23">
        <f t="shared" si="6"/>
        <v>1134.1152235371021</v>
      </c>
      <c r="P35" s="23">
        <f t="shared" si="6"/>
        <v>1104.3446989192532</v>
      </c>
      <c r="Q35" s="23">
        <f t="shared" si="6"/>
        <v>1072.3768260558008</v>
      </c>
      <c r="R35" s="23">
        <f t="shared" si="6"/>
        <v>1038.1203441123516</v>
      </c>
      <c r="S35" s="23">
        <f t="shared" si="6"/>
        <v>1001.4808025554451</v>
      </c>
      <c r="T35" s="23">
        <f t="shared" si="6"/>
        <v>962.36045870562293</v>
      </c>
      <c r="U35" s="23">
        <f t="shared" si="6"/>
        <v>920.65817216171229</v>
      </c>
      <c r="V35" s="23">
        <f t="shared" si="6"/>
        <v>876.26929600391531</v>
      </c>
      <c r="W35" s="23">
        <f t="shared" si="6"/>
        <v>829.08556468062761</v>
      </c>
      <c r="X35" s="23">
        <f t="shared" si="6"/>
        <v>778.99497848117278</v>
      </c>
    </row>
    <row r="36" spans="2:24" s="13" customFormat="1">
      <c r="C36" s="82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</row>
    <row r="37" spans="2:24">
      <c r="B37" s="125" t="s">
        <v>242</v>
      </c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126"/>
    </row>
    <row r="38" spans="2:24">
      <c r="B38" s="127" t="str">
        <f>IF(AND($D$50&lt;$E$52,$D$50&lt;$E$55),$B$49,IF(AND($D$50&gt;$E$52,$D$50&gt;$E$55),B60,IF(AND(D50&gt;E52,D50&lt;E55),$B$70,B80)))</f>
        <v>Scenario 1: All electricity is bought from grid</v>
      </c>
      <c r="X38" s="128"/>
    </row>
    <row r="39" spans="2:24">
      <c r="B39" s="129" t="s">
        <v>151</v>
      </c>
      <c r="C39" t="s">
        <v>171</v>
      </c>
      <c r="D39">
        <f>CHOOSE(MATCH($B$38,Scenario_list!$B$2:$B$5,0),'PEM Electrolyser'!D50,'PEM Electrolyser'!D61,D81,D71)</f>
        <v>59.5</v>
      </c>
      <c r="X39" s="128"/>
    </row>
    <row r="40" spans="2:24" s="13" customFormat="1">
      <c r="B40" s="130" t="s">
        <v>194</v>
      </c>
      <c r="C40" s="13" t="s">
        <v>174</v>
      </c>
      <c r="D40" s="131"/>
      <c r="E40" s="132">
        <f>CHOOSE(MATCH($B$38,Scenario_list!$B$2:$B$5,0),'PEM Electrolyser'!E51,'PEM Electrolyser'!E62,E72,E82)</f>
        <v>-60345.469800000006</v>
      </c>
      <c r="F40" s="132">
        <f>CHOOSE(MATCH($B$38,Scenario_list!$B$2:$B$5,0),'PEM Electrolyser'!F51,'PEM Electrolyser'!F62,F72,F82)</f>
        <v>-58836.833055000003</v>
      </c>
      <c r="G40" s="132">
        <f>CHOOSE(MATCH($B$38,Scenario_list!$B$2:$B$5,0),'PEM Electrolyser'!G51,'PEM Electrolyser'!G62,G72,G82)</f>
        <v>-57365.912228625006</v>
      </c>
      <c r="H40" s="132">
        <f>CHOOSE(MATCH($B$38,Scenario_list!$B$2:$B$5,0),'PEM Electrolyser'!H51,'PEM Electrolyser'!H62,H72,H82)</f>
        <v>-55931.764422909378</v>
      </c>
      <c r="I40" s="132">
        <f>CHOOSE(MATCH($B$38,Scenario_list!$B$2:$B$5,0),'PEM Electrolyser'!I51,'PEM Electrolyser'!I62,I72,I82)</f>
        <v>-54533.470312336634</v>
      </c>
      <c r="J40" s="132">
        <f>CHOOSE(MATCH($B$38,Scenario_list!$B$2:$B$5,0),'PEM Electrolyser'!J51,'PEM Electrolyser'!J62,J72,J82)</f>
        <v>-53170.133554528227</v>
      </c>
      <c r="K40" s="132">
        <f>CHOOSE(MATCH($B$38,Scenario_list!$B$2:$B$5,0),'PEM Electrolyser'!K51,'PEM Electrolyser'!K62,K72,K82)</f>
        <v>-51840.88021566502</v>
      </c>
      <c r="L40" s="132">
        <f>CHOOSE(MATCH($B$38,Scenario_list!$B$2:$B$5,0),'PEM Electrolyser'!L51,'PEM Electrolyser'!L62,L72,L82)</f>
        <v>-50544.858210273385</v>
      </c>
      <c r="M40" s="132">
        <f>CHOOSE(MATCH($B$38,Scenario_list!$B$2:$B$5,0),'PEM Electrolyser'!M51,'PEM Electrolyser'!M62,M72,M82)</f>
        <v>-49281.236755016551</v>
      </c>
      <c r="N40" s="132">
        <f>CHOOSE(MATCH($B$38,Scenario_list!$B$2:$B$5,0),'PEM Electrolyser'!N51,'PEM Electrolyser'!N62,N72,N82)</f>
        <v>-48049.20583614114</v>
      </c>
      <c r="O40" s="132">
        <f>CHOOSE(MATCH($B$38,Scenario_list!$B$2:$B$5,0),'PEM Electrolyser'!O51,'PEM Electrolyser'!O62,O72,O82)</f>
        <v>-46847.975690237618</v>
      </c>
      <c r="P40" s="132">
        <f>CHOOSE(MATCH($B$38,Scenario_list!$B$2:$B$5,0),'PEM Electrolyser'!P51,'PEM Electrolyser'!P62,P72,P82)</f>
        <v>-45676.776297981669</v>
      </c>
      <c r="Q40" s="132">
        <f>CHOOSE(MATCH($B$38,Scenario_list!$B$2:$B$5,0),'PEM Electrolyser'!Q51,'PEM Electrolyser'!Q62,Q72,Q82)</f>
        <v>-44534.856890532123</v>
      </c>
      <c r="R40" s="132">
        <f>CHOOSE(MATCH($B$38,Scenario_list!$B$2:$B$5,0),'PEM Electrolyser'!R51,'PEM Electrolyser'!R62,R72,R82)</f>
        <v>-43421.485468268831</v>
      </c>
      <c r="S40" s="132">
        <f>CHOOSE(MATCH($B$38,Scenario_list!$B$2:$B$5,0),'PEM Electrolyser'!S51,'PEM Electrolyser'!S62,S72,S82)</f>
        <v>-42335.948331562096</v>
      </c>
      <c r="T40" s="132">
        <f>CHOOSE(MATCH($B$38,Scenario_list!$B$2:$B$5,0),'PEM Electrolyser'!T51,'PEM Electrolyser'!T62,T72,T82)</f>
        <v>-41277.549623273044</v>
      </c>
      <c r="U40" s="132">
        <f>CHOOSE(MATCH($B$38,Scenario_list!$B$2:$B$5,0),'PEM Electrolyser'!U51,'PEM Electrolyser'!U62,U72,U82)</f>
        <v>-40245.610882691217</v>
      </c>
      <c r="V40" s="132">
        <f>CHOOSE(MATCH($B$38,Scenario_list!$B$2:$B$5,0),'PEM Electrolyser'!V51,'PEM Electrolyser'!V62,V72,V82)</f>
        <v>-39239.470610623946</v>
      </c>
      <c r="W40" s="132">
        <f>CHOOSE(MATCH($B$38,Scenario_list!$B$2:$B$5,0),'PEM Electrolyser'!W51,'PEM Electrolyser'!W62,W72,W82)</f>
        <v>-38258.483845358343</v>
      </c>
      <c r="X40" s="133">
        <f>CHOOSE(MATCH($B$38,Scenario_list!$B$2:$B$5,0),'PEM Electrolyser'!X51,'PEM Electrolyser'!X62,X72,X82)</f>
        <v>-37302.02174922439</v>
      </c>
    </row>
    <row r="41" spans="2:24">
      <c r="B41" s="134" t="s">
        <v>237</v>
      </c>
      <c r="C41" t="s">
        <v>196</v>
      </c>
      <c r="E41" s="132">
        <f>CHOOSE(MATCH($B$38,Scenario_list!$B$2:$B$5,0),'PEM Electrolyser'!E52,'PEM Electrolyser'!E63,E73,E83)</f>
        <v>138.22</v>
      </c>
      <c r="F41" s="132">
        <f>CHOOSE(MATCH($B$38,Scenario_list!$B$2:$B$5,0),'PEM Electrolyser'!F52,'PEM Electrolyser'!F63,F73,F83)</f>
        <v>138.22</v>
      </c>
      <c r="G41" s="132">
        <f>CHOOSE(MATCH($B$38,Scenario_list!$B$2:$B$5,0),'PEM Electrolyser'!G52,'PEM Electrolyser'!G63,G73,G83)</f>
        <v>138.22</v>
      </c>
      <c r="H41" s="132">
        <f>CHOOSE(MATCH($B$38,Scenario_list!$B$2:$B$5,0),'PEM Electrolyser'!H52,'PEM Electrolyser'!H63,H73,H83)</f>
        <v>138.22</v>
      </c>
      <c r="I41" s="132">
        <f>CHOOSE(MATCH($B$38,Scenario_list!$B$2:$B$5,0),'PEM Electrolyser'!I52,'PEM Electrolyser'!I63,I73,I83)</f>
        <v>138.22</v>
      </c>
      <c r="J41" s="132">
        <f>CHOOSE(MATCH($B$38,Scenario_list!$B$2:$B$5,0),'PEM Electrolyser'!J52,'PEM Electrolyser'!J63,J73,J83)</f>
        <v>138.22</v>
      </c>
      <c r="K41" s="132">
        <f>CHOOSE(MATCH($B$38,Scenario_list!$B$2:$B$5,0),'PEM Electrolyser'!K52,'PEM Electrolyser'!K63,K73,K83)</f>
        <v>138.22</v>
      </c>
      <c r="L41" s="132">
        <f>CHOOSE(MATCH($B$38,Scenario_list!$B$2:$B$5,0),'PEM Electrolyser'!L52,'PEM Electrolyser'!L63,L73,L83)</f>
        <v>138.22</v>
      </c>
      <c r="M41" s="132">
        <f>CHOOSE(MATCH($B$38,Scenario_list!$B$2:$B$5,0),'PEM Electrolyser'!M52,'PEM Electrolyser'!M63,M73,M83)</f>
        <v>138.22</v>
      </c>
      <c r="N41" s="132">
        <f>CHOOSE(MATCH($B$38,Scenario_list!$B$2:$B$5,0),'PEM Electrolyser'!N52,'PEM Electrolyser'!N63,N73,N83)</f>
        <v>138.22</v>
      </c>
      <c r="O41" s="132">
        <f>CHOOSE(MATCH($B$38,Scenario_list!$B$2:$B$5,0),'PEM Electrolyser'!O52,'PEM Electrolyser'!O63,O73,O83)</f>
        <v>138.22</v>
      </c>
      <c r="P41" s="132">
        <f>CHOOSE(MATCH($B$38,Scenario_list!$B$2:$B$5,0),'PEM Electrolyser'!P52,'PEM Electrolyser'!P63,P73,P83)</f>
        <v>138.22</v>
      </c>
      <c r="Q41" s="132">
        <f>CHOOSE(MATCH($B$38,Scenario_list!$B$2:$B$5,0),'PEM Electrolyser'!Q52,'PEM Electrolyser'!Q63,Q73,Q83)</f>
        <v>138.22</v>
      </c>
      <c r="R41" s="132">
        <f>CHOOSE(MATCH($B$38,Scenario_list!$B$2:$B$5,0),'PEM Electrolyser'!R52,'PEM Electrolyser'!R63,R73,R83)</f>
        <v>138.22</v>
      </c>
      <c r="S41" s="132">
        <f>CHOOSE(MATCH($B$38,Scenario_list!$B$2:$B$5,0),'PEM Electrolyser'!S52,'PEM Electrolyser'!S63,S73,S83)</f>
        <v>138.22</v>
      </c>
      <c r="T41" s="132">
        <f>CHOOSE(MATCH($B$38,Scenario_list!$B$2:$B$5,0),'PEM Electrolyser'!T52,'PEM Electrolyser'!T63,T73,T83)</f>
        <v>138.22</v>
      </c>
      <c r="U41" s="132">
        <f>CHOOSE(MATCH($B$38,Scenario_list!$B$2:$B$5,0),'PEM Electrolyser'!U52,'PEM Electrolyser'!U63,U73,U83)</f>
        <v>138.22</v>
      </c>
      <c r="V41" s="132">
        <f>CHOOSE(MATCH($B$38,Scenario_list!$B$2:$B$5,0),'PEM Electrolyser'!V52,'PEM Electrolyser'!V63,V73,V83)</f>
        <v>138.22</v>
      </c>
      <c r="W41" s="132">
        <f>CHOOSE(MATCH($B$38,Scenario_list!$B$2:$B$5,0),'PEM Electrolyser'!W52,'PEM Electrolyser'!W63,W73,W83)</f>
        <v>138.22</v>
      </c>
      <c r="X41" s="133">
        <f>CHOOSE(MATCH($B$38,Scenario_list!$B$2:$B$5,0),'PEM Electrolyser'!X52,'PEM Electrolyser'!X63,X73,X83)</f>
        <v>138.22</v>
      </c>
    </row>
    <row r="42" spans="2:24">
      <c r="B42" s="134" t="s">
        <v>197</v>
      </c>
      <c r="C42" t="s">
        <v>170</v>
      </c>
      <c r="E42" s="132">
        <f>CHOOSE(MATCH($B$38,Scenario_list!$B$2:$B$5,0),'PEM Electrolyser'!E53,'PEM Electrolyser'!E64,E74,E84)</f>
        <v>436.59000000000003</v>
      </c>
      <c r="F42" s="132">
        <f>CHOOSE(MATCH($B$38,Scenario_list!$B$2:$B$5,0),'PEM Electrolyser'!F53,'PEM Electrolyser'!F64,F74,F84)</f>
        <v>425.67525000000001</v>
      </c>
      <c r="G42" s="132">
        <f>CHOOSE(MATCH($B$38,Scenario_list!$B$2:$B$5,0),'PEM Electrolyser'!G53,'PEM Electrolyser'!G64,G74,G84)</f>
        <v>415.03336875000002</v>
      </c>
      <c r="H42" s="132">
        <f>CHOOSE(MATCH($B$38,Scenario_list!$B$2:$B$5,0),'PEM Electrolyser'!H53,'PEM Electrolyser'!H64,H74,H84)</f>
        <v>404.65753453125001</v>
      </c>
      <c r="I42" s="132">
        <f>CHOOSE(MATCH($B$38,Scenario_list!$B$2:$B$5,0),'PEM Electrolyser'!I53,'PEM Electrolyser'!I64,I74,I84)</f>
        <v>394.5410961679687</v>
      </c>
      <c r="J42" s="132">
        <f>CHOOSE(MATCH($B$38,Scenario_list!$B$2:$B$5,0),'PEM Electrolyser'!J53,'PEM Electrolyser'!J64,J74,J84)</f>
        <v>384.67756876376956</v>
      </c>
      <c r="K42" s="132">
        <f>CHOOSE(MATCH($B$38,Scenario_list!$B$2:$B$5,0),'PEM Electrolyser'!K53,'PEM Electrolyser'!K64,K74,K84)</f>
        <v>375.06062954467529</v>
      </c>
      <c r="L42" s="132">
        <f>CHOOSE(MATCH($B$38,Scenario_list!$B$2:$B$5,0),'PEM Electrolyser'!L53,'PEM Electrolyser'!L64,L74,L84)</f>
        <v>365.68411380605835</v>
      </c>
      <c r="M42" s="132">
        <f>CHOOSE(MATCH($B$38,Scenario_list!$B$2:$B$5,0),'PEM Electrolyser'!M53,'PEM Electrolyser'!M64,M74,M84)</f>
        <v>356.54201096090691</v>
      </c>
      <c r="N42" s="132">
        <f>CHOOSE(MATCH($B$38,Scenario_list!$B$2:$B$5,0),'PEM Electrolyser'!N53,'PEM Electrolyser'!N64,N74,N84)</f>
        <v>347.62846068688424</v>
      </c>
      <c r="O42" s="132">
        <f>CHOOSE(MATCH($B$38,Scenario_list!$B$2:$B$5,0),'PEM Electrolyser'!O53,'PEM Electrolyser'!O64,O74,O84)</f>
        <v>338.93774916971216</v>
      </c>
      <c r="P42" s="132">
        <f>CHOOSE(MATCH($B$38,Scenario_list!$B$2:$B$5,0),'PEM Electrolyser'!P53,'PEM Electrolyser'!P64,P74,P84)</f>
        <v>330.46430544046933</v>
      </c>
      <c r="Q42" s="132">
        <f>CHOOSE(MATCH($B$38,Scenario_list!$B$2:$B$5,0),'PEM Electrolyser'!Q53,'PEM Electrolyser'!Q64,Q74,Q84)</f>
        <v>322.20269780445756</v>
      </c>
      <c r="R42" s="132">
        <f>CHOOSE(MATCH($B$38,Scenario_list!$B$2:$B$5,0),'PEM Electrolyser'!R53,'PEM Electrolyser'!R64,R74,R84)</f>
        <v>314.14763035934618</v>
      </c>
      <c r="S42" s="132">
        <f>CHOOSE(MATCH($B$38,Scenario_list!$B$2:$B$5,0),'PEM Electrolyser'!S53,'PEM Electrolyser'!S64,S74,S84)</f>
        <v>306.29393960036242</v>
      </c>
      <c r="T42" s="132">
        <f>CHOOSE(MATCH($B$38,Scenario_list!$B$2:$B$5,0),'PEM Electrolyser'!T53,'PEM Electrolyser'!T64,T74,T84)</f>
        <v>298.63659111035338</v>
      </c>
      <c r="U42" s="132">
        <f>CHOOSE(MATCH($B$38,Scenario_list!$B$2:$B$5,0),'PEM Electrolyser'!U53,'PEM Electrolyser'!U64,U74,U84)</f>
        <v>291.17067633259455</v>
      </c>
      <c r="V42" s="132">
        <f>CHOOSE(MATCH($B$38,Scenario_list!$B$2:$B$5,0),'PEM Electrolyser'!V53,'PEM Electrolyser'!V64,V74,V84)</f>
        <v>283.89140942427974</v>
      </c>
      <c r="W42" s="132">
        <f>CHOOSE(MATCH($B$38,Scenario_list!$B$2:$B$5,0),'PEM Electrolyser'!W53,'PEM Electrolyser'!W64,W74,W84)</f>
        <v>276.7941241886727</v>
      </c>
      <c r="X42" s="133">
        <f>CHOOSE(MATCH($B$38,Scenario_list!$B$2:$B$5,0),'PEM Electrolyser'!X53,'PEM Electrolyser'!X64,X74,X84)</f>
        <v>269.87427108395593</v>
      </c>
    </row>
    <row r="43" spans="2:24" s="13" customFormat="1">
      <c r="B43" s="130" t="s">
        <v>195</v>
      </c>
      <c r="C43" s="13" t="s">
        <v>174</v>
      </c>
      <c r="E43" s="135">
        <f>CHOOSE(MATCH($B$38,Scenario_list!$B$2:$B$5,0),'PEM Electrolyser'!E54,'PEM Electrolyser'!E65,E75,E85)</f>
        <v>-29285.029680789467</v>
      </c>
      <c r="F43" s="135">
        <f>CHOOSE(MATCH($B$38,Scenario_list!$B$2:$B$5,0),'PEM Electrolyser'!F54,'PEM Electrolyser'!F65,F75,F85)</f>
        <v>-29285.029680789467</v>
      </c>
      <c r="G43" s="135">
        <f>CHOOSE(MATCH($B$38,Scenario_list!$B$2:$B$5,0),'PEM Electrolyser'!G54,'PEM Electrolyser'!G65,G75,G85)</f>
        <v>-29285.029680789467</v>
      </c>
      <c r="H43" s="135">
        <f>CHOOSE(MATCH($B$38,Scenario_list!$B$2:$B$5,0),'PEM Electrolyser'!H54,'PEM Electrolyser'!H65,H75,H85)</f>
        <v>-29285.029680789467</v>
      </c>
      <c r="I43" s="135">
        <f>CHOOSE(MATCH($B$38,Scenario_list!$B$2:$B$5,0),'PEM Electrolyser'!I54,'PEM Electrolyser'!I65,I75,I85)</f>
        <v>-29285.029680789467</v>
      </c>
      <c r="J43" s="135">
        <f>CHOOSE(MATCH($B$38,Scenario_list!$B$2:$B$5,0),'PEM Electrolyser'!J54,'PEM Electrolyser'!J65,J75,J85)</f>
        <v>-29285.029680789467</v>
      </c>
      <c r="K43" s="135">
        <f>CHOOSE(MATCH($B$38,Scenario_list!$B$2:$B$5,0),'PEM Electrolyser'!K54,'PEM Electrolyser'!K65,K75,K85)</f>
        <v>-29285.029680789467</v>
      </c>
      <c r="L43" s="135">
        <f>CHOOSE(MATCH($B$38,Scenario_list!$B$2:$B$5,0),'PEM Electrolyser'!L54,'PEM Electrolyser'!L65,L75,L85)</f>
        <v>-29285.029680789467</v>
      </c>
      <c r="M43" s="135">
        <f>CHOOSE(MATCH($B$38,Scenario_list!$B$2:$B$5,0),'PEM Electrolyser'!M54,'PEM Electrolyser'!M65,M75,M85)</f>
        <v>-29285.029680789467</v>
      </c>
      <c r="N43" s="135">
        <f>CHOOSE(MATCH($B$38,Scenario_list!$B$2:$B$5,0),'PEM Electrolyser'!N54,'PEM Electrolyser'!N65,N75,N85)</f>
        <v>-29285.029680789467</v>
      </c>
      <c r="O43" s="135">
        <f>CHOOSE(MATCH($B$38,Scenario_list!$B$2:$B$5,0),'PEM Electrolyser'!O54,'PEM Electrolyser'!O65,O75,O85)</f>
        <v>-29285.029680789467</v>
      </c>
      <c r="P43" s="135">
        <f>CHOOSE(MATCH($B$38,Scenario_list!$B$2:$B$5,0),'PEM Electrolyser'!P54,'PEM Electrolyser'!P65,P75,P85)</f>
        <v>-29285.029680789467</v>
      </c>
      <c r="Q43" s="135">
        <f>CHOOSE(MATCH($B$38,Scenario_list!$B$2:$B$5,0),'PEM Electrolyser'!Q54,'PEM Electrolyser'!Q65,Q75,Q85)</f>
        <v>-29285.029680789467</v>
      </c>
      <c r="R43" s="135">
        <f>CHOOSE(MATCH($B$38,Scenario_list!$B$2:$B$5,0),'PEM Electrolyser'!R54,'PEM Electrolyser'!R65,R75,R85)</f>
        <v>-29285.029680789467</v>
      </c>
      <c r="S43" s="135">
        <f>CHOOSE(MATCH($B$38,Scenario_list!$B$2:$B$5,0),'PEM Electrolyser'!S54,'PEM Electrolyser'!S65,S75,S85)</f>
        <v>-29285.029680789467</v>
      </c>
      <c r="T43" s="135">
        <f>CHOOSE(MATCH($B$38,Scenario_list!$B$2:$B$5,0),'PEM Electrolyser'!T54,'PEM Electrolyser'!T65,T75,T85)</f>
        <v>-29285.029680789467</v>
      </c>
      <c r="U43" s="135">
        <f>CHOOSE(MATCH($B$38,Scenario_list!$B$2:$B$5,0),'PEM Electrolyser'!U54,'PEM Electrolyser'!U65,U75,U85)</f>
        <v>-29285.029680789467</v>
      </c>
      <c r="V43" s="135">
        <f>CHOOSE(MATCH($B$38,Scenario_list!$B$2:$B$5,0),'PEM Electrolyser'!V54,'PEM Electrolyser'!V65,V75,V85)</f>
        <v>-29285.029680789467</v>
      </c>
      <c r="W43" s="135">
        <f>CHOOSE(MATCH($B$38,Scenario_list!$B$2:$B$5,0),'PEM Electrolyser'!W54,'PEM Electrolyser'!W65,W75,W85)</f>
        <v>-29285.029680789467</v>
      </c>
      <c r="X43" s="136">
        <f>CHOOSE(MATCH($B$38,Scenario_list!$B$2:$B$5,0),'PEM Electrolyser'!X54,'PEM Electrolyser'!X65,X75,X85)</f>
        <v>-29285.029680789467</v>
      </c>
    </row>
    <row r="44" spans="2:24">
      <c r="B44" s="134" t="s">
        <v>236</v>
      </c>
      <c r="C44" t="s">
        <v>196</v>
      </c>
      <c r="E44" s="132">
        <f>CHOOSE(MATCH($B$38,Scenario_list!$B$2:$B$5,0),'PEM Electrolyser'!E55,'PEM Electrolyser'!E66,E76,E86)</f>
        <v>138.22</v>
      </c>
      <c r="F44" s="132">
        <f>CHOOSE(MATCH($B$38,Scenario_list!$B$2:$B$5,0),'PEM Electrolyser'!F55,'PEM Electrolyser'!F66,F76,F86)</f>
        <v>138.22</v>
      </c>
      <c r="G44" s="132">
        <f>CHOOSE(MATCH($B$38,Scenario_list!$B$2:$B$5,0),'PEM Electrolyser'!G55,'PEM Electrolyser'!G66,G76,G86)</f>
        <v>138.22</v>
      </c>
      <c r="H44" s="132">
        <f>CHOOSE(MATCH($B$38,Scenario_list!$B$2:$B$5,0),'PEM Electrolyser'!H55,'PEM Electrolyser'!H66,H76,H86)</f>
        <v>138.22</v>
      </c>
      <c r="I44" s="132">
        <f>CHOOSE(MATCH($B$38,Scenario_list!$B$2:$B$5,0),'PEM Electrolyser'!I55,'PEM Electrolyser'!I66,I76,I86)</f>
        <v>138.22</v>
      </c>
      <c r="J44" s="132">
        <f>CHOOSE(MATCH($B$38,Scenario_list!$B$2:$B$5,0),'PEM Electrolyser'!J55,'PEM Electrolyser'!J66,J76,J86)</f>
        <v>138.22</v>
      </c>
      <c r="K44" s="132">
        <f>CHOOSE(MATCH($B$38,Scenario_list!$B$2:$B$5,0),'PEM Electrolyser'!K55,'PEM Electrolyser'!K66,K76,K86)</f>
        <v>138.22</v>
      </c>
      <c r="L44" s="132">
        <f>CHOOSE(MATCH($B$38,Scenario_list!$B$2:$B$5,0),'PEM Electrolyser'!L55,'PEM Electrolyser'!L66,L76,L86)</f>
        <v>138.22</v>
      </c>
      <c r="M44" s="132">
        <f>CHOOSE(MATCH($B$38,Scenario_list!$B$2:$B$5,0),'PEM Electrolyser'!M55,'PEM Electrolyser'!M66,M76,M86)</f>
        <v>138.22</v>
      </c>
      <c r="N44" s="132">
        <f>CHOOSE(MATCH($B$38,Scenario_list!$B$2:$B$5,0),'PEM Electrolyser'!N55,'PEM Electrolyser'!N66,N76,N86)</f>
        <v>138.22</v>
      </c>
      <c r="O44" s="132">
        <f>CHOOSE(MATCH($B$38,Scenario_list!$B$2:$B$5,0),'PEM Electrolyser'!O55,'PEM Electrolyser'!O66,O76,O86)</f>
        <v>138.22</v>
      </c>
      <c r="P44" s="132">
        <f>CHOOSE(MATCH($B$38,Scenario_list!$B$2:$B$5,0),'PEM Electrolyser'!P55,'PEM Electrolyser'!P66,P76,P86)</f>
        <v>138.22</v>
      </c>
      <c r="Q44" s="132">
        <f>CHOOSE(MATCH($B$38,Scenario_list!$B$2:$B$5,0),'PEM Electrolyser'!Q55,'PEM Electrolyser'!Q66,Q76,Q86)</f>
        <v>138.22</v>
      </c>
      <c r="R44" s="132">
        <f>CHOOSE(MATCH($B$38,Scenario_list!$B$2:$B$5,0),'PEM Electrolyser'!R55,'PEM Electrolyser'!R66,R76,R86)</f>
        <v>138.22</v>
      </c>
      <c r="S44" s="132">
        <f>CHOOSE(MATCH($B$38,Scenario_list!$B$2:$B$5,0),'PEM Electrolyser'!S55,'PEM Electrolyser'!S66,S76,S86)</f>
        <v>138.22</v>
      </c>
      <c r="T44" s="132">
        <f>CHOOSE(MATCH($B$38,Scenario_list!$B$2:$B$5,0),'PEM Electrolyser'!T55,'PEM Electrolyser'!T66,T76,T86)</f>
        <v>138.22</v>
      </c>
      <c r="U44" s="132">
        <f>CHOOSE(MATCH($B$38,Scenario_list!$B$2:$B$5,0),'PEM Electrolyser'!U55,'PEM Electrolyser'!U66,U76,U86)</f>
        <v>138.22</v>
      </c>
      <c r="V44" s="132">
        <f>CHOOSE(MATCH($B$38,Scenario_list!$B$2:$B$5,0),'PEM Electrolyser'!V55,'PEM Electrolyser'!V66,V76,V86)</f>
        <v>138.22</v>
      </c>
      <c r="W44" s="132">
        <f>CHOOSE(MATCH($B$38,Scenario_list!$B$2:$B$5,0),'PEM Electrolyser'!W55,'PEM Electrolyser'!W66,W76,W86)</f>
        <v>138.22</v>
      </c>
      <c r="X44" s="133">
        <f>CHOOSE(MATCH($B$38,Scenario_list!$B$2:$B$5,0),'PEM Electrolyser'!X55,'PEM Electrolyser'!X66,X76,X86)</f>
        <v>138.22</v>
      </c>
    </row>
    <row r="45" spans="2:24">
      <c r="B45" s="134" t="s">
        <v>198</v>
      </c>
      <c r="C45" t="s">
        <v>170</v>
      </c>
      <c r="E45" s="132">
        <f>CHOOSE(MATCH($B$38,Scenario_list!$B$2:$B$5,0),'PEM Electrolyser'!E56,'PEM Electrolyser'!E67,E77,E87)</f>
        <v>211.8725921052631</v>
      </c>
      <c r="F45" s="132">
        <f>CHOOSE(MATCH($B$38,Scenario_list!$B$2:$B$5,0),'PEM Electrolyser'!F56,'PEM Electrolyser'!F67,F77,F87)</f>
        <v>211.8725921052631</v>
      </c>
      <c r="G45" s="132">
        <f>CHOOSE(MATCH($B$38,Scenario_list!$B$2:$B$5,0),'PEM Electrolyser'!G56,'PEM Electrolyser'!G67,G77,G87)</f>
        <v>211.8725921052631</v>
      </c>
      <c r="H45" s="132">
        <f>CHOOSE(MATCH($B$38,Scenario_list!$B$2:$B$5,0),'PEM Electrolyser'!H56,'PEM Electrolyser'!H67,H77,H87)</f>
        <v>211.8725921052631</v>
      </c>
      <c r="I45" s="132">
        <f>CHOOSE(MATCH($B$38,Scenario_list!$B$2:$B$5,0),'PEM Electrolyser'!I56,'PEM Electrolyser'!I67,I77,I87)</f>
        <v>211.8725921052631</v>
      </c>
      <c r="J45" s="132">
        <f>CHOOSE(MATCH($B$38,Scenario_list!$B$2:$B$5,0),'PEM Electrolyser'!J56,'PEM Electrolyser'!J67,J77,J87)</f>
        <v>211.8725921052631</v>
      </c>
      <c r="K45" s="132">
        <f>CHOOSE(MATCH($B$38,Scenario_list!$B$2:$B$5,0),'PEM Electrolyser'!K56,'PEM Electrolyser'!K67,K77,K87)</f>
        <v>211.8725921052631</v>
      </c>
      <c r="L45" s="132">
        <f>CHOOSE(MATCH($B$38,Scenario_list!$B$2:$B$5,0),'PEM Electrolyser'!L56,'PEM Electrolyser'!L67,L77,L87)</f>
        <v>211.8725921052631</v>
      </c>
      <c r="M45" s="132">
        <f>CHOOSE(MATCH($B$38,Scenario_list!$B$2:$B$5,0),'PEM Electrolyser'!M56,'PEM Electrolyser'!M67,M77,M87)</f>
        <v>211.8725921052631</v>
      </c>
      <c r="N45" s="132">
        <f>CHOOSE(MATCH($B$38,Scenario_list!$B$2:$B$5,0),'PEM Electrolyser'!N56,'PEM Electrolyser'!N67,N77,N87)</f>
        <v>211.8725921052631</v>
      </c>
      <c r="O45" s="132">
        <f>CHOOSE(MATCH($B$38,Scenario_list!$B$2:$B$5,0),'PEM Electrolyser'!O56,'PEM Electrolyser'!O67,O77,O87)</f>
        <v>211.8725921052631</v>
      </c>
      <c r="P45" s="132">
        <f>CHOOSE(MATCH($B$38,Scenario_list!$B$2:$B$5,0),'PEM Electrolyser'!P56,'PEM Electrolyser'!P67,P77,P87)</f>
        <v>211.8725921052631</v>
      </c>
      <c r="Q45" s="132">
        <f>CHOOSE(MATCH($B$38,Scenario_list!$B$2:$B$5,0),'PEM Electrolyser'!Q56,'PEM Electrolyser'!Q67,Q77,Q87)</f>
        <v>211.8725921052631</v>
      </c>
      <c r="R45" s="132">
        <f>CHOOSE(MATCH($B$38,Scenario_list!$B$2:$B$5,0),'PEM Electrolyser'!R56,'PEM Electrolyser'!R67,R77,R87)</f>
        <v>211.8725921052631</v>
      </c>
      <c r="S45" s="132">
        <f>CHOOSE(MATCH($B$38,Scenario_list!$B$2:$B$5,0),'PEM Electrolyser'!S56,'PEM Electrolyser'!S67,S77,S87)</f>
        <v>211.8725921052631</v>
      </c>
      <c r="T45" s="132">
        <f>CHOOSE(MATCH($B$38,Scenario_list!$B$2:$B$5,0),'PEM Electrolyser'!T56,'PEM Electrolyser'!T67,T77,T87)</f>
        <v>211.8725921052631</v>
      </c>
      <c r="U45" s="132">
        <f>CHOOSE(MATCH($B$38,Scenario_list!$B$2:$B$5,0),'PEM Electrolyser'!U56,'PEM Electrolyser'!U67,U77,U87)</f>
        <v>211.8725921052631</v>
      </c>
      <c r="V45" s="132">
        <f>CHOOSE(MATCH($B$38,Scenario_list!$B$2:$B$5,0),'PEM Electrolyser'!V56,'PEM Electrolyser'!V67,V77,V87)</f>
        <v>211.8725921052631</v>
      </c>
      <c r="W45" s="132">
        <f>CHOOSE(MATCH($B$38,Scenario_list!$B$2:$B$5,0),'PEM Electrolyser'!W56,'PEM Electrolyser'!W67,W77,W87)</f>
        <v>211.8725921052631</v>
      </c>
      <c r="X45" s="133">
        <f>CHOOSE(MATCH($B$38,Scenario_list!$B$2:$B$5,0),'PEM Electrolyser'!X56,'PEM Electrolyser'!X67,X77,X87)</f>
        <v>211.8725921052631</v>
      </c>
    </row>
    <row r="46" spans="2:24" s="13" customFormat="1">
      <c r="B46" s="130" t="s">
        <v>185</v>
      </c>
      <c r="C46" s="13" t="s">
        <v>174</v>
      </c>
      <c r="D46" s="137"/>
      <c r="E46" s="135">
        <f>CHOOSE(MATCH($B$38,Scenario_list!$B$2:$B$5,0),'PEM Electrolyser'!E57,'PEM Electrolyser'!E68,E78,E88)</f>
        <v>30321.500519210527</v>
      </c>
      <c r="F46" s="135">
        <f>CHOOSE(MATCH($B$38,Scenario_list!$B$2:$B$5,0),'PEM Electrolyser'!F57,'PEM Electrolyser'!F68,F78,F88)</f>
        <v>31830.137264210531</v>
      </c>
      <c r="G46" s="135">
        <f>CHOOSE(MATCH($B$38,Scenario_list!$B$2:$B$5,0),'PEM Electrolyser'!G57,'PEM Electrolyser'!G68,G78,G88)</f>
        <v>33301.058090585531</v>
      </c>
      <c r="H46" s="135">
        <f>CHOOSE(MATCH($B$38,Scenario_list!$B$2:$B$5,0),'PEM Electrolyser'!H57,'PEM Electrolyser'!H68,H78,H88)</f>
        <v>34735.205896301151</v>
      </c>
      <c r="I46" s="135">
        <f>CHOOSE(MATCH($B$38,Scenario_list!$B$2:$B$5,0),'PEM Electrolyser'!I57,'PEM Electrolyser'!I68,I78,I88)</f>
        <v>36133.500006873903</v>
      </c>
      <c r="J46" s="135">
        <f>CHOOSE(MATCH($B$38,Scenario_list!$B$2:$B$5,0),'PEM Electrolyser'!J57,'PEM Electrolyser'!J68,J78,J88)</f>
        <v>37496.836764682303</v>
      </c>
      <c r="K46" s="135">
        <f>CHOOSE(MATCH($B$38,Scenario_list!$B$2:$B$5,0),'PEM Electrolyser'!K57,'PEM Electrolyser'!K68,K78,K88)</f>
        <v>38826.090103545517</v>
      </c>
      <c r="L46" s="135">
        <f>CHOOSE(MATCH($B$38,Scenario_list!$B$2:$B$5,0),'PEM Electrolyser'!L57,'PEM Electrolyser'!L68,L78,L88)</f>
        <v>40122.112108937159</v>
      </c>
      <c r="M46" s="135">
        <f>CHOOSE(MATCH($B$38,Scenario_list!$B$2:$B$5,0),'PEM Electrolyser'!M57,'PEM Electrolyser'!M68,M78,M88)</f>
        <v>41385.733564193986</v>
      </c>
      <c r="N46" s="135">
        <f>CHOOSE(MATCH($B$38,Scenario_list!$B$2:$B$5,0),'PEM Electrolyser'!N57,'PEM Electrolyser'!N68,N78,N88)</f>
        <v>42617.764483069404</v>
      </c>
      <c r="O46" s="135">
        <f>CHOOSE(MATCH($B$38,Scenario_list!$B$2:$B$5,0),'PEM Electrolyser'!O57,'PEM Electrolyser'!O68,O78,O88)</f>
        <v>43818.994628972912</v>
      </c>
      <c r="P46" s="135">
        <f>CHOOSE(MATCH($B$38,Scenario_list!$B$2:$B$5,0),'PEM Electrolyser'!P57,'PEM Electrolyser'!P68,P78,P88)</f>
        <v>44990.194021228861</v>
      </c>
      <c r="Q46" s="135">
        <f>CHOOSE(MATCH($B$38,Scenario_list!$B$2:$B$5,0),'PEM Electrolyser'!Q57,'PEM Electrolyser'!Q68,Q78,Q88)</f>
        <v>46132.113428678407</v>
      </c>
      <c r="R46" s="135">
        <f>CHOOSE(MATCH($B$38,Scenario_list!$B$2:$B$5,0),'PEM Electrolyser'!R57,'PEM Electrolyser'!R68,R78,R88)</f>
        <v>47245.484850941706</v>
      </c>
      <c r="S46" s="135">
        <f>CHOOSE(MATCH($B$38,Scenario_list!$B$2:$B$5,0),'PEM Electrolyser'!S57,'PEM Electrolyser'!S68,S78,S88)</f>
        <v>48331.021987648433</v>
      </c>
      <c r="T46" s="135">
        <f>CHOOSE(MATCH($B$38,Scenario_list!$B$2:$B$5,0),'PEM Electrolyser'!T57,'PEM Electrolyser'!T68,T78,T88)</f>
        <v>49389.420695937486</v>
      </c>
      <c r="U46" s="135">
        <f>CHOOSE(MATCH($B$38,Scenario_list!$B$2:$B$5,0),'PEM Electrolyser'!U57,'PEM Electrolyser'!U68,U78,U88)</f>
        <v>50421.359436519313</v>
      </c>
      <c r="V46" s="135">
        <f>CHOOSE(MATCH($B$38,Scenario_list!$B$2:$B$5,0),'PEM Electrolyser'!V57,'PEM Electrolyser'!V68,V78,V88)</f>
        <v>51427.499708586591</v>
      </c>
      <c r="W46" s="135">
        <f>CHOOSE(MATCH($B$38,Scenario_list!$B$2:$B$5,0),'PEM Electrolyser'!W57,'PEM Electrolyser'!W68,W78,W88)</f>
        <v>52408.486473852201</v>
      </c>
      <c r="X46" s="136">
        <f>CHOOSE(MATCH($B$38,Scenario_list!$B$2:$B$5,0),'PEM Electrolyser'!X57,'PEM Electrolyser'!X68,X78,X88)</f>
        <v>53364.94856998614</v>
      </c>
    </row>
    <row r="47" spans="2:24" s="13" customFormat="1">
      <c r="B47" s="138" t="s">
        <v>240</v>
      </c>
      <c r="C47" s="139"/>
      <c r="D47" s="140"/>
      <c r="E47" s="141"/>
      <c r="F47" s="141"/>
      <c r="G47" s="141"/>
      <c r="H47" s="141"/>
      <c r="I47" s="141"/>
      <c r="J47" s="141"/>
      <c r="K47" s="141"/>
      <c r="L47" s="141"/>
      <c r="M47" s="141"/>
      <c r="N47" s="141"/>
      <c r="O47" s="141"/>
      <c r="P47" s="141"/>
      <c r="Q47" s="141"/>
      <c r="R47" s="141"/>
      <c r="S47" s="141"/>
      <c r="T47" s="141"/>
      <c r="U47" s="141"/>
      <c r="V47" s="141"/>
      <c r="W47" s="141"/>
      <c r="X47" s="142"/>
    </row>
    <row r="48" spans="2:24" s="13" customFormat="1">
      <c r="B48" s="117" t="s">
        <v>241</v>
      </c>
      <c r="C48" s="82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</row>
    <row r="49" spans="2:24">
      <c r="B49" s="15" t="s">
        <v>238</v>
      </c>
    </row>
    <row r="50" spans="2:24">
      <c r="B50" t="s">
        <v>151</v>
      </c>
      <c r="C50" t="s">
        <v>171</v>
      </c>
      <c r="D50" s="26">
        <f>'Grid + solar + CAISO'!A6</f>
        <v>59.5</v>
      </c>
    </row>
    <row r="51" spans="2:24" s="13" customFormat="1">
      <c r="B51" s="13" t="s">
        <v>194</v>
      </c>
      <c r="C51" s="13" t="s">
        <v>174</v>
      </c>
      <c r="D51" s="73"/>
      <c r="E51" s="120">
        <f>-E52*E53</f>
        <v>-60345.469800000006</v>
      </c>
      <c r="F51" s="120">
        <f t="shared" ref="F51:X51" si="7">-F52*F53</f>
        <v>-58836.833055000003</v>
      </c>
      <c r="G51" s="120">
        <f t="shared" si="7"/>
        <v>-57365.912228625006</v>
      </c>
      <c r="H51" s="120">
        <f t="shared" si="7"/>
        <v>-55931.764422909378</v>
      </c>
      <c r="I51" s="120">
        <f t="shared" si="7"/>
        <v>-54533.470312336634</v>
      </c>
      <c r="J51" s="120">
        <f t="shared" si="7"/>
        <v>-53170.133554528227</v>
      </c>
      <c r="K51" s="120">
        <f t="shared" si="7"/>
        <v>-51840.88021566502</v>
      </c>
      <c r="L51" s="120">
        <f t="shared" si="7"/>
        <v>-50544.858210273385</v>
      </c>
      <c r="M51" s="120">
        <f t="shared" si="7"/>
        <v>-49281.236755016551</v>
      </c>
      <c r="N51" s="120">
        <f t="shared" si="7"/>
        <v>-48049.20583614114</v>
      </c>
      <c r="O51" s="120">
        <f t="shared" si="7"/>
        <v>-46847.975690237618</v>
      </c>
      <c r="P51" s="120">
        <f t="shared" si="7"/>
        <v>-45676.776297981669</v>
      </c>
      <c r="Q51" s="120">
        <f t="shared" si="7"/>
        <v>-44534.856890532123</v>
      </c>
      <c r="R51" s="120">
        <f t="shared" si="7"/>
        <v>-43421.485468268831</v>
      </c>
      <c r="S51" s="120">
        <f t="shared" si="7"/>
        <v>-42335.948331562096</v>
      </c>
      <c r="T51" s="120">
        <f t="shared" si="7"/>
        <v>-41277.549623273044</v>
      </c>
      <c r="U51" s="120">
        <f t="shared" si="7"/>
        <v>-40245.610882691217</v>
      </c>
      <c r="V51" s="120">
        <f t="shared" si="7"/>
        <v>-39239.470610623946</v>
      </c>
      <c r="W51" s="120">
        <f t="shared" si="7"/>
        <v>-38258.483845358343</v>
      </c>
      <c r="X51" s="120">
        <f t="shared" si="7"/>
        <v>-37302.02174922439</v>
      </c>
    </row>
    <row r="52" spans="2:24">
      <c r="B52" s="54" t="s">
        <v>237</v>
      </c>
      <c r="C52" t="s">
        <v>196</v>
      </c>
      <c r="E52" s="121">
        <f>'Grid + solar + CAISO'!A21</f>
        <v>138.22</v>
      </c>
      <c r="F52" s="122">
        <f>E52</f>
        <v>138.22</v>
      </c>
      <c r="G52" s="122">
        <f>F52</f>
        <v>138.22</v>
      </c>
      <c r="H52" s="122">
        <f t="shared" ref="H52:X52" si="8">G52</f>
        <v>138.22</v>
      </c>
      <c r="I52" s="122">
        <f t="shared" si="8"/>
        <v>138.22</v>
      </c>
      <c r="J52" s="122">
        <f t="shared" si="8"/>
        <v>138.22</v>
      </c>
      <c r="K52" s="122">
        <f t="shared" si="8"/>
        <v>138.22</v>
      </c>
      <c r="L52" s="122">
        <f t="shared" si="8"/>
        <v>138.22</v>
      </c>
      <c r="M52" s="122">
        <f t="shared" si="8"/>
        <v>138.22</v>
      </c>
      <c r="N52" s="122">
        <f t="shared" si="8"/>
        <v>138.22</v>
      </c>
      <c r="O52" s="122">
        <f t="shared" si="8"/>
        <v>138.22</v>
      </c>
      <c r="P52" s="122">
        <f t="shared" si="8"/>
        <v>138.22</v>
      </c>
      <c r="Q52" s="122">
        <f t="shared" si="8"/>
        <v>138.22</v>
      </c>
      <c r="R52" s="122">
        <f t="shared" si="8"/>
        <v>138.22</v>
      </c>
      <c r="S52" s="122">
        <f t="shared" si="8"/>
        <v>138.22</v>
      </c>
      <c r="T52" s="122">
        <f t="shared" si="8"/>
        <v>138.22</v>
      </c>
      <c r="U52" s="122">
        <f t="shared" si="8"/>
        <v>138.22</v>
      </c>
      <c r="V52" s="122">
        <f t="shared" si="8"/>
        <v>138.22</v>
      </c>
      <c r="W52" s="122">
        <f t="shared" si="8"/>
        <v>138.22</v>
      </c>
      <c r="X52" s="122">
        <f t="shared" si="8"/>
        <v>138.22</v>
      </c>
    </row>
    <row r="53" spans="2:24">
      <c r="B53" s="54" t="s">
        <v>197</v>
      </c>
      <c r="C53" t="s">
        <v>170</v>
      </c>
      <c r="E53" s="118">
        <f>'Model Initial - Battery Lazard'!E38</f>
        <v>436.59000000000003</v>
      </c>
      <c r="F53" s="123">
        <f>'Model Initial - Battery Lazard'!F38</f>
        <v>425.67525000000001</v>
      </c>
      <c r="G53" s="123">
        <f>'Model Initial - Battery Lazard'!G38</f>
        <v>415.03336875000002</v>
      </c>
      <c r="H53" s="123">
        <f>'Model Initial - Battery Lazard'!H38</f>
        <v>404.65753453125001</v>
      </c>
      <c r="I53" s="123">
        <f>'Model Initial - Battery Lazard'!I38</f>
        <v>394.5410961679687</v>
      </c>
      <c r="J53" s="123">
        <f>'Model Initial - Battery Lazard'!J38</f>
        <v>384.67756876376956</v>
      </c>
      <c r="K53" s="123">
        <f>'Model Initial - Battery Lazard'!K38</f>
        <v>375.06062954467529</v>
      </c>
      <c r="L53" s="123">
        <f>'Model Initial - Battery Lazard'!L38</f>
        <v>365.68411380605835</v>
      </c>
      <c r="M53" s="123">
        <f>'Model Initial - Battery Lazard'!M38</f>
        <v>356.54201096090691</v>
      </c>
      <c r="N53" s="123">
        <f>'Model Initial - Battery Lazard'!N38</f>
        <v>347.62846068688424</v>
      </c>
      <c r="O53" s="123">
        <f>'Model Initial - Battery Lazard'!O38</f>
        <v>338.93774916971216</v>
      </c>
      <c r="P53" s="123">
        <f>'Model Initial - Battery Lazard'!P38</f>
        <v>330.46430544046933</v>
      </c>
      <c r="Q53" s="123">
        <f>'Model Initial - Battery Lazard'!Q38</f>
        <v>322.20269780445756</v>
      </c>
      <c r="R53" s="123">
        <f>'Model Initial - Battery Lazard'!R38</f>
        <v>314.14763035934618</v>
      </c>
      <c r="S53" s="123">
        <f>'Model Initial - Battery Lazard'!S38</f>
        <v>306.29393960036242</v>
      </c>
      <c r="T53" s="123">
        <f>'Model Initial - Battery Lazard'!T38</f>
        <v>298.63659111035338</v>
      </c>
      <c r="U53" s="123">
        <f>'Model Initial - Battery Lazard'!U38</f>
        <v>291.17067633259455</v>
      </c>
      <c r="V53" s="123">
        <f>'Model Initial - Battery Lazard'!V38</f>
        <v>283.89140942427974</v>
      </c>
      <c r="W53" s="123">
        <f>'Model Initial - Battery Lazard'!W38</f>
        <v>276.7941241886727</v>
      </c>
      <c r="X53" s="123">
        <f>'Model Initial - Battery Lazard'!X38</f>
        <v>269.87427108395593</v>
      </c>
    </row>
    <row r="54" spans="2:24" s="13" customFormat="1">
      <c r="B54" s="13" t="s">
        <v>195</v>
      </c>
      <c r="C54" s="13" t="s">
        <v>174</v>
      </c>
      <c r="E54" s="124">
        <f>- E55*E56</f>
        <v>-29285.029680789467</v>
      </c>
      <c r="F54" s="124">
        <f t="shared" ref="F54:X54" si="9">- F55*F56</f>
        <v>-29285.029680789467</v>
      </c>
      <c r="G54" s="124">
        <f t="shared" si="9"/>
        <v>-29285.029680789467</v>
      </c>
      <c r="H54" s="124">
        <f t="shared" si="9"/>
        <v>-29285.029680789467</v>
      </c>
      <c r="I54" s="124">
        <f t="shared" si="9"/>
        <v>-29285.029680789467</v>
      </c>
      <c r="J54" s="124">
        <f t="shared" si="9"/>
        <v>-29285.029680789467</v>
      </c>
      <c r="K54" s="124">
        <f t="shared" si="9"/>
        <v>-29285.029680789467</v>
      </c>
      <c r="L54" s="124">
        <f t="shared" si="9"/>
        <v>-29285.029680789467</v>
      </c>
      <c r="M54" s="124">
        <f t="shared" si="9"/>
        <v>-29285.029680789467</v>
      </c>
      <c r="N54" s="124">
        <f t="shared" si="9"/>
        <v>-29285.029680789467</v>
      </c>
      <c r="O54" s="124">
        <f t="shared" si="9"/>
        <v>-29285.029680789467</v>
      </c>
      <c r="P54" s="124">
        <f t="shared" si="9"/>
        <v>-29285.029680789467</v>
      </c>
      <c r="Q54" s="124">
        <f t="shared" si="9"/>
        <v>-29285.029680789467</v>
      </c>
      <c r="R54" s="124">
        <f t="shared" si="9"/>
        <v>-29285.029680789467</v>
      </c>
      <c r="S54" s="124">
        <f t="shared" si="9"/>
        <v>-29285.029680789467</v>
      </c>
      <c r="T54" s="124">
        <f t="shared" si="9"/>
        <v>-29285.029680789467</v>
      </c>
      <c r="U54" s="124">
        <f t="shared" si="9"/>
        <v>-29285.029680789467</v>
      </c>
      <c r="V54" s="124">
        <f t="shared" si="9"/>
        <v>-29285.029680789467</v>
      </c>
      <c r="W54" s="124">
        <f t="shared" si="9"/>
        <v>-29285.029680789467</v>
      </c>
      <c r="X54" s="124">
        <f t="shared" si="9"/>
        <v>-29285.029680789467</v>
      </c>
    </row>
    <row r="55" spans="2:24">
      <c r="B55" s="54" t="s">
        <v>236</v>
      </c>
      <c r="C55" t="s">
        <v>196</v>
      </c>
      <c r="E55" s="121">
        <f>'Grid + solar + CAISO'!A21</f>
        <v>138.22</v>
      </c>
      <c r="F55" s="122">
        <f>E55</f>
        <v>138.22</v>
      </c>
      <c r="G55" s="122">
        <f t="shared" ref="G55:X55" si="10">F55</f>
        <v>138.22</v>
      </c>
      <c r="H55" s="122">
        <f t="shared" si="10"/>
        <v>138.22</v>
      </c>
      <c r="I55" s="122">
        <f t="shared" si="10"/>
        <v>138.22</v>
      </c>
      <c r="J55" s="122">
        <f t="shared" si="10"/>
        <v>138.22</v>
      </c>
      <c r="K55" s="122">
        <f t="shared" si="10"/>
        <v>138.22</v>
      </c>
      <c r="L55" s="122">
        <f t="shared" si="10"/>
        <v>138.22</v>
      </c>
      <c r="M55" s="122">
        <f t="shared" si="10"/>
        <v>138.22</v>
      </c>
      <c r="N55" s="122">
        <f t="shared" si="10"/>
        <v>138.22</v>
      </c>
      <c r="O55" s="122">
        <f t="shared" si="10"/>
        <v>138.22</v>
      </c>
      <c r="P55" s="122">
        <f t="shared" si="10"/>
        <v>138.22</v>
      </c>
      <c r="Q55" s="122">
        <f t="shared" si="10"/>
        <v>138.22</v>
      </c>
      <c r="R55" s="122">
        <f t="shared" si="10"/>
        <v>138.22</v>
      </c>
      <c r="S55" s="122">
        <f t="shared" si="10"/>
        <v>138.22</v>
      </c>
      <c r="T55" s="122">
        <f t="shared" si="10"/>
        <v>138.22</v>
      </c>
      <c r="U55" s="122">
        <f t="shared" si="10"/>
        <v>138.22</v>
      </c>
      <c r="V55" s="122">
        <f t="shared" si="10"/>
        <v>138.22</v>
      </c>
      <c r="W55" s="122">
        <f t="shared" si="10"/>
        <v>138.22</v>
      </c>
      <c r="X55" s="122">
        <f t="shared" si="10"/>
        <v>138.22</v>
      </c>
    </row>
    <row r="56" spans="2:24">
      <c r="B56" s="54" t="s">
        <v>198</v>
      </c>
      <c r="C56" t="s">
        <v>170</v>
      </c>
      <c r="E56" s="121">
        <f>'LCOS Solar + Degradation'!E9</f>
        <v>211.8725921052631</v>
      </c>
      <c r="F56" s="122">
        <f>'LCOS Solar + Degradation'!F9</f>
        <v>211.8725921052631</v>
      </c>
      <c r="G56" s="122">
        <f>'LCOS Solar + Degradation'!G9</f>
        <v>211.8725921052631</v>
      </c>
      <c r="H56" s="122">
        <f>'LCOS Solar + Degradation'!H9</f>
        <v>211.8725921052631</v>
      </c>
      <c r="I56" s="122">
        <f>'LCOS Solar + Degradation'!I9</f>
        <v>211.8725921052631</v>
      </c>
      <c r="J56" s="122">
        <f>'LCOS Solar + Degradation'!J9</f>
        <v>211.8725921052631</v>
      </c>
      <c r="K56" s="122">
        <f>'LCOS Solar + Degradation'!K9</f>
        <v>211.8725921052631</v>
      </c>
      <c r="L56" s="122">
        <f>'LCOS Solar + Degradation'!L9</f>
        <v>211.8725921052631</v>
      </c>
      <c r="M56" s="122">
        <f>'LCOS Solar + Degradation'!M9</f>
        <v>211.8725921052631</v>
      </c>
      <c r="N56" s="122">
        <f>'LCOS Solar + Degradation'!N9</f>
        <v>211.8725921052631</v>
      </c>
      <c r="O56" s="122">
        <f>'LCOS Solar + Degradation'!O9</f>
        <v>211.8725921052631</v>
      </c>
      <c r="P56" s="122">
        <f>'LCOS Solar + Degradation'!P9</f>
        <v>211.8725921052631</v>
      </c>
      <c r="Q56" s="122">
        <f>'LCOS Solar + Degradation'!Q9</f>
        <v>211.8725921052631</v>
      </c>
      <c r="R56" s="122">
        <f>'LCOS Solar + Degradation'!R9</f>
        <v>211.8725921052631</v>
      </c>
      <c r="S56" s="122">
        <f>'LCOS Solar + Degradation'!S9</f>
        <v>211.8725921052631</v>
      </c>
      <c r="T56" s="122">
        <f>'LCOS Solar + Degradation'!T9</f>
        <v>211.8725921052631</v>
      </c>
      <c r="U56" s="122">
        <f>'LCOS Solar + Degradation'!U9</f>
        <v>211.8725921052631</v>
      </c>
      <c r="V56" s="122">
        <f>'LCOS Solar + Degradation'!V9</f>
        <v>211.8725921052631</v>
      </c>
      <c r="W56" s="122">
        <f>'LCOS Solar + Degradation'!W9</f>
        <v>211.8725921052631</v>
      </c>
      <c r="X56" s="122">
        <f>'LCOS Solar + Degradation'!X9</f>
        <v>211.8725921052631</v>
      </c>
    </row>
    <row r="57" spans="2:24" s="13" customFormat="1">
      <c r="B57" s="13" t="s">
        <v>185</v>
      </c>
      <c r="C57" s="13" t="s">
        <v>174</v>
      </c>
      <c r="D57" s="116"/>
      <c r="E57" s="120">
        <f t="shared" ref="E57:X57" si="11">$D$50 * E7 / 10^3   + E51 + E54</f>
        <v>30321.500519210527</v>
      </c>
      <c r="F57" s="120">
        <f t="shared" si="11"/>
        <v>31830.137264210531</v>
      </c>
      <c r="G57" s="120">
        <f t="shared" si="11"/>
        <v>33301.058090585531</v>
      </c>
      <c r="H57" s="120">
        <f t="shared" si="11"/>
        <v>34735.205896301151</v>
      </c>
      <c r="I57" s="120">
        <f t="shared" si="11"/>
        <v>36133.500006873903</v>
      </c>
      <c r="J57" s="120">
        <f t="shared" si="11"/>
        <v>37496.836764682303</v>
      </c>
      <c r="K57" s="120">
        <f t="shared" si="11"/>
        <v>38826.090103545517</v>
      </c>
      <c r="L57" s="120">
        <f t="shared" si="11"/>
        <v>40122.112108937159</v>
      </c>
      <c r="M57" s="120">
        <f t="shared" si="11"/>
        <v>41385.733564193986</v>
      </c>
      <c r="N57" s="120">
        <f t="shared" si="11"/>
        <v>42617.764483069404</v>
      </c>
      <c r="O57" s="120">
        <f t="shared" si="11"/>
        <v>43818.994628972912</v>
      </c>
      <c r="P57" s="120">
        <f t="shared" si="11"/>
        <v>44990.194021228861</v>
      </c>
      <c r="Q57" s="120">
        <f t="shared" si="11"/>
        <v>46132.113428678407</v>
      </c>
      <c r="R57" s="120">
        <f t="shared" si="11"/>
        <v>47245.484850941706</v>
      </c>
      <c r="S57" s="120">
        <f t="shared" si="11"/>
        <v>48331.021987648433</v>
      </c>
      <c r="T57" s="120">
        <f t="shared" si="11"/>
        <v>49389.420695937486</v>
      </c>
      <c r="U57" s="120">
        <f t="shared" si="11"/>
        <v>50421.359436519313</v>
      </c>
      <c r="V57" s="120">
        <f t="shared" si="11"/>
        <v>51427.499708586591</v>
      </c>
      <c r="W57" s="120">
        <f t="shared" si="11"/>
        <v>52408.486473852201</v>
      </c>
      <c r="X57" s="120">
        <f t="shared" si="11"/>
        <v>53364.94856998614</v>
      </c>
    </row>
    <row r="58" spans="2:24" s="13" customFormat="1">
      <c r="B58" s="13" t="s">
        <v>240</v>
      </c>
      <c r="D58" s="116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</row>
    <row r="60" spans="2:24">
      <c r="B60" s="15" t="s">
        <v>239</v>
      </c>
    </row>
    <row r="61" spans="2:24">
      <c r="B61" s="112" t="s">
        <v>151</v>
      </c>
      <c r="C61" s="112" t="s">
        <v>171</v>
      </c>
      <c r="D61">
        <f>D50</f>
        <v>59.5</v>
      </c>
    </row>
    <row r="62" spans="2:24" s="13" customFormat="1">
      <c r="B62" s="13" t="s">
        <v>194</v>
      </c>
      <c r="C62" s="113" t="s">
        <v>174</v>
      </c>
      <c r="E62" s="164">
        <v>0</v>
      </c>
      <c r="F62" s="164">
        <v>0</v>
      </c>
      <c r="G62" s="164">
        <v>0</v>
      </c>
      <c r="H62" s="164">
        <v>0</v>
      </c>
      <c r="I62" s="164">
        <v>0</v>
      </c>
      <c r="J62" s="164">
        <v>0</v>
      </c>
      <c r="K62" s="164">
        <v>0</v>
      </c>
      <c r="L62" s="164">
        <v>0</v>
      </c>
      <c r="M62" s="164">
        <v>0</v>
      </c>
      <c r="N62" s="164">
        <v>0</v>
      </c>
      <c r="O62" s="164">
        <v>0</v>
      </c>
      <c r="P62" s="164">
        <v>0</v>
      </c>
      <c r="Q62" s="164">
        <v>0</v>
      </c>
      <c r="R62" s="164">
        <v>0</v>
      </c>
      <c r="S62" s="164">
        <v>0</v>
      </c>
      <c r="T62" s="164">
        <v>0</v>
      </c>
      <c r="U62" s="164">
        <v>0</v>
      </c>
      <c r="V62" s="164">
        <v>0</v>
      </c>
      <c r="W62" s="164">
        <v>0</v>
      </c>
      <c r="X62" s="164">
        <v>0</v>
      </c>
    </row>
    <row r="63" spans="2:24">
      <c r="B63" s="114" t="s">
        <v>237</v>
      </c>
      <c r="C63" s="112" t="s">
        <v>196</v>
      </c>
      <c r="E63" s="123">
        <f>E52</f>
        <v>138.22</v>
      </c>
      <c r="F63" s="123">
        <f t="shared" ref="F63:X63" si="12">F52</f>
        <v>138.22</v>
      </c>
      <c r="G63" s="123">
        <f t="shared" si="12"/>
        <v>138.22</v>
      </c>
      <c r="H63" s="123">
        <f t="shared" si="12"/>
        <v>138.22</v>
      </c>
      <c r="I63" s="123">
        <f t="shared" si="12"/>
        <v>138.22</v>
      </c>
      <c r="J63" s="123">
        <f t="shared" si="12"/>
        <v>138.22</v>
      </c>
      <c r="K63" s="123">
        <f t="shared" si="12"/>
        <v>138.22</v>
      </c>
      <c r="L63" s="123">
        <f t="shared" si="12"/>
        <v>138.22</v>
      </c>
      <c r="M63" s="123">
        <f t="shared" si="12"/>
        <v>138.22</v>
      </c>
      <c r="N63" s="123">
        <f t="shared" si="12"/>
        <v>138.22</v>
      </c>
      <c r="O63" s="123">
        <f t="shared" si="12"/>
        <v>138.22</v>
      </c>
      <c r="P63" s="123">
        <f t="shared" si="12"/>
        <v>138.22</v>
      </c>
      <c r="Q63" s="123">
        <f t="shared" si="12"/>
        <v>138.22</v>
      </c>
      <c r="R63" s="123">
        <f t="shared" si="12"/>
        <v>138.22</v>
      </c>
      <c r="S63" s="123">
        <f t="shared" si="12"/>
        <v>138.22</v>
      </c>
      <c r="T63" s="123">
        <f t="shared" si="12"/>
        <v>138.22</v>
      </c>
      <c r="U63" s="123">
        <f t="shared" si="12"/>
        <v>138.22</v>
      </c>
      <c r="V63" s="123">
        <f t="shared" si="12"/>
        <v>138.22</v>
      </c>
      <c r="W63" s="123">
        <f t="shared" si="12"/>
        <v>138.22</v>
      </c>
      <c r="X63" s="123">
        <f t="shared" si="12"/>
        <v>138.22</v>
      </c>
    </row>
    <row r="64" spans="2:24">
      <c r="B64" s="114" t="s">
        <v>197</v>
      </c>
      <c r="C64" s="112" t="s">
        <v>170</v>
      </c>
      <c r="E64" s="123">
        <f>'Model Initial - Battery Lazard'!E38</f>
        <v>436.59000000000003</v>
      </c>
      <c r="F64" s="123">
        <f>'Model Initial - Battery Lazard'!F38</f>
        <v>425.67525000000001</v>
      </c>
      <c r="G64" s="123">
        <f>'Model Initial - Battery Lazard'!G38</f>
        <v>415.03336875000002</v>
      </c>
      <c r="H64" s="123">
        <f>'Model Initial - Battery Lazard'!H38</f>
        <v>404.65753453125001</v>
      </c>
      <c r="I64" s="123">
        <f>'Model Initial - Battery Lazard'!I38</f>
        <v>394.5410961679687</v>
      </c>
      <c r="J64" s="123">
        <f>'Model Initial - Battery Lazard'!J38</f>
        <v>384.67756876376956</v>
      </c>
      <c r="K64" s="123">
        <f>'Model Initial - Battery Lazard'!K38</f>
        <v>375.06062954467529</v>
      </c>
      <c r="L64" s="123">
        <f>'Model Initial - Battery Lazard'!L38</f>
        <v>365.68411380605835</v>
      </c>
      <c r="M64" s="123">
        <f>'Model Initial - Battery Lazard'!M38</f>
        <v>356.54201096090691</v>
      </c>
      <c r="N64" s="123">
        <f>'Model Initial - Battery Lazard'!N38</f>
        <v>347.62846068688424</v>
      </c>
      <c r="O64" s="123">
        <f>'Model Initial - Battery Lazard'!O38</f>
        <v>338.93774916971216</v>
      </c>
      <c r="P64" s="123">
        <f>'Model Initial - Battery Lazard'!P38</f>
        <v>330.46430544046933</v>
      </c>
      <c r="Q64" s="123">
        <f>'Model Initial - Battery Lazard'!Q38</f>
        <v>322.20269780445756</v>
      </c>
      <c r="R64" s="123">
        <f>'Model Initial - Battery Lazard'!R38</f>
        <v>314.14763035934618</v>
      </c>
      <c r="S64" s="123">
        <f>'Model Initial - Battery Lazard'!S38</f>
        <v>306.29393960036242</v>
      </c>
      <c r="T64" s="123">
        <f>'Model Initial - Battery Lazard'!T38</f>
        <v>298.63659111035338</v>
      </c>
      <c r="U64" s="123">
        <f>'Model Initial - Battery Lazard'!U38</f>
        <v>291.17067633259455</v>
      </c>
      <c r="V64" s="123">
        <f>'Model Initial - Battery Lazard'!V38</f>
        <v>283.89140942427974</v>
      </c>
      <c r="W64" s="123">
        <f>'Model Initial - Battery Lazard'!W38</f>
        <v>276.7941241886727</v>
      </c>
      <c r="X64" s="123">
        <f>'Model Initial - Battery Lazard'!X38</f>
        <v>269.87427108395593</v>
      </c>
    </row>
    <row r="65" spans="2:24" s="13" customFormat="1">
      <c r="B65" s="13" t="s">
        <v>195</v>
      </c>
      <c r="C65" s="113" t="s">
        <v>174</v>
      </c>
      <c r="E65" s="164">
        <v>0</v>
      </c>
      <c r="F65" s="164">
        <v>0</v>
      </c>
      <c r="G65" s="164">
        <v>0</v>
      </c>
      <c r="H65" s="164">
        <v>0</v>
      </c>
      <c r="I65" s="164">
        <v>0</v>
      </c>
      <c r="J65" s="164">
        <v>0</v>
      </c>
      <c r="K65" s="164">
        <v>0</v>
      </c>
      <c r="L65" s="164">
        <v>0</v>
      </c>
      <c r="M65" s="164">
        <v>0</v>
      </c>
      <c r="N65" s="164">
        <v>0</v>
      </c>
      <c r="O65" s="164">
        <v>0</v>
      </c>
      <c r="P65" s="164">
        <v>0</v>
      </c>
      <c r="Q65" s="164">
        <v>0</v>
      </c>
      <c r="R65" s="164">
        <v>0</v>
      </c>
      <c r="S65" s="164">
        <v>0</v>
      </c>
      <c r="T65" s="164">
        <v>0</v>
      </c>
      <c r="U65" s="164">
        <v>0</v>
      </c>
      <c r="V65" s="164">
        <v>0</v>
      </c>
      <c r="W65" s="164">
        <v>0</v>
      </c>
      <c r="X65" s="164">
        <v>0</v>
      </c>
    </row>
    <row r="66" spans="2:24">
      <c r="B66" s="114" t="s">
        <v>236</v>
      </c>
      <c r="C66" s="112" t="s">
        <v>196</v>
      </c>
      <c r="E66" s="122">
        <f>E55</f>
        <v>138.22</v>
      </c>
      <c r="F66" s="122">
        <f t="shared" ref="F66:X66" si="13">F55</f>
        <v>138.22</v>
      </c>
      <c r="G66" s="122">
        <f t="shared" si="13"/>
        <v>138.22</v>
      </c>
      <c r="H66" s="122">
        <f t="shared" si="13"/>
        <v>138.22</v>
      </c>
      <c r="I66" s="122">
        <f t="shared" si="13"/>
        <v>138.22</v>
      </c>
      <c r="J66" s="122">
        <f t="shared" si="13"/>
        <v>138.22</v>
      </c>
      <c r="K66" s="122">
        <f t="shared" si="13"/>
        <v>138.22</v>
      </c>
      <c r="L66" s="122">
        <f t="shared" si="13"/>
        <v>138.22</v>
      </c>
      <c r="M66" s="122">
        <f t="shared" si="13"/>
        <v>138.22</v>
      </c>
      <c r="N66" s="122">
        <f t="shared" si="13"/>
        <v>138.22</v>
      </c>
      <c r="O66" s="122">
        <f t="shared" si="13"/>
        <v>138.22</v>
      </c>
      <c r="P66" s="122">
        <f t="shared" si="13"/>
        <v>138.22</v>
      </c>
      <c r="Q66" s="122">
        <f t="shared" si="13"/>
        <v>138.22</v>
      </c>
      <c r="R66" s="122">
        <f t="shared" si="13"/>
        <v>138.22</v>
      </c>
      <c r="S66" s="122">
        <f t="shared" si="13"/>
        <v>138.22</v>
      </c>
      <c r="T66" s="122">
        <f t="shared" si="13"/>
        <v>138.22</v>
      </c>
      <c r="U66" s="122">
        <f t="shared" si="13"/>
        <v>138.22</v>
      </c>
      <c r="V66" s="122">
        <f t="shared" si="13"/>
        <v>138.22</v>
      </c>
      <c r="W66" s="122">
        <f t="shared" si="13"/>
        <v>138.22</v>
      </c>
      <c r="X66" s="122">
        <f t="shared" si="13"/>
        <v>138.22</v>
      </c>
    </row>
    <row r="67" spans="2:24">
      <c r="B67" s="114" t="s">
        <v>198</v>
      </c>
      <c r="C67" s="112" t="s">
        <v>170</v>
      </c>
      <c r="E67" s="123">
        <f>'LCOS Solar + Degradation'!E9</f>
        <v>211.8725921052631</v>
      </c>
      <c r="F67" s="123">
        <f>'LCOS Solar + Degradation'!F9</f>
        <v>211.8725921052631</v>
      </c>
      <c r="G67" s="123">
        <f>'LCOS Solar + Degradation'!G9</f>
        <v>211.8725921052631</v>
      </c>
      <c r="H67" s="123">
        <f>'LCOS Solar + Degradation'!H9</f>
        <v>211.8725921052631</v>
      </c>
      <c r="I67" s="123">
        <f>'LCOS Solar + Degradation'!I9</f>
        <v>211.8725921052631</v>
      </c>
      <c r="J67" s="123">
        <f>'LCOS Solar + Degradation'!J9</f>
        <v>211.8725921052631</v>
      </c>
      <c r="K67" s="123">
        <f>'LCOS Solar + Degradation'!K9</f>
        <v>211.8725921052631</v>
      </c>
      <c r="L67" s="123">
        <f>'LCOS Solar + Degradation'!L9</f>
        <v>211.8725921052631</v>
      </c>
      <c r="M67" s="123">
        <f>'LCOS Solar + Degradation'!M9</f>
        <v>211.8725921052631</v>
      </c>
      <c r="N67" s="123">
        <f>'LCOS Solar + Degradation'!N9</f>
        <v>211.8725921052631</v>
      </c>
      <c r="O67" s="123">
        <f>'LCOS Solar + Degradation'!O9</f>
        <v>211.8725921052631</v>
      </c>
      <c r="P67" s="123">
        <f>'LCOS Solar + Degradation'!P9</f>
        <v>211.8725921052631</v>
      </c>
      <c r="Q67" s="123">
        <f>'LCOS Solar + Degradation'!Q9</f>
        <v>211.8725921052631</v>
      </c>
      <c r="R67" s="123">
        <f>'LCOS Solar + Degradation'!R9</f>
        <v>211.8725921052631</v>
      </c>
      <c r="S67" s="123">
        <f>'LCOS Solar + Degradation'!S9</f>
        <v>211.8725921052631</v>
      </c>
      <c r="T67" s="123">
        <f>'LCOS Solar + Degradation'!T9</f>
        <v>211.8725921052631</v>
      </c>
      <c r="U67" s="123">
        <f>'LCOS Solar + Degradation'!U9</f>
        <v>211.8725921052631</v>
      </c>
      <c r="V67" s="123">
        <f>'LCOS Solar + Degradation'!V9</f>
        <v>211.8725921052631</v>
      </c>
      <c r="W67" s="123">
        <f>'LCOS Solar + Degradation'!W9</f>
        <v>211.8725921052631</v>
      </c>
      <c r="X67" s="123">
        <f>'LCOS Solar + Degradation'!X9</f>
        <v>211.8725921052631</v>
      </c>
    </row>
    <row r="68" spans="2:24">
      <c r="B68" s="113" t="s">
        <v>185</v>
      </c>
      <c r="C68" s="113" t="s">
        <v>174</v>
      </c>
      <c r="D68" s="83"/>
      <c r="E68" s="120">
        <f t="shared" ref="E68:X68" si="14">(E7 / 10^3 - E67 - E64) * $D$61</f>
        <v>81368.475769736848</v>
      </c>
      <c r="F68" s="120">
        <f t="shared" si="14"/>
        <v>82017.903394736844</v>
      </c>
      <c r="G68" s="120">
        <f t="shared" si="14"/>
        <v>82651.095329111849</v>
      </c>
      <c r="H68" s="120">
        <f t="shared" si="14"/>
        <v>83268.45746512746</v>
      </c>
      <c r="I68" s="120">
        <f t="shared" si="14"/>
        <v>83870.385547742699</v>
      </c>
      <c r="J68" s="120">
        <f t="shared" si="14"/>
        <v>84457.26542829255</v>
      </c>
      <c r="K68" s="120">
        <f t="shared" si="14"/>
        <v>85029.473311828668</v>
      </c>
      <c r="L68" s="120">
        <f t="shared" si="14"/>
        <v>85587.375998276373</v>
      </c>
      <c r="M68" s="120">
        <f t="shared" si="14"/>
        <v>86131.331117562891</v>
      </c>
      <c r="N68" s="120">
        <f t="shared" si="14"/>
        <v>86661.687358867246</v>
      </c>
      <c r="O68" s="120">
        <f t="shared" si="14"/>
        <v>87178.784694138973</v>
      </c>
      <c r="P68" s="120">
        <f t="shared" si="14"/>
        <v>87682.954596028925</v>
      </c>
      <c r="Q68" s="120">
        <f t="shared" si="14"/>
        <v>88174.520250371628</v>
      </c>
      <c r="R68" s="120">
        <f t="shared" si="14"/>
        <v>88653.796763355756</v>
      </c>
      <c r="S68" s="120">
        <f t="shared" si="14"/>
        <v>89121.091363515283</v>
      </c>
      <c r="T68" s="120">
        <f t="shared" si="14"/>
        <v>89576.703598670836</v>
      </c>
      <c r="U68" s="120">
        <f t="shared" si="14"/>
        <v>90020.925527947475</v>
      </c>
      <c r="V68" s="120">
        <f t="shared" si="14"/>
        <v>90454.041908992207</v>
      </c>
      <c r="W68" s="120">
        <f t="shared" si="14"/>
        <v>90876.33038051083</v>
      </c>
      <c r="X68" s="120">
        <f t="shared" si="14"/>
        <v>91288.061640241474</v>
      </c>
    </row>
    <row r="69" spans="2:24">
      <c r="B69" s="113"/>
      <c r="C69" s="113"/>
      <c r="D69" s="83"/>
      <c r="E69" s="120"/>
      <c r="F69" s="120"/>
      <c r="G69" s="120"/>
      <c r="H69" s="120"/>
      <c r="I69" s="120"/>
      <c r="J69" s="120"/>
      <c r="K69" s="120"/>
      <c r="L69" s="120"/>
      <c r="M69" s="120"/>
      <c r="N69" s="120"/>
      <c r="O69" s="120"/>
      <c r="P69" s="120"/>
      <c r="Q69" s="120"/>
      <c r="R69" s="120"/>
      <c r="S69" s="120"/>
      <c r="T69" s="120"/>
      <c r="U69" s="120"/>
      <c r="V69" s="120"/>
      <c r="W69" s="120"/>
      <c r="X69" s="120"/>
    </row>
    <row r="70" spans="2:24">
      <c r="B70" s="15" t="s">
        <v>270</v>
      </c>
      <c r="E70" s="120"/>
      <c r="F70" s="120"/>
      <c r="G70" s="120"/>
      <c r="H70" s="120"/>
      <c r="I70" s="120"/>
      <c r="J70" s="120"/>
      <c r="K70" s="120"/>
      <c r="L70" s="120"/>
      <c r="M70" s="120"/>
      <c r="N70" s="120"/>
      <c r="O70" s="120"/>
      <c r="P70" s="120"/>
      <c r="Q70" s="120"/>
      <c r="R70" s="120"/>
      <c r="S70" s="120"/>
      <c r="T70" s="120"/>
      <c r="U70" s="120"/>
      <c r="V70" s="120"/>
      <c r="W70" s="120"/>
      <c r="X70" s="120"/>
    </row>
    <row r="71" spans="2:24">
      <c r="B71" s="112" t="s">
        <v>151</v>
      </c>
      <c r="C71" s="112" t="s">
        <v>171</v>
      </c>
      <c r="D71">
        <f>D61</f>
        <v>59.5</v>
      </c>
      <c r="E71" s="120"/>
      <c r="F71" s="120"/>
      <c r="G71" s="120"/>
      <c r="H71" s="120"/>
      <c r="I71" s="120"/>
      <c r="J71" s="120"/>
      <c r="K71" s="120"/>
      <c r="L71" s="120"/>
      <c r="M71" s="120"/>
      <c r="N71" s="120"/>
      <c r="O71" s="120"/>
      <c r="P71" s="120"/>
      <c r="Q71" s="120"/>
      <c r="R71" s="120"/>
      <c r="S71" s="120"/>
      <c r="T71" s="120"/>
      <c r="U71" s="120"/>
      <c r="V71" s="120"/>
      <c r="W71" s="120"/>
      <c r="X71" s="120"/>
    </row>
    <row r="72" spans="2:24">
      <c r="B72" s="13" t="s">
        <v>194</v>
      </c>
      <c r="C72" s="113" t="s">
        <v>174</v>
      </c>
      <c r="D72" s="13"/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</row>
    <row r="73" spans="2:24">
      <c r="B73" s="114" t="s">
        <v>237</v>
      </c>
      <c r="C73" s="112" t="s">
        <v>196</v>
      </c>
      <c r="E73" s="122">
        <f>E63</f>
        <v>138.22</v>
      </c>
      <c r="F73" s="122">
        <f t="shared" ref="F73:X73" si="15">F63</f>
        <v>138.22</v>
      </c>
      <c r="G73" s="122">
        <f t="shared" si="15"/>
        <v>138.22</v>
      </c>
      <c r="H73" s="122">
        <f t="shared" si="15"/>
        <v>138.22</v>
      </c>
      <c r="I73" s="122">
        <f t="shared" si="15"/>
        <v>138.22</v>
      </c>
      <c r="J73" s="122">
        <f t="shared" si="15"/>
        <v>138.22</v>
      </c>
      <c r="K73" s="122">
        <f t="shared" si="15"/>
        <v>138.22</v>
      </c>
      <c r="L73" s="122">
        <f t="shared" si="15"/>
        <v>138.22</v>
      </c>
      <c r="M73" s="122">
        <f t="shared" si="15"/>
        <v>138.22</v>
      </c>
      <c r="N73" s="122">
        <f t="shared" si="15"/>
        <v>138.22</v>
      </c>
      <c r="O73" s="122">
        <f t="shared" si="15"/>
        <v>138.22</v>
      </c>
      <c r="P73" s="122">
        <f t="shared" si="15"/>
        <v>138.22</v>
      </c>
      <c r="Q73" s="122">
        <f t="shared" si="15"/>
        <v>138.22</v>
      </c>
      <c r="R73" s="122">
        <f t="shared" si="15"/>
        <v>138.22</v>
      </c>
      <c r="S73" s="122">
        <f t="shared" si="15"/>
        <v>138.22</v>
      </c>
      <c r="T73" s="122">
        <f t="shared" si="15"/>
        <v>138.22</v>
      </c>
      <c r="U73" s="122">
        <f t="shared" si="15"/>
        <v>138.22</v>
      </c>
      <c r="V73" s="122">
        <f t="shared" si="15"/>
        <v>138.22</v>
      </c>
      <c r="W73" s="122">
        <f t="shared" si="15"/>
        <v>138.22</v>
      </c>
      <c r="X73" s="122">
        <f t="shared" si="15"/>
        <v>138.22</v>
      </c>
    </row>
    <row r="74" spans="2:24">
      <c r="B74" s="114" t="s">
        <v>197</v>
      </c>
      <c r="C74" s="112" t="s">
        <v>170</v>
      </c>
      <c r="E74" s="122">
        <f>'Model Initial - Battery Lazard'!E38</f>
        <v>436.59000000000003</v>
      </c>
      <c r="F74" s="122">
        <f>'Model Initial - Battery Lazard'!F38</f>
        <v>425.67525000000001</v>
      </c>
      <c r="G74" s="122">
        <f>'Model Initial - Battery Lazard'!G38</f>
        <v>415.03336875000002</v>
      </c>
      <c r="H74" s="122">
        <f>'Model Initial - Battery Lazard'!H38</f>
        <v>404.65753453125001</v>
      </c>
      <c r="I74" s="122">
        <f>'Model Initial - Battery Lazard'!I38</f>
        <v>394.5410961679687</v>
      </c>
      <c r="J74" s="122">
        <f>'Model Initial - Battery Lazard'!J38</f>
        <v>384.67756876376956</v>
      </c>
      <c r="K74" s="122">
        <f>'Model Initial - Battery Lazard'!K38</f>
        <v>375.06062954467529</v>
      </c>
      <c r="L74" s="122">
        <f>'Model Initial - Battery Lazard'!L38</f>
        <v>365.68411380605835</v>
      </c>
      <c r="M74" s="122">
        <f>'Model Initial - Battery Lazard'!M38</f>
        <v>356.54201096090691</v>
      </c>
      <c r="N74" s="122">
        <f>'Model Initial - Battery Lazard'!N38</f>
        <v>347.62846068688424</v>
      </c>
      <c r="O74" s="122">
        <f>'Model Initial - Battery Lazard'!O38</f>
        <v>338.93774916971216</v>
      </c>
      <c r="P74" s="122">
        <f>'Model Initial - Battery Lazard'!P38</f>
        <v>330.46430544046933</v>
      </c>
      <c r="Q74" s="122">
        <f>'Model Initial - Battery Lazard'!Q38</f>
        <v>322.20269780445756</v>
      </c>
      <c r="R74" s="122">
        <f>'Model Initial - Battery Lazard'!R38</f>
        <v>314.14763035934618</v>
      </c>
      <c r="S74" s="122">
        <f>'Model Initial - Battery Lazard'!S38</f>
        <v>306.29393960036242</v>
      </c>
      <c r="T74" s="122">
        <f>'Model Initial - Battery Lazard'!T38</f>
        <v>298.63659111035338</v>
      </c>
      <c r="U74" s="122">
        <f>'Model Initial - Battery Lazard'!U38</f>
        <v>291.17067633259455</v>
      </c>
      <c r="V74" s="122">
        <f>'Model Initial - Battery Lazard'!V38</f>
        <v>283.89140942427974</v>
      </c>
      <c r="W74" s="122">
        <f>'Model Initial - Battery Lazard'!W38</f>
        <v>276.7941241886727</v>
      </c>
      <c r="X74" s="122">
        <f>'Model Initial - Battery Lazard'!X38</f>
        <v>269.87427108395593</v>
      </c>
    </row>
    <row r="75" spans="2:24">
      <c r="B75" s="13" t="s">
        <v>195</v>
      </c>
      <c r="C75" s="113" t="s">
        <v>174</v>
      </c>
      <c r="D75" s="13"/>
      <c r="E75" s="120">
        <f>-E76*E77</f>
        <v>-29285.029680789467</v>
      </c>
      <c r="F75" s="120">
        <f t="shared" ref="F75:X75" si="16">-F76*F77</f>
        <v>-29285.029680789467</v>
      </c>
      <c r="G75" s="120">
        <f t="shared" si="16"/>
        <v>-29285.029680789467</v>
      </c>
      <c r="H75" s="120">
        <f t="shared" si="16"/>
        <v>-29285.029680789467</v>
      </c>
      <c r="I75" s="120">
        <f t="shared" si="16"/>
        <v>-29285.029680789467</v>
      </c>
      <c r="J75" s="120">
        <f t="shared" si="16"/>
        <v>-29285.029680789467</v>
      </c>
      <c r="K75" s="120">
        <f t="shared" si="16"/>
        <v>-29285.029680789467</v>
      </c>
      <c r="L75" s="120">
        <f t="shared" si="16"/>
        <v>-29285.029680789467</v>
      </c>
      <c r="M75" s="120">
        <f t="shared" si="16"/>
        <v>-29285.029680789467</v>
      </c>
      <c r="N75" s="120">
        <f t="shared" si="16"/>
        <v>-29285.029680789467</v>
      </c>
      <c r="O75" s="120">
        <f t="shared" si="16"/>
        <v>-29285.029680789467</v>
      </c>
      <c r="P75" s="120">
        <f t="shared" si="16"/>
        <v>-29285.029680789467</v>
      </c>
      <c r="Q75" s="120">
        <f t="shared" si="16"/>
        <v>-29285.029680789467</v>
      </c>
      <c r="R75" s="120">
        <f t="shared" si="16"/>
        <v>-29285.029680789467</v>
      </c>
      <c r="S75" s="120">
        <f t="shared" si="16"/>
        <v>-29285.029680789467</v>
      </c>
      <c r="T75" s="120">
        <f t="shared" si="16"/>
        <v>-29285.029680789467</v>
      </c>
      <c r="U75" s="120">
        <f t="shared" si="16"/>
        <v>-29285.029680789467</v>
      </c>
      <c r="V75" s="120">
        <f t="shared" si="16"/>
        <v>-29285.029680789467</v>
      </c>
      <c r="W75" s="120">
        <f t="shared" si="16"/>
        <v>-29285.029680789467</v>
      </c>
      <c r="X75" s="120">
        <f t="shared" si="16"/>
        <v>-29285.029680789467</v>
      </c>
    </row>
    <row r="76" spans="2:24">
      <c r="B76" s="114" t="s">
        <v>236</v>
      </c>
      <c r="C76" s="112" t="s">
        <v>196</v>
      </c>
      <c r="E76" s="122">
        <f>E66</f>
        <v>138.22</v>
      </c>
      <c r="F76" s="122">
        <f t="shared" ref="F76:X76" si="17">F66</f>
        <v>138.22</v>
      </c>
      <c r="G76" s="122">
        <f t="shared" si="17"/>
        <v>138.22</v>
      </c>
      <c r="H76" s="122">
        <f t="shared" si="17"/>
        <v>138.22</v>
      </c>
      <c r="I76" s="122">
        <f t="shared" si="17"/>
        <v>138.22</v>
      </c>
      <c r="J76" s="122">
        <f t="shared" si="17"/>
        <v>138.22</v>
      </c>
      <c r="K76" s="122">
        <f t="shared" si="17"/>
        <v>138.22</v>
      </c>
      <c r="L76" s="122">
        <f t="shared" si="17"/>
        <v>138.22</v>
      </c>
      <c r="M76" s="122">
        <f t="shared" si="17"/>
        <v>138.22</v>
      </c>
      <c r="N76" s="122">
        <f t="shared" si="17"/>
        <v>138.22</v>
      </c>
      <c r="O76" s="122">
        <f t="shared" si="17"/>
        <v>138.22</v>
      </c>
      <c r="P76" s="122">
        <f t="shared" si="17"/>
        <v>138.22</v>
      </c>
      <c r="Q76" s="122">
        <f t="shared" si="17"/>
        <v>138.22</v>
      </c>
      <c r="R76" s="122">
        <f t="shared" si="17"/>
        <v>138.22</v>
      </c>
      <c r="S76" s="122">
        <f t="shared" si="17"/>
        <v>138.22</v>
      </c>
      <c r="T76" s="122">
        <f t="shared" si="17"/>
        <v>138.22</v>
      </c>
      <c r="U76" s="122">
        <f t="shared" si="17"/>
        <v>138.22</v>
      </c>
      <c r="V76" s="122">
        <f t="shared" si="17"/>
        <v>138.22</v>
      </c>
      <c r="W76" s="122">
        <f t="shared" si="17"/>
        <v>138.22</v>
      </c>
      <c r="X76" s="122">
        <f t="shared" si="17"/>
        <v>138.22</v>
      </c>
    </row>
    <row r="77" spans="2:24">
      <c r="B77" s="114" t="s">
        <v>198</v>
      </c>
      <c r="C77" s="112" t="s">
        <v>170</v>
      </c>
      <c r="E77" s="122">
        <f>'LCOS Solar + Degradation'!E9</f>
        <v>211.8725921052631</v>
      </c>
      <c r="F77" s="122">
        <f>'LCOS Solar + Degradation'!F9</f>
        <v>211.8725921052631</v>
      </c>
      <c r="G77" s="122">
        <f>'LCOS Solar + Degradation'!G9</f>
        <v>211.8725921052631</v>
      </c>
      <c r="H77" s="122">
        <f>'LCOS Solar + Degradation'!H9</f>
        <v>211.8725921052631</v>
      </c>
      <c r="I77" s="122">
        <f>'LCOS Solar + Degradation'!I9</f>
        <v>211.8725921052631</v>
      </c>
      <c r="J77" s="122">
        <f>'LCOS Solar + Degradation'!J9</f>
        <v>211.8725921052631</v>
      </c>
      <c r="K77" s="122">
        <f>'LCOS Solar + Degradation'!K9</f>
        <v>211.8725921052631</v>
      </c>
      <c r="L77" s="122">
        <f>'LCOS Solar + Degradation'!L9</f>
        <v>211.8725921052631</v>
      </c>
      <c r="M77" s="122">
        <f>'LCOS Solar + Degradation'!M9</f>
        <v>211.8725921052631</v>
      </c>
      <c r="N77" s="122">
        <f>'LCOS Solar + Degradation'!N9</f>
        <v>211.8725921052631</v>
      </c>
      <c r="O77" s="122">
        <f>'LCOS Solar + Degradation'!O9</f>
        <v>211.8725921052631</v>
      </c>
      <c r="P77" s="122">
        <f>'LCOS Solar + Degradation'!P9</f>
        <v>211.8725921052631</v>
      </c>
      <c r="Q77" s="122">
        <f>'LCOS Solar + Degradation'!Q9</f>
        <v>211.8725921052631</v>
      </c>
      <c r="R77" s="122">
        <f>'LCOS Solar + Degradation'!R9</f>
        <v>211.8725921052631</v>
      </c>
      <c r="S77" s="122">
        <f>'LCOS Solar + Degradation'!S9</f>
        <v>211.8725921052631</v>
      </c>
      <c r="T77" s="122">
        <f>'LCOS Solar + Degradation'!T9</f>
        <v>211.8725921052631</v>
      </c>
      <c r="U77" s="122">
        <f>'LCOS Solar + Degradation'!U9</f>
        <v>211.8725921052631</v>
      </c>
      <c r="V77" s="122">
        <f>'LCOS Solar + Degradation'!V9</f>
        <v>211.8725921052631</v>
      </c>
      <c r="W77" s="122">
        <f>'LCOS Solar + Degradation'!W9</f>
        <v>211.8725921052631</v>
      </c>
      <c r="X77" s="122">
        <f>'LCOS Solar + Degradation'!X9</f>
        <v>211.8725921052631</v>
      </c>
    </row>
    <row r="78" spans="2:24">
      <c r="B78" s="113" t="s">
        <v>185</v>
      </c>
      <c r="C78" s="113" t="s">
        <v>174</v>
      </c>
      <c r="D78" s="83"/>
      <c r="E78" s="120">
        <f t="shared" ref="E78:X78" si="18">(E7 / 10^3 - E74 ) * $D$71 + E75</f>
        <v>64689.865319210527</v>
      </c>
      <c r="F78" s="120">
        <f t="shared" si="18"/>
        <v>65339.292944210538</v>
      </c>
      <c r="G78" s="120">
        <f t="shared" si="18"/>
        <v>65972.484878585528</v>
      </c>
      <c r="H78" s="120">
        <f t="shared" si="18"/>
        <v>66589.847014601168</v>
      </c>
      <c r="I78" s="120">
        <f t="shared" si="18"/>
        <v>67191.775097216407</v>
      </c>
      <c r="J78" s="120">
        <f t="shared" si="18"/>
        <v>67778.654977766244</v>
      </c>
      <c r="K78" s="120">
        <f t="shared" si="18"/>
        <v>68350.862861302361</v>
      </c>
      <c r="L78" s="120">
        <f t="shared" si="18"/>
        <v>68908.765547750067</v>
      </c>
      <c r="M78" s="120">
        <f t="shared" si="18"/>
        <v>69452.72066703657</v>
      </c>
      <c r="N78" s="120">
        <f t="shared" si="18"/>
        <v>69983.076908340925</v>
      </c>
      <c r="O78" s="120">
        <f t="shared" si="18"/>
        <v>70500.174243612666</v>
      </c>
      <c r="P78" s="120">
        <f t="shared" si="18"/>
        <v>71004.344145502604</v>
      </c>
      <c r="Q78" s="120">
        <f t="shared" si="18"/>
        <v>71495.909799845307</v>
      </c>
      <c r="R78" s="120">
        <f t="shared" si="18"/>
        <v>71975.186312829435</v>
      </c>
      <c r="S78" s="120">
        <f t="shared" si="18"/>
        <v>72442.480912988976</v>
      </c>
      <c r="T78" s="120">
        <f t="shared" si="18"/>
        <v>72898.0931481445</v>
      </c>
      <c r="U78" s="120">
        <f t="shared" si="18"/>
        <v>73342.315077421154</v>
      </c>
      <c r="V78" s="120">
        <f t="shared" si="18"/>
        <v>73775.431458465886</v>
      </c>
      <c r="W78" s="120">
        <f t="shared" si="18"/>
        <v>74197.719929984509</v>
      </c>
      <c r="X78" s="120">
        <f t="shared" si="18"/>
        <v>74609.451189715153</v>
      </c>
    </row>
    <row r="79" spans="2:24">
      <c r="B79" s="113"/>
      <c r="C79" s="113"/>
      <c r="D79" s="83"/>
      <c r="E79" s="120"/>
      <c r="F79" s="120"/>
      <c r="G79" s="120"/>
      <c r="H79" s="120"/>
      <c r="I79" s="120"/>
      <c r="J79" s="120"/>
      <c r="K79" s="120"/>
      <c r="L79" s="120"/>
      <c r="M79" s="120"/>
      <c r="N79" s="120"/>
      <c r="O79" s="120"/>
      <c r="P79" s="120"/>
      <c r="Q79" s="120"/>
      <c r="R79" s="120"/>
      <c r="S79" s="120"/>
      <c r="T79" s="120"/>
      <c r="U79" s="120"/>
      <c r="V79" s="120"/>
      <c r="W79" s="120"/>
      <c r="X79" s="120"/>
    </row>
    <row r="80" spans="2:24">
      <c r="B80" s="15" t="s">
        <v>271</v>
      </c>
      <c r="E80" s="120"/>
      <c r="F80" s="120"/>
      <c r="G80" s="120"/>
      <c r="H80" s="120"/>
      <c r="I80" s="120"/>
      <c r="J80" s="120"/>
      <c r="K80" s="120"/>
      <c r="L80" s="120"/>
      <c r="M80" s="120"/>
      <c r="N80" s="120"/>
      <c r="O80" s="120"/>
      <c r="P80" s="120"/>
      <c r="Q80" s="120"/>
      <c r="R80" s="120"/>
      <c r="S80" s="120"/>
      <c r="T80" s="120"/>
      <c r="U80" s="120"/>
      <c r="V80" s="120"/>
      <c r="W80" s="120"/>
      <c r="X80" s="120"/>
    </row>
    <row r="81" spans="2:24">
      <c r="B81" s="112" t="s">
        <v>151</v>
      </c>
      <c r="C81" s="112" t="s">
        <v>171</v>
      </c>
      <c r="D81">
        <f>D71</f>
        <v>59.5</v>
      </c>
      <c r="E81" s="120"/>
      <c r="F81" s="120"/>
      <c r="G81" s="120"/>
      <c r="H81" s="120"/>
      <c r="I81" s="120"/>
      <c r="J81" s="120"/>
      <c r="K81" s="120"/>
      <c r="L81" s="120"/>
      <c r="M81" s="120"/>
      <c r="N81" s="120"/>
      <c r="O81" s="120"/>
      <c r="P81" s="120"/>
      <c r="Q81" s="120"/>
      <c r="R81" s="120"/>
      <c r="S81" s="120"/>
      <c r="T81" s="120"/>
      <c r="U81" s="120"/>
      <c r="V81" s="120"/>
      <c r="W81" s="120"/>
      <c r="X81" s="120"/>
    </row>
    <row r="82" spans="2:24">
      <c r="B82" s="13" t="s">
        <v>194</v>
      </c>
      <c r="C82" s="113" t="s">
        <v>174</v>
      </c>
      <c r="D82" s="13"/>
      <c r="E82" s="120">
        <f>-E83 * E84</f>
        <v>-60345.469800000006</v>
      </c>
      <c r="F82" s="120">
        <f t="shared" ref="F82:X82" si="19">-F83 * F84</f>
        <v>-58836.833055000003</v>
      </c>
      <c r="G82" s="120">
        <f t="shared" si="19"/>
        <v>-57365.912228625006</v>
      </c>
      <c r="H82" s="120">
        <f t="shared" si="19"/>
        <v>-55931.764422909378</v>
      </c>
      <c r="I82" s="120">
        <f t="shared" si="19"/>
        <v>-54533.470312336634</v>
      </c>
      <c r="J82" s="120">
        <f t="shared" si="19"/>
        <v>-53170.133554528227</v>
      </c>
      <c r="K82" s="120">
        <f t="shared" si="19"/>
        <v>-51840.88021566502</v>
      </c>
      <c r="L82" s="120">
        <f t="shared" si="19"/>
        <v>-50544.858210273385</v>
      </c>
      <c r="M82" s="120">
        <f t="shared" si="19"/>
        <v>-49281.236755016551</v>
      </c>
      <c r="N82" s="120">
        <f t="shared" si="19"/>
        <v>-48049.20583614114</v>
      </c>
      <c r="O82" s="120">
        <f t="shared" si="19"/>
        <v>-46847.975690237618</v>
      </c>
      <c r="P82" s="120">
        <f t="shared" si="19"/>
        <v>-45676.776297981669</v>
      </c>
      <c r="Q82" s="120">
        <f t="shared" si="19"/>
        <v>-44534.856890532123</v>
      </c>
      <c r="R82" s="120">
        <f t="shared" si="19"/>
        <v>-43421.485468268831</v>
      </c>
      <c r="S82" s="120">
        <f t="shared" si="19"/>
        <v>-42335.948331562096</v>
      </c>
      <c r="T82" s="120">
        <f t="shared" si="19"/>
        <v>-41277.549623273044</v>
      </c>
      <c r="U82" s="120">
        <f t="shared" si="19"/>
        <v>-40245.610882691217</v>
      </c>
      <c r="V82" s="120">
        <f t="shared" si="19"/>
        <v>-39239.470610623946</v>
      </c>
      <c r="W82" s="120">
        <f t="shared" si="19"/>
        <v>-38258.483845358343</v>
      </c>
      <c r="X82" s="120">
        <f t="shared" si="19"/>
        <v>-37302.02174922439</v>
      </c>
    </row>
    <row r="83" spans="2:24">
      <c r="B83" s="114" t="s">
        <v>237</v>
      </c>
      <c r="C83" s="112" t="s">
        <v>196</v>
      </c>
      <c r="E83" s="122">
        <f>E73</f>
        <v>138.22</v>
      </c>
      <c r="F83" s="122">
        <f t="shared" ref="F83:X83" si="20">F73</f>
        <v>138.22</v>
      </c>
      <c r="G83" s="122">
        <f t="shared" si="20"/>
        <v>138.22</v>
      </c>
      <c r="H83" s="122">
        <f t="shared" si="20"/>
        <v>138.22</v>
      </c>
      <c r="I83" s="122">
        <f t="shared" si="20"/>
        <v>138.22</v>
      </c>
      <c r="J83" s="122">
        <f t="shared" si="20"/>
        <v>138.22</v>
      </c>
      <c r="K83" s="122">
        <f t="shared" si="20"/>
        <v>138.22</v>
      </c>
      <c r="L83" s="122">
        <f t="shared" si="20"/>
        <v>138.22</v>
      </c>
      <c r="M83" s="122">
        <f t="shared" si="20"/>
        <v>138.22</v>
      </c>
      <c r="N83" s="122">
        <f t="shared" si="20"/>
        <v>138.22</v>
      </c>
      <c r="O83" s="122">
        <f t="shared" si="20"/>
        <v>138.22</v>
      </c>
      <c r="P83" s="122">
        <f t="shared" si="20"/>
        <v>138.22</v>
      </c>
      <c r="Q83" s="122">
        <f t="shared" si="20"/>
        <v>138.22</v>
      </c>
      <c r="R83" s="122">
        <f t="shared" si="20"/>
        <v>138.22</v>
      </c>
      <c r="S83" s="122">
        <f t="shared" si="20"/>
        <v>138.22</v>
      </c>
      <c r="T83" s="122">
        <f t="shared" si="20"/>
        <v>138.22</v>
      </c>
      <c r="U83" s="122">
        <f t="shared" si="20"/>
        <v>138.22</v>
      </c>
      <c r="V83" s="122">
        <f t="shared" si="20"/>
        <v>138.22</v>
      </c>
      <c r="W83" s="122">
        <f t="shared" si="20"/>
        <v>138.22</v>
      </c>
      <c r="X83" s="122">
        <f t="shared" si="20"/>
        <v>138.22</v>
      </c>
    </row>
    <row r="84" spans="2:24">
      <c r="B84" s="114" t="s">
        <v>197</v>
      </c>
      <c r="C84" s="112" t="s">
        <v>170</v>
      </c>
      <c r="E84" s="122">
        <f>'Model Initial - Battery Lazard'!E38</f>
        <v>436.59000000000003</v>
      </c>
      <c r="F84" s="122">
        <f>'Model Initial - Battery Lazard'!F38</f>
        <v>425.67525000000001</v>
      </c>
      <c r="G84" s="122">
        <f>'Model Initial - Battery Lazard'!G38</f>
        <v>415.03336875000002</v>
      </c>
      <c r="H84" s="122">
        <f>'Model Initial - Battery Lazard'!H38</f>
        <v>404.65753453125001</v>
      </c>
      <c r="I84" s="122">
        <f>'Model Initial - Battery Lazard'!I38</f>
        <v>394.5410961679687</v>
      </c>
      <c r="J84" s="122">
        <f>'Model Initial - Battery Lazard'!J38</f>
        <v>384.67756876376956</v>
      </c>
      <c r="K84" s="122">
        <f>'Model Initial - Battery Lazard'!K38</f>
        <v>375.06062954467529</v>
      </c>
      <c r="L84" s="122">
        <f>'Model Initial - Battery Lazard'!L38</f>
        <v>365.68411380605835</v>
      </c>
      <c r="M84" s="122">
        <f>'Model Initial - Battery Lazard'!M38</f>
        <v>356.54201096090691</v>
      </c>
      <c r="N84" s="122">
        <f>'Model Initial - Battery Lazard'!N38</f>
        <v>347.62846068688424</v>
      </c>
      <c r="O84" s="122">
        <f>'Model Initial - Battery Lazard'!O38</f>
        <v>338.93774916971216</v>
      </c>
      <c r="P84" s="122">
        <f>'Model Initial - Battery Lazard'!P38</f>
        <v>330.46430544046933</v>
      </c>
      <c r="Q84" s="122">
        <f>'Model Initial - Battery Lazard'!Q38</f>
        <v>322.20269780445756</v>
      </c>
      <c r="R84" s="122">
        <f>'Model Initial - Battery Lazard'!R38</f>
        <v>314.14763035934618</v>
      </c>
      <c r="S84" s="122">
        <f>'Model Initial - Battery Lazard'!S38</f>
        <v>306.29393960036242</v>
      </c>
      <c r="T84" s="122">
        <f>'Model Initial - Battery Lazard'!T38</f>
        <v>298.63659111035338</v>
      </c>
      <c r="U84" s="122">
        <f>'Model Initial - Battery Lazard'!U38</f>
        <v>291.17067633259455</v>
      </c>
      <c r="V84" s="122">
        <f>'Model Initial - Battery Lazard'!V38</f>
        <v>283.89140942427974</v>
      </c>
      <c r="W84" s="122">
        <f>'Model Initial - Battery Lazard'!W38</f>
        <v>276.7941241886727</v>
      </c>
      <c r="X84" s="122">
        <f>'Model Initial - Battery Lazard'!X38</f>
        <v>269.87427108395593</v>
      </c>
    </row>
    <row r="85" spans="2:24">
      <c r="B85" s="13" t="s">
        <v>195</v>
      </c>
      <c r="C85" s="113" t="s">
        <v>174</v>
      </c>
      <c r="D85" s="13"/>
      <c r="E85" s="167">
        <v>0</v>
      </c>
      <c r="F85" s="167">
        <v>0</v>
      </c>
      <c r="G85" s="167">
        <v>0</v>
      </c>
      <c r="H85" s="167">
        <v>0</v>
      </c>
      <c r="I85" s="167">
        <v>0</v>
      </c>
      <c r="J85" s="167">
        <v>0</v>
      </c>
      <c r="K85" s="167">
        <v>0</v>
      </c>
      <c r="L85" s="167">
        <v>0</v>
      </c>
      <c r="M85" s="167">
        <v>0</v>
      </c>
      <c r="N85" s="167">
        <v>0</v>
      </c>
      <c r="O85" s="167">
        <v>0</v>
      </c>
      <c r="P85" s="167">
        <v>0</v>
      </c>
      <c r="Q85" s="167">
        <v>0</v>
      </c>
      <c r="R85" s="167">
        <v>0</v>
      </c>
      <c r="S85" s="167">
        <v>0</v>
      </c>
      <c r="T85" s="167">
        <v>0</v>
      </c>
      <c r="U85" s="167">
        <v>0</v>
      </c>
      <c r="V85" s="167">
        <v>0</v>
      </c>
      <c r="W85" s="167">
        <v>0</v>
      </c>
      <c r="X85" s="167">
        <v>0</v>
      </c>
    </row>
    <row r="86" spans="2:24">
      <c r="B86" s="114" t="s">
        <v>236</v>
      </c>
      <c r="C86" s="112" t="s">
        <v>196</v>
      </c>
      <c r="E86" s="122">
        <f>E76</f>
        <v>138.22</v>
      </c>
      <c r="F86" s="122">
        <f t="shared" ref="F86:X86" si="21">F76</f>
        <v>138.22</v>
      </c>
      <c r="G86" s="122">
        <f t="shared" si="21"/>
        <v>138.22</v>
      </c>
      <c r="H86" s="122">
        <f t="shared" si="21"/>
        <v>138.22</v>
      </c>
      <c r="I86" s="122">
        <f t="shared" si="21"/>
        <v>138.22</v>
      </c>
      <c r="J86" s="122">
        <f t="shared" si="21"/>
        <v>138.22</v>
      </c>
      <c r="K86" s="122">
        <f t="shared" si="21"/>
        <v>138.22</v>
      </c>
      <c r="L86" s="122">
        <f t="shared" si="21"/>
        <v>138.22</v>
      </c>
      <c r="M86" s="122">
        <f t="shared" si="21"/>
        <v>138.22</v>
      </c>
      <c r="N86" s="122">
        <f t="shared" si="21"/>
        <v>138.22</v>
      </c>
      <c r="O86" s="122">
        <f t="shared" si="21"/>
        <v>138.22</v>
      </c>
      <c r="P86" s="122">
        <f t="shared" si="21"/>
        <v>138.22</v>
      </c>
      <c r="Q86" s="122">
        <f t="shared" si="21"/>
        <v>138.22</v>
      </c>
      <c r="R86" s="122">
        <f t="shared" si="21"/>
        <v>138.22</v>
      </c>
      <c r="S86" s="122">
        <f t="shared" si="21"/>
        <v>138.22</v>
      </c>
      <c r="T86" s="122">
        <f t="shared" si="21"/>
        <v>138.22</v>
      </c>
      <c r="U86" s="122">
        <f t="shared" si="21"/>
        <v>138.22</v>
      </c>
      <c r="V86" s="122">
        <f t="shared" si="21"/>
        <v>138.22</v>
      </c>
      <c r="W86" s="122">
        <f t="shared" si="21"/>
        <v>138.22</v>
      </c>
      <c r="X86" s="122">
        <f t="shared" si="21"/>
        <v>138.22</v>
      </c>
    </row>
    <row r="87" spans="2:24">
      <c r="B87" s="114" t="s">
        <v>198</v>
      </c>
      <c r="C87" s="112" t="s">
        <v>170</v>
      </c>
      <c r="E87" s="122">
        <f>'LCOS Solar + Degradation'!E9</f>
        <v>211.8725921052631</v>
      </c>
      <c r="F87" s="122">
        <f>'LCOS Solar + Degradation'!F9</f>
        <v>211.8725921052631</v>
      </c>
      <c r="G87" s="122">
        <f>'LCOS Solar + Degradation'!G9</f>
        <v>211.8725921052631</v>
      </c>
      <c r="H87" s="122">
        <f>'LCOS Solar + Degradation'!H9</f>
        <v>211.8725921052631</v>
      </c>
      <c r="I87" s="122">
        <f>'LCOS Solar + Degradation'!I9</f>
        <v>211.8725921052631</v>
      </c>
      <c r="J87" s="122">
        <f>'LCOS Solar + Degradation'!J9</f>
        <v>211.8725921052631</v>
      </c>
      <c r="K87" s="122">
        <f>'LCOS Solar + Degradation'!K9</f>
        <v>211.8725921052631</v>
      </c>
      <c r="L87" s="122">
        <f>'LCOS Solar + Degradation'!L9</f>
        <v>211.8725921052631</v>
      </c>
      <c r="M87" s="122">
        <f>'LCOS Solar + Degradation'!M9</f>
        <v>211.8725921052631</v>
      </c>
      <c r="N87" s="122">
        <f>'LCOS Solar + Degradation'!N9</f>
        <v>211.8725921052631</v>
      </c>
      <c r="O87" s="122">
        <f>'LCOS Solar + Degradation'!O9</f>
        <v>211.8725921052631</v>
      </c>
      <c r="P87" s="122">
        <f>'LCOS Solar + Degradation'!P9</f>
        <v>211.8725921052631</v>
      </c>
      <c r="Q87" s="122">
        <f>'LCOS Solar + Degradation'!Q9</f>
        <v>211.8725921052631</v>
      </c>
      <c r="R87" s="122">
        <f>'LCOS Solar + Degradation'!R9</f>
        <v>211.8725921052631</v>
      </c>
      <c r="S87" s="122">
        <f>'LCOS Solar + Degradation'!S9</f>
        <v>211.8725921052631</v>
      </c>
      <c r="T87" s="122">
        <f>'LCOS Solar + Degradation'!T9</f>
        <v>211.8725921052631</v>
      </c>
      <c r="U87" s="122">
        <f>'LCOS Solar + Degradation'!U9</f>
        <v>211.8725921052631</v>
      </c>
      <c r="V87" s="122">
        <f>'LCOS Solar + Degradation'!V9</f>
        <v>211.8725921052631</v>
      </c>
      <c r="W87" s="122">
        <f>'LCOS Solar + Degradation'!W9</f>
        <v>211.8725921052631</v>
      </c>
      <c r="X87" s="122">
        <f>'LCOS Solar + Degradation'!X9</f>
        <v>211.8725921052631</v>
      </c>
    </row>
    <row r="88" spans="2:24">
      <c r="B88" s="113" t="s">
        <v>185</v>
      </c>
      <c r="C88" s="113" t="s">
        <v>174</v>
      </c>
      <c r="D88" s="83"/>
      <c r="E88" s="120">
        <f t="shared" ref="E88:X88" si="22">(E7 / 10^3 - E87 ) * $D$81 +  E82</f>
        <v>47000.110969736837</v>
      </c>
      <c r="F88" s="120">
        <f t="shared" si="22"/>
        <v>48508.747714736841</v>
      </c>
      <c r="G88" s="120">
        <f t="shared" si="22"/>
        <v>49979.668541111838</v>
      </c>
      <c r="H88" s="120">
        <f t="shared" si="22"/>
        <v>51413.816346827465</v>
      </c>
      <c r="I88" s="120">
        <f t="shared" si="22"/>
        <v>52812.110457400209</v>
      </c>
      <c r="J88" s="120">
        <f t="shared" si="22"/>
        <v>54175.447215208616</v>
      </c>
      <c r="K88" s="120">
        <f t="shared" si="22"/>
        <v>55504.700554071824</v>
      </c>
      <c r="L88" s="120">
        <f t="shared" si="22"/>
        <v>56800.722559463458</v>
      </c>
      <c r="M88" s="120">
        <f t="shared" si="22"/>
        <v>58064.344014720293</v>
      </c>
      <c r="N88" s="120">
        <f t="shared" si="22"/>
        <v>59296.374933595704</v>
      </c>
      <c r="O88" s="120">
        <f t="shared" si="22"/>
        <v>60497.605079499226</v>
      </c>
      <c r="P88" s="120">
        <f t="shared" si="22"/>
        <v>61668.804471755175</v>
      </c>
      <c r="Q88" s="120">
        <f t="shared" si="22"/>
        <v>62810.723879204721</v>
      </c>
      <c r="R88" s="120">
        <f t="shared" si="22"/>
        <v>63924.095301468013</v>
      </c>
      <c r="S88" s="120">
        <f t="shared" si="22"/>
        <v>65009.632438174747</v>
      </c>
      <c r="T88" s="120">
        <f t="shared" si="22"/>
        <v>66068.031146463793</v>
      </c>
      <c r="U88" s="120">
        <f t="shared" si="22"/>
        <v>67099.96988704562</v>
      </c>
      <c r="V88" s="120">
        <f t="shared" si="22"/>
        <v>68106.110159112897</v>
      </c>
      <c r="W88" s="120">
        <f t="shared" si="22"/>
        <v>69087.096924378508</v>
      </c>
      <c r="X88" s="120">
        <f t="shared" si="22"/>
        <v>70043.559020512446</v>
      </c>
    </row>
    <row r="89" spans="2:24">
      <c r="B89" s="1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</row>
    <row r="90" spans="2:24" s="13" customFormat="1">
      <c r="B90" s="13" t="s">
        <v>152</v>
      </c>
      <c r="C90" s="13" t="s">
        <v>167</v>
      </c>
      <c r="D90" s="86">
        <v>0.01</v>
      </c>
      <c r="E90" s="87">
        <f>$D$90 * $D$139 * (1+$D$91)</f>
        <v>5504.5</v>
      </c>
      <c r="F90" s="87">
        <f t="shared" ref="F90:X90" si="23">$D$90 * $D$139 * (1+$D$91)</f>
        <v>5504.5</v>
      </c>
      <c r="G90" s="87">
        <f t="shared" si="23"/>
        <v>5504.5</v>
      </c>
      <c r="H90" s="87">
        <f t="shared" si="23"/>
        <v>5504.5</v>
      </c>
      <c r="I90" s="87">
        <f t="shared" si="23"/>
        <v>5504.5</v>
      </c>
      <c r="J90" s="87">
        <f t="shared" si="23"/>
        <v>5504.5</v>
      </c>
      <c r="K90" s="87">
        <f t="shared" si="23"/>
        <v>5504.5</v>
      </c>
      <c r="L90" s="87">
        <f t="shared" si="23"/>
        <v>5504.5</v>
      </c>
      <c r="M90" s="87">
        <f t="shared" si="23"/>
        <v>5504.5</v>
      </c>
      <c r="N90" s="87">
        <f t="shared" si="23"/>
        <v>5504.5</v>
      </c>
      <c r="O90" s="87">
        <f t="shared" si="23"/>
        <v>5504.5</v>
      </c>
      <c r="P90" s="87">
        <f t="shared" si="23"/>
        <v>5504.5</v>
      </c>
      <c r="Q90" s="87">
        <f t="shared" si="23"/>
        <v>5504.5</v>
      </c>
      <c r="R90" s="87">
        <f t="shared" si="23"/>
        <v>5504.5</v>
      </c>
      <c r="S90" s="87">
        <f t="shared" si="23"/>
        <v>5504.5</v>
      </c>
      <c r="T90" s="87">
        <f t="shared" si="23"/>
        <v>5504.5</v>
      </c>
      <c r="U90" s="87">
        <f t="shared" si="23"/>
        <v>5504.5</v>
      </c>
      <c r="V90" s="87">
        <f t="shared" si="23"/>
        <v>5504.5</v>
      </c>
      <c r="W90" s="87">
        <f t="shared" si="23"/>
        <v>5504.5</v>
      </c>
      <c r="X90" s="87">
        <f t="shared" si="23"/>
        <v>5504.5</v>
      </c>
    </row>
    <row r="91" spans="2:24">
      <c r="B91" t="s">
        <v>153</v>
      </c>
      <c r="C91" t="s">
        <v>167</v>
      </c>
      <c r="D91" s="80">
        <v>0.01</v>
      </c>
    </row>
    <row r="92" spans="2:24" s="13" customFormat="1">
      <c r="B92" s="13" t="s">
        <v>154</v>
      </c>
      <c r="C92" s="13" t="s">
        <v>167</v>
      </c>
      <c r="D92" s="86">
        <v>1.4999999999999999E-2</v>
      </c>
      <c r="E92" s="83">
        <f>$D$92 * $D$139 * (1+$D$93)</f>
        <v>8358.9375</v>
      </c>
      <c r="F92" s="83">
        <f t="shared" ref="F92:X92" si="24">$D$92 * $D$139 * (1+$D$93)</f>
        <v>8358.9375</v>
      </c>
      <c r="G92" s="83">
        <f t="shared" si="24"/>
        <v>8358.9375</v>
      </c>
      <c r="H92" s="83">
        <f t="shared" si="24"/>
        <v>8358.9375</v>
      </c>
      <c r="I92" s="83">
        <f t="shared" si="24"/>
        <v>8358.9375</v>
      </c>
      <c r="J92" s="83">
        <f t="shared" si="24"/>
        <v>8358.9375</v>
      </c>
      <c r="K92" s="83">
        <f t="shared" si="24"/>
        <v>8358.9375</v>
      </c>
      <c r="L92" s="83">
        <f t="shared" si="24"/>
        <v>8358.9375</v>
      </c>
      <c r="M92" s="83">
        <f t="shared" si="24"/>
        <v>8358.9375</v>
      </c>
      <c r="N92" s="83">
        <f t="shared" si="24"/>
        <v>8358.9375</v>
      </c>
      <c r="O92" s="83">
        <f t="shared" si="24"/>
        <v>8358.9375</v>
      </c>
      <c r="P92" s="83">
        <f t="shared" si="24"/>
        <v>8358.9375</v>
      </c>
      <c r="Q92" s="83">
        <f t="shared" si="24"/>
        <v>8358.9375</v>
      </c>
      <c r="R92" s="83">
        <f t="shared" si="24"/>
        <v>8358.9375</v>
      </c>
      <c r="S92" s="83">
        <f t="shared" si="24"/>
        <v>8358.9375</v>
      </c>
      <c r="T92" s="83">
        <f t="shared" si="24"/>
        <v>8358.9375</v>
      </c>
      <c r="U92" s="83">
        <f t="shared" si="24"/>
        <v>8358.9375</v>
      </c>
      <c r="V92" s="83">
        <f t="shared" si="24"/>
        <v>8358.9375</v>
      </c>
      <c r="W92" s="83">
        <f t="shared" si="24"/>
        <v>8358.9375</v>
      </c>
      <c r="X92" s="83">
        <f t="shared" si="24"/>
        <v>8358.9375</v>
      </c>
    </row>
    <row r="93" spans="2:24">
      <c r="B93" t="s">
        <v>155</v>
      </c>
      <c r="C93" t="s">
        <v>167</v>
      </c>
      <c r="D93" s="80">
        <v>2.2499999999999999E-2</v>
      </c>
    </row>
    <row r="94" spans="2:24" s="13" customFormat="1" ht="17" thickBot="1">
      <c r="B94" s="11" t="s">
        <v>187</v>
      </c>
      <c r="C94" s="11"/>
      <c r="D94" s="143"/>
      <c r="E94" s="146">
        <f>E35+E46+E90+E92-'Model Initial - Battery Lazard'!E42-'Model Initial - Battery Lazard'!E43+'LCOS Solar + Degradation'!E22</f>
        <v>45081.26515671052</v>
      </c>
      <c r="F94" s="146">
        <f>F35+F46+F90+F92-'Model Initial - Battery Lazard'!F42-'Model Initial - Battery Lazard'!F43+'LCOS Solar + Degradation'!F22</f>
        <v>46490.646562593349</v>
      </c>
      <c r="G94" s="146">
        <f>G35+G46+G90+G92-'Model Initial - Battery Lazard'!G42-'Model Initial - Battery Lazard'!G43+'LCOS Solar + Degradation'!G22</f>
        <v>47858.74317959592</v>
      </c>
      <c r="H94" s="146">
        <f>H35+H46+H90+H92-'Model Initial - Battery Lazard'!H42-'Model Initial - Battery Lazard'!H43+'LCOS Solar + Degradation'!H22</f>
        <v>49186.380275444833</v>
      </c>
      <c r="I94" s="146">
        <f>I35+I46+I90+I92-'Model Initial - Battery Lazard'!I42-'Model Initial - Battery Lazard'!I43+'LCOS Solar + Degradation'!I22</f>
        <v>50474.355895212837</v>
      </c>
      <c r="J94" s="146">
        <f>J35+J46+J90+J92-'Model Initial - Battery Lazard'!J42-'Model Initial - Battery Lazard'!J43+'LCOS Solar + Degradation'!J22</f>
        <v>51723.44134163815</v>
      </c>
      <c r="K94" s="146">
        <f>K35+K46+K90+K92-'Model Initial - Battery Lazard'!K42-'Model Initial - Battery Lazard'!K43+'LCOS Solar + Degradation'!K22</f>
        <v>52934.381637543083</v>
      </c>
      <c r="L94" s="146">
        <f>L35+L46+L90+L92-'Model Initial - Battery Lazard'!L42-'Model Initial - Battery Lazard'!L43+'LCOS Solar + Degradation'!L22</f>
        <v>54107.89597062931</v>
      </c>
      <c r="M94" s="146">
        <f>M35+M46+M90+M92-'Model Initial - Battery Lazard'!M42-'Model Initial - Battery Lazard'!M43+'LCOS Solar + Degradation'!M22</f>
        <v>55244.678120916658</v>
      </c>
      <c r="N94" s="146">
        <f>N35+N46+N90+N92-'Model Initial - Battery Lazard'!N42-'Model Initial - Battery Lazard'!N43+'LCOS Solar + Degradation'!N22</f>
        <v>56345.396871080105</v>
      </c>
      <c r="O94" s="146">
        <f>O35+O46+O90+O92-'Model Initial - Battery Lazard'!O42-'Model Initial - Battery Lazard'!O43+'LCOS Solar + Degradation'!O22</f>
        <v>58034.459772873044</v>
      </c>
      <c r="P94" s="146">
        <f>P35+P46+P90+P92-'Model Initial - Battery Lazard'!P42-'Model Initial - Battery Lazard'!P43+'LCOS Solar + Degradation'!P22</f>
        <v>59080.554116520863</v>
      </c>
      <c r="Q94" s="146">
        <f>Q35+Q46+Q90+Q92-'Model Initial - Battery Lazard'!Q42-'Model Initial - Battery Lazard'!Q43+'LCOS Solar + Degradation'!Q22</f>
        <v>60092.835127975974</v>
      </c>
      <c r="R94" s="146">
        <f>R35+R46+R90+R92-'Model Initial - Battery Lazard'!R42-'Model Initial - Battery Lazard'!R43+'LCOS Solar + Degradation'!R22</f>
        <v>61071.885116443176</v>
      </c>
      <c r="S94" s="146">
        <f>S35+S46+S90+S92-'Model Initial - Battery Lazard'!S42-'Model Initial - Battery Lazard'!S43+'LCOS Solar + Degradation'!S22</f>
        <v>62018.263440716641</v>
      </c>
      <c r="T94" s="146">
        <f>T35+T46+T90+T92-'Model Initial - Battery Lazard'!T42-'Model Initial - Battery Lazard'!T43+'LCOS Solar + Degradation'!T22</f>
        <v>62932.506827714744</v>
      </c>
      <c r="U94" s="146">
        <f>U35+U46+U90+U92-'Model Initial - Battery Lazard'!U42-'Model Initial - Battery Lazard'!U43+'LCOS Solar + Degradation'!U22</f>
        <v>63815.129675535616</v>
      </c>
      <c r="V94" s="146">
        <f>V35+V46+V90+V92-'Model Initial - Battery Lazard'!V42-'Model Initial - Battery Lazard'!V43+'LCOS Solar + Degradation'!V22</f>
        <v>64666.624341204217</v>
      </c>
      <c r="W94" s="146">
        <f>W35+W46+W90+W92-'Model Initial - Battery Lazard'!W42-'Model Initial - Battery Lazard'!W43+'LCOS Solar + Degradation'!W22</f>
        <v>65487.461413271158</v>
      </c>
      <c r="X94" s="146">
        <f>X35+X46+X90+X92-'Model Initial - Battery Lazard'!X42-'Model Initial - Battery Lazard'!X43+'LCOS Solar + Degradation'!X22</f>
        <v>66278.089969413253</v>
      </c>
    </row>
    <row r="95" spans="2:24" s="13" customFormat="1" ht="18" thickTop="1" thickBot="1">
      <c r="B95" s="11" t="s">
        <v>244</v>
      </c>
      <c r="C95" s="11"/>
      <c r="D95" s="143"/>
      <c r="E95" s="18">
        <f t="shared" ref="E95:X95" si="25">E32-E94</f>
        <v>175806.14870958956</v>
      </c>
      <c r="F95" s="18">
        <f t="shared" si="25"/>
        <v>162771.11394232252</v>
      </c>
      <c r="G95" s="18">
        <f t="shared" si="25"/>
        <v>149777.36396393573</v>
      </c>
      <c r="H95" s="18">
        <f t="shared" si="25"/>
        <v>136824.07350670255</v>
      </c>
      <c r="I95" s="18">
        <f t="shared" si="25"/>
        <v>123910.44452555034</v>
      </c>
      <c r="J95" s="18">
        <f t="shared" si="25"/>
        <v>111035.70571774078</v>
      </c>
      <c r="K95" s="18">
        <f t="shared" si="25"/>
        <v>98199.112060451618</v>
      </c>
      <c r="L95" s="18">
        <f t="shared" si="25"/>
        <v>85399.944365981195</v>
      </c>
      <c r="M95" s="18">
        <f t="shared" si="25"/>
        <v>72637.508854309621</v>
      </c>
      <c r="N95" s="18">
        <f t="shared" si="25"/>
        <v>59911.136742761948</v>
      </c>
      <c r="O95" s="18">
        <f t="shared" si="25"/>
        <v>174478.60745481128</v>
      </c>
      <c r="P95" s="18">
        <f t="shared" si="25"/>
        <v>161806.85974977922</v>
      </c>
      <c r="Q95" s="18">
        <f t="shared" si="25"/>
        <v>149168.92537693991</v>
      </c>
      <c r="R95" s="18">
        <f t="shared" si="25"/>
        <v>136564.22202708846</v>
      </c>
      <c r="S95" s="18">
        <f t="shared" si="25"/>
        <v>123992.19034143075</v>
      </c>
      <c r="T95" s="18">
        <f t="shared" si="25"/>
        <v>111452.29359304844</v>
      </c>
      <c r="U95" s="18">
        <f t="shared" si="25"/>
        <v>98944.017383843326</v>
      </c>
      <c r="V95" s="18">
        <f t="shared" si="25"/>
        <v>86466.869356790499</v>
      </c>
      <c r="W95" s="18">
        <f t="shared" si="25"/>
        <v>74020.378923339347</v>
      </c>
      <c r="X95" s="18">
        <f t="shared" si="25"/>
        <v>61604.097005813019</v>
      </c>
    </row>
    <row r="96" spans="2:24" s="13" customFormat="1" ht="17" thickTop="1">
      <c r="B96" s="15" t="s">
        <v>246</v>
      </c>
      <c r="C96" s="13" t="s">
        <v>167</v>
      </c>
      <c r="D96" s="86"/>
      <c r="E96" s="115">
        <f t="shared" ref="E96:X96" si="26">E95 / E32</f>
        <v>0.79590840253126627</v>
      </c>
      <c r="F96" s="115">
        <f t="shared" si="26"/>
        <v>0.77783496396848284</v>
      </c>
      <c r="G96" s="115">
        <f t="shared" si="26"/>
        <v>0.75784413146308893</v>
      </c>
      <c r="H96" s="115">
        <f t="shared" si="26"/>
        <v>0.73557195697693867</v>
      </c>
      <c r="I96" s="115">
        <f t="shared" si="26"/>
        <v>0.71055759576851807</v>
      </c>
      <c r="J96" s="115">
        <f t="shared" si="26"/>
        <v>0.68220869747635104</v>
      </c>
      <c r="K96" s="115">
        <f t="shared" si="26"/>
        <v>0.64975082397472927</v>
      </c>
      <c r="L96" s="115">
        <f t="shared" si="26"/>
        <v>0.61215157628363071</v>
      </c>
      <c r="M96" s="115">
        <f t="shared" si="26"/>
        <v>0.56800333629249855</v>
      </c>
      <c r="N96" s="115">
        <f t="shared" si="26"/>
        <v>0.51533565366539236</v>
      </c>
      <c r="O96" s="115">
        <f t="shared" si="26"/>
        <v>0.7504034484391201</v>
      </c>
      <c r="P96" s="115">
        <f t="shared" si="26"/>
        <v>0.73253091662216008</v>
      </c>
      <c r="Q96" s="115">
        <f t="shared" si="26"/>
        <v>0.71283413184051703</v>
      </c>
      <c r="R96" s="115">
        <f t="shared" si="26"/>
        <v>0.69098822072987798</v>
      </c>
      <c r="S96" s="115">
        <f t="shared" si="26"/>
        <v>0.66658721496722173</v>
      </c>
      <c r="T96" s="115">
        <f t="shared" si="26"/>
        <v>0.63911701779129559</v>
      </c>
      <c r="U96" s="115">
        <f t="shared" si="26"/>
        <v>0.60791678484125911</v>
      </c>
      <c r="V96" s="115">
        <f t="shared" si="26"/>
        <v>0.5721224808683012</v>
      </c>
      <c r="W96" s="115">
        <f t="shared" si="26"/>
        <v>0.53058221491164803</v>
      </c>
      <c r="X96" s="115">
        <f t="shared" si="26"/>
        <v>0.48172539477876736</v>
      </c>
    </row>
    <row r="97" spans="2:24" s="13" customFormat="1">
      <c r="B97" s="15" t="s">
        <v>247</v>
      </c>
      <c r="C97" s="13" t="s">
        <v>167</v>
      </c>
      <c r="D97" s="86"/>
      <c r="E97" s="145">
        <f t="shared" ref="E97:X97" si="27">(E32 - $D$50 * E7/10^3 - E35 - E90 -E92) / E32</f>
        <v>0.39038125489799985</v>
      </c>
      <c r="F97" s="145">
        <f t="shared" si="27"/>
        <v>0.35662997588449857</v>
      </c>
      <c r="G97" s="145">
        <f t="shared" si="27"/>
        <v>0.31891678373438992</v>
      </c>
      <c r="H97" s="145">
        <f t="shared" si="27"/>
        <v>0.27649920672883771</v>
      </c>
      <c r="I97" s="145">
        <f t="shared" si="27"/>
        <v>0.22843679507889894</v>
      </c>
      <c r="J97" s="145">
        <f t="shared" si="27"/>
        <v>0.1735204149662872</v>
      </c>
      <c r="K97" s="145">
        <f t="shared" si="27"/>
        <v>0.11016890908073544</v>
      </c>
      <c r="L97" s="145">
        <f t="shared" si="27"/>
        <v>3.6274087444155556E-2</v>
      </c>
      <c r="M97" s="145">
        <f t="shared" si="27"/>
        <v>-5.1038832204404909E-2</v>
      </c>
      <c r="N97" s="145">
        <f t="shared" si="27"/>
        <v>-0.15579451976978789</v>
      </c>
      <c r="O97" s="145">
        <f t="shared" si="27"/>
        <v>0.41960443629006822</v>
      </c>
      <c r="P97" s="145">
        <f t="shared" si="27"/>
        <v>0.38919207827484353</v>
      </c>
      <c r="Q97" s="145">
        <f t="shared" si="27"/>
        <v>0.35541106984576343</v>
      </c>
      <c r="R97" s="145">
        <f t="shared" si="27"/>
        <v>0.31766740504468632</v>
      </c>
      <c r="S97" s="145">
        <f t="shared" si="27"/>
        <v>0.27521859357189155</v>
      </c>
      <c r="T97" s="145">
        <f t="shared" si="27"/>
        <v>0.22712416659302911</v>
      </c>
      <c r="U97" s="145">
        <f t="shared" si="27"/>
        <v>0.17217497076827062</v>
      </c>
      <c r="V97" s="145">
        <f t="shared" si="27"/>
        <v>0.10878982877776845</v>
      </c>
      <c r="W97" s="145">
        <f t="shared" si="27"/>
        <v>3.4860530133614412E-2</v>
      </c>
      <c r="X97" s="145">
        <f t="shared" si="27"/>
        <v>-5.2487728447709589E-2</v>
      </c>
    </row>
    <row r="98" spans="2:24" s="13" customFormat="1">
      <c r="B98" t="s">
        <v>145</v>
      </c>
      <c r="C98" t="s">
        <v>174</v>
      </c>
      <c r="D98" s="86"/>
      <c r="E98" s="123">
        <f>IF(E1&lt;=6,-$D$119*AVERAGE('Model and Assumptions'!B$82:B$87),0)</f>
        <v>-358239.99999999994</v>
      </c>
      <c r="F98" s="123">
        <f>IF(F1&lt;=6,-$D$119*AVERAGE('Model and Assumptions'!C$82:C$87),0)</f>
        <v>-573184</v>
      </c>
      <c r="G98" s="123">
        <f>IF(G1&lt;=6,-$D$119*AVERAGE('Model and Assumptions'!D$82:D$87),0)</f>
        <v>-343910.39999999997</v>
      </c>
      <c r="H98" s="123">
        <f>IF(H1&lt;=6,-$D$119*AVERAGE('Model and Assumptions'!E$82:E$87),0)</f>
        <v>-205988</v>
      </c>
      <c r="I98" s="123">
        <f>IF(I1&lt;=6,-$D$119*AVERAGE('Model and Assumptions'!F$82:F$87),0)</f>
        <v>-205988</v>
      </c>
      <c r="J98" s="123">
        <f>IF(J1&lt;=6,-$D$119*AVERAGE('Model and Assumptions'!G$82:G$87),0)</f>
        <v>-103889.60000000001</v>
      </c>
      <c r="K98" s="2">
        <f>IF(K1&lt;=6,-$D$119*AVERAGE('Model and Assumptions'!I$52:I$58),0)</f>
        <v>0</v>
      </c>
      <c r="L98" s="2">
        <f>IF(L1&lt;=6,-$D$119*AVERAGE('Model and Assumptions'!J$53:J$58),0)</f>
        <v>0</v>
      </c>
      <c r="M98" s="2">
        <f>IF(M1&lt;=6,-$D$119*AVERAGE('Model and Assumptions'!F$59:F$60),0)</f>
        <v>0</v>
      </c>
      <c r="N98" s="2">
        <f>IF(N1&lt;=6,-$D$119*AVERAGE('Model and Assumptions'!G$60:G$60),0)</f>
        <v>0</v>
      </c>
      <c r="O98" s="2">
        <f>IF(O1&lt;=6,-$D$119*AVERAGE('Model and Assumptions'!H$59:H$60),0)</f>
        <v>0</v>
      </c>
      <c r="P98" s="2">
        <f>IF(P1&lt;=6,-$D$119*AVERAGE('Model and Assumptions'!N$53:N$58),0)</f>
        <v>0</v>
      </c>
      <c r="Q98" s="2">
        <f>IF(Q1&lt;=6,-$D$119*AVERAGE('Model and Assumptions'!O$53:O$58),0)</f>
        <v>0</v>
      </c>
      <c r="R98" s="2">
        <f>IF(R1&lt;=6,-$D$119*AVERAGE('Model and Assumptions'!P$53:P$58),0)</f>
        <v>0</v>
      </c>
      <c r="S98" s="2">
        <f>IF(S1&lt;=6,-$D$119*AVERAGE('Model and Assumptions'!Q$53:Q$58),0)</f>
        <v>0</v>
      </c>
      <c r="T98" s="2">
        <f>IF(T1&lt;=6,-$D$119*AVERAGE('Model and Assumptions'!R$53:R$58),0)</f>
        <v>0</v>
      </c>
      <c r="U98" s="2">
        <f>IF(U1&lt;=6,-$D$119*AVERAGE('Model and Assumptions'!S$53:S$58),0)</f>
        <v>0</v>
      </c>
      <c r="V98" s="2">
        <f>IF(V1&lt;=6,-$D$119*AVERAGE('Model and Assumptions'!T$53:T$58),0)</f>
        <v>0</v>
      </c>
      <c r="W98" s="2">
        <f>IF(W1&lt;=6,-$D$119*AVERAGE('Model and Assumptions'!U$53:U$58),0)</f>
        <v>0</v>
      </c>
      <c r="X98" s="2">
        <f>IF(X1&lt;=6,-$D$119*AVERAGE('Model and Assumptions'!V$53:V$58),0)</f>
        <v>0</v>
      </c>
    </row>
    <row r="99" spans="2:24" s="13" customFormat="1">
      <c r="B99" t="s">
        <v>15</v>
      </c>
      <c r="C99" t="s">
        <v>174</v>
      </c>
      <c r="D99" s="86"/>
      <c r="E99" s="5">
        <f>'Debt rolling'!E27</f>
        <v>-57631.86</v>
      </c>
      <c r="F99" s="5">
        <f>'Debt rolling'!F27</f>
        <v>-54676.380000000005</v>
      </c>
      <c r="G99" s="5">
        <f>'Debt rolling'!G27</f>
        <v>-51720.9</v>
      </c>
      <c r="H99" s="5">
        <f>'Debt rolling'!H27</f>
        <v>-48765.420000000006</v>
      </c>
      <c r="I99" s="5">
        <f>'Debt rolling'!I27</f>
        <v>-45809.94</v>
      </c>
      <c r="J99" s="5">
        <f>'Debt rolling'!J27</f>
        <v>-42854.46</v>
      </c>
      <c r="K99" s="5">
        <f>'Debt rolling'!K27</f>
        <v>-39898.980000000003</v>
      </c>
      <c r="L99" s="5">
        <f>'Debt rolling'!L27</f>
        <v>-36943.5</v>
      </c>
      <c r="M99" s="5">
        <f>'Debt rolling'!M27</f>
        <v>-33988.020000000004</v>
      </c>
      <c r="N99" s="5">
        <f>'Debt rolling'!N27</f>
        <v>-31032.54</v>
      </c>
      <c r="O99" s="5">
        <f>'Debt rolling'!O27</f>
        <v>-28077.06</v>
      </c>
      <c r="P99" s="5">
        <f>'Debt rolling'!P27</f>
        <v>-25121.58</v>
      </c>
      <c r="Q99" s="5">
        <f>'Debt rolling'!Q27</f>
        <v>-22166.100000000002</v>
      </c>
      <c r="R99" s="5">
        <f>'Debt rolling'!R27</f>
        <v>-19210.620000000003</v>
      </c>
      <c r="S99" s="5">
        <f>'Debt rolling'!S27</f>
        <v>-16255.140000000001</v>
      </c>
      <c r="T99" s="5">
        <f>'Debt rolling'!T27</f>
        <v>-13299.66</v>
      </c>
      <c r="U99" s="5">
        <f>'Debt rolling'!U27</f>
        <v>-10344.18</v>
      </c>
      <c r="V99" s="5">
        <f>'Debt rolling'!V27</f>
        <v>-7388.7000000000007</v>
      </c>
      <c r="W99" s="5">
        <f>'Debt rolling'!W27</f>
        <v>-4433.22</v>
      </c>
      <c r="X99" s="5">
        <f>'Debt rolling'!X27</f>
        <v>-1477.74</v>
      </c>
    </row>
    <row r="100" spans="2:24" s="13" customFormat="1">
      <c r="B100" t="s">
        <v>249</v>
      </c>
      <c r="C100" t="s">
        <v>174</v>
      </c>
      <c r="D100" s="86"/>
      <c r="E100" s="150">
        <f t="shared" ref="E100:X100" si="28">IF((E95+E98+E99)&gt;0,-(E95+E98+E99) * $D$114,0)</f>
        <v>0</v>
      </c>
      <c r="F100" s="73">
        <f t="shared" si="28"/>
        <v>0</v>
      </c>
      <c r="G100" s="150">
        <f t="shared" si="28"/>
        <v>0</v>
      </c>
      <c r="H100" s="150">
        <f t="shared" si="28"/>
        <v>0</v>
      </c>
      <c r="I100" s="150">
        <f t="shared" si="28"/>
        <v>0</v>
      </c>
      <c r="J100" s="2">
        <f t="shared" si="28"/>
        <v>0</v>
      </c>
      <c r="K100" s="122">
        <f t="shared" si="28"/>
        <v>-12243.027732694838</v>
      </c>
      <c r="L100" s="122">
        <f t="shared" si="28"/>
        <v>-10175.85331685605</v>
      </c>
      <c r="M100" s="122">
        <f t="shared" si="28"/>
        <v>-8116.392659405019</v>
      </c>
      <c r="N100" s="122">
        <f t="shared" si="28"/>
        <v>-6064.5053159800091</v>
      </c>
      <c r="O100" s="122">
        <f t="shared" si="28"/>
        <v>-30744.324965510368</v>
      </c>
      <c r="P100" s="122">
        <f t="shared" si="28"/>
        <v>-28703.908747453632</v>
      </c>
      <c r="Q100" s="122">
        <f t="shared" si="28"/>
        <v>-26670.593329157378</v>
      </c>
      <c r="R100" s="122">
        <f t="shared" si="28"/>
        <v>-24644.256425688574</v>
      </c>
      <c r="S100" s="122">
        <f t="shared" si="28"/>
        <v>-22624.780571700456</v>
      </c>
      <c r="T100" s="122">
        <f t="shared" si="28"/>
        <v>-20612.053054540171</v>
      </c>
      <c r="U100" s="122">
        <f t="shared" si="28"/>
        <v>-18605.965850607095</v>
      </c>
      <c r="V100" s="122">
        <f t="shared" si="28"/>
        <v>-16606.415564926006</v>
      </c>
      <c r="W100" s="122">
        <f t="shared" si="28"/>
        <v>-14613.303373901263</v>
      </c>
      <c r="X100" s="122">
        <f t="shared" si="28"/>
        <v>-12626.534971220733</v>
      </c>
    </row>
    <row r="101" spans="2:24" s="13" customFormat="1" ht="17" thickBot="1">
      <c r="B101" s="11" t="s">
        <v>248</v>
      </c>
      <c r="C101" s="11" t="s">
        <v>174</v>
      </c>
      <c r="D101" s="143"/>
      <c r="E101" s="146">
        <f t="shared" ref="E101:X101" si="29">E95+E98+E99+E100</f>
        <v>-240065.71129041037</v>
      </c>
      <c r="F101" s="146">
        <f t="shared" si="29"/>
        <v>-465089.26605767745</v>
      </c>
      <c r="G101" s="146">
        <f t="shared" si="29"/>
        <v>-245853.93603606423</v>
      </c>
      <c r="H101" s="146">
        <f t="shared" si="29"/>
        <v>-117929.34649329746</v>
      </c>
      <c r="I101" s="146">
        <f t="shared" si="29"/>
        <v>-127887.49547444966</v>
      </c>
      <c r="J101" s="146">
        <f t="shared" si="29"/>
        <v>-35708.354282259221</v>
      </c>
      <c r="K101" s="146">
        <f t="shared" si="29"/>
        <v>46057.104327756781</v>
      </c>
      <c r="L101" s="146">
        <f t="shared" si="29"/>
        <v>38280.591049125142</v>
      </c>
      <c r="M101" s="146">
        <f t="shared" si="29"/>
        <v>30533.096194904596</v>
      </c>
      <c r="N101" s="146">
        <f t="shared" si="29"/>
        <v>22814.091426781939</v>
      </c>
      <c r="O101" s="146">
        <f t="shared" si="29"/>
        <v>115657.22248930091</v>
      </c>
      <c r="P101" s="146">
        <f t="shared" si="29"/>
        <v>107981.37100232557</v>
      </c>
      <c r="Q101" s="146">
        <f t="shared" si="29"/>
        <v>100332.23204778253</v>
      </c>
      <c r="R101" s="146">
        <f t="shared" si="29"/>
        <v>92709.345601399895</v>
      </c>
      <c r="S101" s="146">
        <f t="shared" si="29"/>
        <v>85112.269769730294</v>
      </c>
      <c r="T101" s="146">
        <f t="shared" si="29"/>
        <v>77540.580538508264</v>
      </c>
      <c r="U101" s="146">
        <f t="shared" si="29"/>
        <v>69993.871533236219</v>
      </c>
      <c r="V101" s="146">
        <f t="shared" si="29"/>
        <v>62471.753791864496</v>
      </c>
      <c r="W101" s="146">
        <f t="shared" si="29"/>
        <v>54973.855549438085</v>
      </c>
      <c r="X101" s="146">
        <f t="shared" si="29"/>
        <v>47499.822034592289</v>
      </c>
    </row>
    <row r="102" spans="2:24" s="13" customFormat="1" ht="17" thickTop="1">
      <c r="B102" s="15" t="s">
        <v>311</v>
      </c>
      <c r="C102" s="15" t="s">
        <v>174</v>
      </c>
      <c r="D102" s="86"/>
      <c r="E102" s="208">
        <f>-'Debt rolling'!E24</f>
        <v>-89560</v>
      </c>
      <c r="F102" s="208">
        <f>-'Debt rolling'!F24</f>
        <v>-89560</v>
      </c>
      <c r="G102" s="208">
        <f>-'Debt rolling'!G24</f>
        <v>-89560</v>
      </c>
      <c r="H102" s="208">
        <f>-'Debt rolling'!H24</f>
        <v>-89560</v>
      </c>
      <c r="I102" s="208">
        <f>-'Debt rolling'!I24</f>
        <v>-89560</v>
      </c>
      <c r="J102" s="208">
        <f>-'Debt rolling'!J24</f>
        <v>-89560</v>
      </c>
      <c r="K102" s="208">
        <f>-'Debt rolling'!K24</f>
        <v>-89560</v>
      </c>
      <c r="L102" s="208">
        <f>-'Debt rolling'!L24</f>
        <v>-89560</v>
      </c>
      <c r="M102" s="208">
        <f>-'Debt rolling'!M24</f>
        <v>-89560</v>
      </c>
      <c r="N102" s="208">
        <f>-'Debt rolling'!N24</f>
        <v>-89560</v>
      </c>
      <c r="O102" s="208">
        <f>-'Debt rolling'!O24</f>
        <v>-89560</v>
      </c>
      <c r="P102" s="208">
        <f>-'Debt rolling'!P24</f>
        <v>-89560</v>
      </c>
      <c r="Q102" s="208">
        <f>-'Debt rolling'!Q24</f>
        <v>-89560</v>
      </c>
      <c r="R102" s="208">
        <f>-'Debt rolling'!R24</f>
        <v>-89560</v>
      </c>
      <c r="S102" s="208">
        <f>-'Debt rolling'!S24</f>
        <v>-89560</v>
      </c>
      <c r="T102" s="208">
        <f>-'Debt rolling'!T24</f>
        <v>-89560</v>
      </c>
      <c r="U102" s="208">
        <f>-'Debt rolling'!U24</f>
        <v>-89560</v>
      </c>
      <c r="V102" s="208">
        <f>-'Debt rolling'!V24</f>
        <v>-89560</v>
      </c>
      <c r="W102" s="208">
        <f>-'Debt rolling'!W24</f>
        <v>-89560</v>
      </c>
      <c r="X102" s="208">
        <f>-'Debt rolling'!X24</f>
        <v>-89560</v>
      </c>
    </row>
    <row r="103" spans="2:24" s="13" customFormat="1">
      <c r="B103" s="15" t="s">
        <v>17</v>
      </c>
      <c r="C103" s="15" t="s">
        <v>174</v>
      </c>
      <c r="D103" s="86"/>
      <c r="E103" s="151">
        <f t="shared" ref="E103:X103" si="30">-E98 * $D$114</f>
        <v>75230.39999999998</v>
      </c>
      <c r="F103" s="151">
        <f t="shared" si="30"/>
        <v>120368.64</v>
      </c>
      <c r="G103" s="151">
        <f t="shared" si="30"/>
        <v>72221.183999999994</v>
      </c>
      <c r="H103" s="151">
        <f t="shared" si="30"/>
        <v>43257.479999999996</v>
      </c>
      <c r="I103" s="151">
        <f t="shared" si="30"/>
        <v>43257.479999999996</v>
      </c>
      <c r="J103" s="151">
        <f t="shared" si="30"/>
        <v>21816.815999999999</v>
      </c>
      <c r="K103" s="151">
        <f t="shared" si="30"/>
        <v>0</v>
      </c>
      <c r="L103" s="151">
        <f t="shared" si="30"/>
        <v>0</v>
      </c>
      <c r="M103" s="151">
        <f t="shared" si="30"/>
        <v>0</v>
      </c>
      <c r="N103" s="151">
        <f t="shared" si="30"/>
        <v>0</v>
      </c>
      <c r="O103" s="151">
        <f t="shared" si="30"/>
        <v>0</v>
      </c>
      <c r="P103" s="151">
        <f t="shared" si="30"/>
        <v>0</v>
      </c>
      <c r="Q103" s="151">
        <f t="shared" si="30"/>
        <v>0</v>
      </c>
      <c r="R103" s="151">
        <f t="shared" si="30"/>
        <v>0</v>
      </c>
      <c r="S103" s="151">
        <f t="shared" si="30"/>
        <v>0</v>
      </c>
      <c r="T103" s="151">
        <f t="shared" si="30"/>
        <v>0</v>
      </c>
      <c r="U103" s="151">
        <f t="shared" si="30"/>
        <v>0</v>
      </c>
      <c r="V103" s="151">
        <f t="shared" si="30"/>
        <v>0</v>
      </c>
      <c r="W103" s="151">
        <f t="shared" si="30"/>
        <v>0</v>
      </c>
      <c r="X103" s="151">
        <f t="shared" si="30"/>
        <v>0</v>
      </c>
    </row>
    <row r="104" spans="2:24" s="13" customFormat="1" ht="17" thickBot="1">
      <c r="B104" s="11" t="s">
        <v>260</v>
      </c>
      <c r="C104" s="11"/>
      <c r="D104" s="143"/>
      <c r="E104" s="18">
        <f t="shared" ref="E104:X104" si="31">E101-E98</f>
        <v>118174.28870958957</v>
      </c>
      <c r="F104" s="18">
        <f t="shared" si="31"/>
        <v>108094.73394232255</v>
      </c>
      <c r="G104" s="18">
        <f t="shared" si="31"/>
        <v>98056.463963935734</v>
      </c>
      <c r="H104" s="18">
        <f t="shared" si="31"/>
        <v>88058.65350670254</v>
      </c>
      <c r="I104" s="18">
        <f t="shared" si="31"/>
        <v>78100.504525550336</v>
      </c>
      <c r="J104" s="18">
        <f t="shared" si="31"/>
        <v>68181.245717740792</v>
      </c>
      <c r="K104" s="18">
        <f t="shared" si="31"/>
        <v>46057.104327756781</v>
      </c>
      <c r="L104" s="18">
        <f t="shared" si="31"/>
        <v>38280.591049125142</v>
      </c>
      <c r="M104" s="18">
        <f t="shared" si="31"/>
        <v>30533.096194904596</v>
      </c>
      <c r="N104" s="18">
        <f t="shared" si="31"/>
        <v>22814.091426781939</v>
      </c>
      <c r="O104" s="18">
        <f t="shared" si="31"/>
        <v>115657.22248930091</v>
      </c>
      <c r="P104" s="18">
        <f t="shared" si="31"/>
        <v>107981.37100232557</v>
      </c>
      <c r="Q104" s="18">
        <f t="shared" si="31"/>
        <v>100332.23204778253</v>
      </c>
      <c r="R104" s="18">
        <f t="shared" si="31"/>
        <v>92709.345601399895</v>
      </c>
      <c r="S104" s="18">
        <f t="shared" si="31"/>
        <v>85112.269769730294</v>
      </c>
      <c r="T104" s="18">
        <f t="shared" si="31"/>
        <v>77540.580538508264</v>
      </c>
      <c r="U104" s="18">
        <f t="shared" si="31"/>
        <v>69993.871533236219</v>
      </c>
      <c r="V104" s="18">
        <f t="shared" si="31"/>
        <v>62471.753791864496</v>
      </c>
      <c r="W104" s="18">
        <f t="shared" si="31"/>
        <v>54973.855549438085</v>
      </c>
      <c r="X104" s="18">
        <f t="shared" si="31"/>
        <v>47499.822034592289</v>
      </c>
    </row>
    <row r="105" spans="2:24" s="13" customFormat="1" ht="17" thickTop="1">
      <c r="D105" s="86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</row>
    <row r="106" spans="2:24" s="13" customFormat="1">
      <c r="B106" s="13" t="s">
        <v>250</v>
      </c>
      <c r="C106" s="13" t="s">
        <v>174</v>
      </c>
      <c r="D106" s="124">
        <f>SUM(E106:X106)</f>
        <v>-1101647.2035131878</v>
      </c>
      <c r="E106" s="120">
        <f t="shared" ref="E106:X106" si="32">SUM(E101:E103) / (1+$D$115)^E$1</f>
        <v>-227138.67079500927</v>
      </c>
      <c r="F106" s="120">
        <f t="shared" si="32"/>
        <v>-346205.85623220453</v>
      </c>
      <c r="G106" s="120">
        <f t="shared" si="32"/>
        <v>-187335.4022669234</v>
      </c>
      <c r="H106" s="120">
        <f t="shared" si="32"/>
        <v>-104372.32020665918</v>
      </c>
      <c r="I106" s="120">
        <f t="shared" si="32"/>
        <v>-98840.092778241116</v>
      </c>
      <c r="J106" s="120">
        <f t="shared" si="32"/>
        <v>-52411.768827459498</v>
      </c>
      <c r="K106" s="120">
        <f t="shared" si="32"/>
        <v>-19678.500722221957</v>
      </c>
      <c r="L106" s="120">
        <f t="shared" si="32"/>
        <v>-20710.893215953492</v>
      </c>
      <c r="M106" s="120">
        <f t="shared" si="32"/>
        <v>-21285.693255740749</v>
      </c>
      <c r="N106" s="120">
        <f t="shared" si="32"/>
        <v>-21490.396212505708</v>
      </c>
      <c r="O106" s="120">
        <f t="shared" si="32"/>
        <v>7502.327849024744</v>
      </c>
      <c r="P106" s="120">
        <f t="shared" si="32"/>
        <v>4728.3071142034096</v>
      </c>
      <c r="Q106" s="120">
        <f t="shared" si="32"/>
        <v>2468.7175554409623</v>
      </c>
      <c r="R106" s="120">
        <f t="shared" si="32"/>
        <v>644.41850682116535</v>
      </c>
      <c r="S106" s="120">
        <f t="shared" si="32"/>
        <v>-812.58368418203145</v>
      </c>
      <c r="T106" s="120">
        <f t="shared" si="32"/>
        <v>-1960.6276769470494</v>
      </c>
      <c r="U106" s="120">
        <f t="shared" si="32"/>
        <v>-2849.6958851185918</v>
      </c>
      <c r="V106" s="120">
        <f t="shared" si="32"/>
        <v>-3522.5444339001556</v>
      </c>
      <c r="W106" s="120">
        <f t="shared" si="32"/>
        <v>-4015.6857572195318</v>
      </c>
      <c r="X106" s="120">
        <f t="shared" si="32"/>
        <v>-4360.242588391864</v>
      </c>
    </row>
    <row r="107" spans="2:24" s="13" customFormat="1">
      <c r="B107" s="13" t="s">
        <v>258</v>
      </c>
      <c r="C107" s="13" t="s">
        <v>174</v>
      </c>
      <c r="D107" s="124">
        <f>SUM(E107:X107)</f>
        <v>220363.2702086487</v>
      </c>
      <c r="E107" s="120">
        <f t="shared" ref="E107:X107" si="33">SUM(E102:E104) / (1+$D$115)^E$1</f>
        <v>92718.472062133515</v>
      </c>
      <c r="F107" s="120">
        <f t="shared" si="33"/>
        <v>110732.91927799948</v>
      </c>
      <c r="G107" s="120">
        <f t="shared" si="33"/>
        <v>57453.22747068583</v>
      </c>
      <c r="H107" s="120">
        <f t="shared" si="33"/>
        <v>26536.777727795179</v>
      </c>
      <c r="I107" s="120">
        <f t="shared" si="33"/>
        <v>18043.0303775217</v>
      </c>
      <c r="J107" s="120">
        <f t="shared" si="33"/>
        <v>221.93569920387634</v>
      </c>
      <c r="K107" s="120">
        <f t="shared" si="33"/>
        <v>-19678.500722221957</v>
      </c>
      <c r="L107" s="120">
        <f t="shared" si="33"/>
        <v>-20710.893215953492</v>
      </c>
      <c r="M107" s="120">
        <f t="shared" si="33"/>
        <v>-21285.693255740749</v>
      </c>
      <c r="N107" s="120">
        <f t="shared" si="33"/>
        <v>-21490.396212505708</v>
      </c>
      <c r="O107" s="120">
        <f t="shared" si="33"/>
        <v>7502.327849024744</v>
      </c>
      <c r="P107" s="120">
        <f t="shared" si="33"/>
        <v>4728.3071142034096</v>
      </c>
      <c r="Q107" s="120">
        <f t="shared" si="33"/>
        <v>2468.7175554409623</v>
      </c>
      <c r="R107" s="120">
        <f t="shared" si="33"/>
        <v>644.41850682116535</v>
      </c>
      <c r="S107" s="120">
        <f t="shared" si="33"/>
        <v>-812.58368418203145</v>
      </c>
      <c r="T107" s="120">
        <f t="shared" si="33"/>
        <v>-1960.6276769470494</v>
      </c>
      <c r="U107" s="120">
        <f t="shared" si="33"/>
        <v>-2849.6958851185918</v>
      </c>
      <c r="V107" s="120">
        <f t="shared" si="33"/>
        <v>-3522.5444339001556</v>
      </c>
      <c r="W107" s="120">
        <f t="shared" si="33"/>
        <v>-4015.6857572195318</v>
      </c>
      <c r="X107" s="120">
        <f t="shared" si="33"/>
        <v>-4360.242588391864</v>
      </c>
    </row>
    <row r="108" spans="2:24" s="13" customFormat="1">
      <c r="D108" s="86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</row>
    <row r="109" spans="2:24">
      <c r="B109" s="19" t="s">
        <v>156</v>
      </c>
      <c r="C109" s="19"/>
    </row>
    <row r="110" spans="2:24">
      <c r="B110" t="s">
        <v>157</v>
      </c>
      <c r="C110" t="s">
        <v>167</v>
      </c>
      <c r="D110" s="100">
        <v>0</v>
      </c>
    </row>
    <row r="111" spans="2:24">
      <c r="B111" t="s">
        <v>158</v>
      </c>
      <c r="C111" t="s">
        <v>167</v>
      </c>
      <c r="D111" s="29">
        <v>0</v>
      </c>
    </row>
    <row r="112" spans="2:24">
      <c r="B112" t="s">
        <v>35</v>
      </c>
      <c r="C112" t="s">
        <v>167</v>
      </c>
      <c r="D112" s="100">
        <f>IF(D110=0,1,1-D110)</f>
        <v>1</v>
      </c>
    </row>
    <row r="113" spans="2:24">
      <c r="B113" t="s">
        <v>37</v>
      </c>
      <c r="C113" t="s">
        <v>167</v>
      </c>
      <c r="D113" s="100">
        <v>0.12</v>
      </c>
    </row>
    <row r="114" spans="2:24">
      <c r="B114" t="s">
        <v>39</v>
      </c>
      <c r="C114" t="s">
        <v>167</v>
      </c>
      <c r="D114" s="100">
        <v>0.21</v>
      </c>
    </row>
    <row r="115" spans="2:24">
      <c r="B115" s="13" t="s">
        <v>38</v>
      </c>
      <c r="C115" t="s">
        <v>167</v>
      </c>
      <c r="D115" s="80">
        <f>D110 * (1 - D114) * D111 + D112 * D113</f>
        <v>0.12</v>
      </c>
    </row>
    <row r="116" spans="2:24">
      <c r="B116" s="13"/>
      <c r="D116" s="80"/>
    </row>
    <row r="117" spans="2:24">
      <c r="B117" s="13" t="s">
        <v>275</v>
      </c>
      <c r="D117" s="80">
        <v>3.3000000000000002E-2</v>
      </c>
    </row>
    <row r="119" spans="2:24">
      <c r="B119" s="13" t="s">
        <v>146</v>
      </c>
      <c r="C119" s="13"/>
      <c r="D119" s="23">
        <f>D131 + D135 + D139 + D141</f>
        <v>1791200</v>
      </c>
      <c r="E119" s="5"/>
    </row>
    <row r="120" spans="2:24">
      <c r="B120" s="13" t="s">
        <v>232</v>
      </c>
      <c r="C120" s="13"/>
      <c r="D120" s="23">
        <f>D143</f>
        <v>2059000</v>
      </c>
    </row>
    <row r="121" spans="2:24">
      <c r="B121" s="13" t="s">
        <v>189</v>
      </c>
      <c r="C121" s="13"/>
      <c r="D121" s="101">
        <f>SUM(E121:X121)</f>
        <v>393234.0714079896</v>
      </c>
      <c r="E121" s="102">
        <f t="shared" ref="E121:X121" si="34">E$94 / (1+$D$115)^E$1</f>
        <v>40251.129604205817</v>
      </c>
      <c r="F121" s="102">
        <f t="shared" si="34"/>
        <v>37062.058803087806</v>
      </c>
      <c r="G121" s="102">
        <f t="shared" si="34"/>
        <v>34064.908080411173</v>
      </c>
      <c r="H121" s="102">
        <f t="shared" si="34"/>
        <v>31258.833876339992</v>
      </c>
      <c r="I121" s="102">
        <f t="shared" si="34"/>
        <v>28640.505060042164</v>
      </c>
      <c r="J121" s="102">
        <f t="shared" si="34"/>
        <v>26204.705078063515</v>
      </c>
      <c r="K121" s="102">
        <f t="shared" si="34"/>
        <v>23944.825998086275</v>
      </c>
      <c r="L121" s="102">
        <f t="shared" si="34"/>
        <v>21853.271683789666</v>
      </c>
      <c r="M121" s="102">
        <f t="shared" si="34"/>
        <v>19921.78475728308</v>
      </c>
      <c r="N121" s="102">
        <f t="shared" si="34"/>
        <v>18141.709797568936</v>
      </c>
      <c r="O121" s="102">
        <f t="shared" si="34"/>
        <v>16683.520398986144</v>
      </c>
      <c r="P121" s="102">
        <f t="shared" si="34"/>
        <v>15164.506719123077</v>
      </c>
      <c r="Q121" s="102">
        <f t="shared" si="34"/>
        <v>13771.726823058187</v>
      </c>
      <c r="R121" s="102">
        <f t="shared" si="34"/>
        <v>12496.517688626569</v>
      </c>
      <c r="S121" s="102">
        <f t="shared" si="34"/>
        <v>11330.504860717107</v>
      </c>
      <c r="T121" s="102">
        <f t="shared" si="34"/>
        <v>10265.655097684978</v>
      </c>
      <c r="U121" s="102">
        <f t="shared" si="34"/>
        <v>9294.3125030376341</v>
      </c>
      <c r="V121" s="102">
        <f t="shared" si="34"/>
        <v>8409.2213235941417</v>
      </c>
      <c r="W121" s="102">
        <f t="shared" si="34"/>
        <v>7603.538071427447</v>
      </c>
      <c r="X121" s="102">
        <f t="shared" si="34"/>
        <v>6870.8351828558871</v>
      </c>
    </row>
    <row r="122" spans="2:24">
      <c r="B122" s="13" t="s">
        <v>274</v>
      </c>
      <c r="C122" s="13"/>
      <c r="D122" s="101">
        <f>SUM(E122:X122)</f>
        <v>966540.54834980075</v>
      </c>
      <c r="E122" s="102">
        <f t="shared" ref="E122:X122" si="35">-(E$102+E99) / (1+$D$115)^E$1</f>
        <v>131421.30357142855</v>
      </c>
      <c r="F122" s="102">
        <f t="shared" si="35"/>
        <v>114984.35905612244</v>
      </c>
      <c r="G122" s="102">
        <f t="shared" si="35"/>
        <v>100560.95401330171</v>
      </c>
      <c r="H122" s="102">
        <f t="shared" si="35"/>
        <v>87908.305112941205</v>
      </c>
      <c r="I122" s="102">
        <f t="shared" si="35"/>
        <v>76812.539413015431</v>
      </c>
      <c r="J122" s="102">
        <f t="shared" si="35"/>
        <v>67085.286329889481</v>
      </c>
      <c r="K122" s="102">
        <f t="shared" si="35"/>
        <v>58560.668021314588</v>
      </c>
      <c r="L122" s="102">
        <f t="shared" si="35"/>
        <v>51092.641930688122</v>
      </c>
      <c r="M122" s="102">
        <f t="shared" si="35"/>
        <v>44552.654578624693</v>
      </c>
      <c r="N122" s="102">
        <f t="shared" si="35"/>
        <v>38827.570412492976</v>
      </c>
      <c r="O122" s="102">
        <f t="shared" si="35"/>
        <v>33817.843706440981</v>
      </c>
      <c r="P122" s="102">
        <f t="shared" si="35"/>
        <v>29435.905205624065</v>
      </c>
      <c r="Q122" s="102">
        <f t="shared" si="35"/>
        <v>25604.738483862344</v>
      </c>
      <c r="R122" s="102">
        <f t="shared" si="35"/>
        <v>22256.623882515611</v>
      </c>
      <c r="S122" s="102">
        <f t="shared" si="35"/>
        <v>19332.030463147825</v>
      </c>
      <c r="T122" s="102">
        <f t="shared" si="35"/>
        <v>16778.638675809558</v>
      </c>
      <c r="U122" s="102">
        <f t="shared" si="35"/>
        <v>14550.478452380092</v>
      </c>
      <c r="V122" s="102">
        <f t="shared" si="35"/>
        <v>12607.169210396882</v>
      </c>
      <c r="W122" s="102">
        <f t="shared" si="35"/>
        <v>10913.249823747547</v>
      </c>
      <c r="X122" s="102">
        <f t="shared" si="35"/>
        <v>9437.5880060567815</v>
      </c>
    </row>
    <row r="123" spans="2:24">
      <c r="B123" s="13" t="s">
        <v>188</v>
      </c>
      <c r="D123" s="101">
        <f>SUM(E123:X123)</f>
        <v>617399.99999999977</v>
      </c>
      <c r="E123" s="102">
        <f t="shared" ref="E123:X123" si="36">E30</f>
        <v>39101.999999999993</v>
      </c>
      <c r="F123" s="102">
        <f t="shared" si="36"/>
        <v>37043.999999999993</v>
      </c>
      <c r="G123" s="102">
        <f t="shared" si="36"/>
        <v>34985.999999999993</v>
      </c>
      <c r="H123" s="102">
        <f t="shared" si="36"/>
        <v>32927.999999999985</v>
      </c>
      <c r="I123" s="102">
        <f t="shared" si="36"/>
        <v>30869.999999999985</v>
      </c>
      <c r="J123" s="102">
        <f t="shared" si="36"/>
        <v>28811.999999999982</v>
      </c>
      <c r="K123" s="102">
        <f t="shared" si="36"/>
        <v>26753.999999999982</v>
      </c>
      <c r="L123" s="102">
        <f t="shared" si="36"/>
        <v>24695.999999999982</v>
      </c>
      <c r="M123" s="102">
        <f t="shared" si="36"/>
        <v>22637.999999999978</v>
      </c>
      <c r="N123" s="102">
        <f t="shared" si="36"/>
        <v>20579.999999999978</v>
      </c>
      <c r="O123" s="102">
        <f t="shared" si="36"/>
        <v>41159.999999999993</v>
      </c>
      <c r="P123" s="102">
        <f t="shared" si="36"/>
        <v>39101.999999999993</v>
      </c>
      <c r="Q123" s="102">
        <f t="shared" si="36"/>
        <v>37043.999999999993</v>
      </c>
      <c r="R123" s="102">
        <f t="shared" si="36"/>
        <v>34985.999999999993</v>
      </c>
      <c r="S123" s="102">
        <f t="shared" si="36"/>
        <v>32927.999999999985</v>
      </c>
      <c r="T123" s="102">
        <f t="shared" si="36"/>
        <v>30869.999999999985</v>
      </c>
      <c r="U123" s="102">
        <f t="shared" si="36"/>
        <v>28811.999999999982</v>
      </c>
      <c r="V123" s="102">
        <f t="shared" si="36"/>
        <v>26753.999999999982</v>
      </c>
      <c r="W123" s="102">
        <f t="shared" si="36"/>
        <v>24695.999999999982</v>
      </c>
      <c r="X123" s="102">
        <f t="shared" si="36"/>
        <v>22637.999999999978</v>
      </c>
    </row>
    <row r="124" spans="2:24">
      <c r="B124" s="13" t="s">
        <v>261</v>
      </c>
      <c r="D124" s="101">
        <f>SUM(E124:X124)</f>
        <v>240710.4427142783</v>
      </c>
      <c r="E124" s="102">
        <f t="shared" ref="E124:X124" si="37">E123 / (1+$D$115)^E1</f>
        <v>34912.499999999993</v>
      </c>
      <c r="F124" s="102">
        <f t="shared" si="37"/>
        <v>29531.249999999989</v>
      </c>
      <c r="G124" s="102">
        <f t="shared" si="37"/>
        <v>24902.343749999989</v>
      </c>
      <c r="H124" s="102">
        <f t="shared" si="37"/>
        <v>20926.339285714272</v>
      </c>
      <c r="I124" s="102">
        <f t="shared" si="37"/>
        <v>17516.467036033151</v>
      </c>
      <c r="J124" s="102">
        <f t="shared" si="37"/>
        <v>14597.055863360954</v>
      </c>
      <c r="K124" s="102">
        <f t="shared" si="37"/>
        <v>12102.150907123239</v>
      </c>
      <c r="L124" s="102">
        <f t="shared" si="37"/>
        <v>9974.3001981784928</v>
      </c>
      <c r="M124" s="102">
        <f t="shared" si="37"/>
        <v>8163.4897455329901</v>
      </c>
      <c r="N124" s="102">
        <f t="shared" si="37"/>
        <v>6626.2092090365168</v>
      </c>
      <c r="O124" s="102">
        <f t="shared" si="37"/>
        <v>11832.516444708073</v>
      </c>
      <c r="P124" s="102">
        <f t="shared" si="37"/>
        <v>10036.509484350599</v>
      </c>
      <c r="Q124" s="102">
        <f t="shared" si="37"/>
        <v>8489.528699168739</v>
      </c>
      <c r="R124" s="102">
        <f t="shared" si="37"/>
        <v>7158.828764179987</v>
      </c>
      <c r="S124" s="102">
        <f t="shared" si="37"/>
        <v>6015.8224909075516</v>
      </c>
      <c r="T124" s="102">
        <f t="shared" si="37"/>
        <v>5035.5657010944897</v>
      </c>
      <c r="U124" s="102">
        <f t="shared" si="37"/>
        <v>4196.3047509120734</v>
      </c>
      <c r="V124" s="102">
        <f t="shared" si="37"/>
        <v>3479.0791939959786</v>
      </c>
      <c r="W124" s="102">
        <f t="shared" si="37"/>
        <v>2867.3729620845975</v>
      </c>
      <c r="X124" s="102">
        <f t="shared" si="37"/>
        <v>2346.8082278966194</v>
      </c>
    </row>
    <row r="125" spans="2:24">
      <c r="B125" s="13" t="s">
        <v>202</v>
      </c>
      <c r="D125" s="14">
        <f>($D$121+D122) / D123</f>
        <v>2.2024208288917895</v>
      </c>
      <c r="E125" s="70"/>
    </row>
    <row r="127" spans="2:24">
      <c r="B127" t="s">
        <v>269</v>
      </c>
      <c r="D127" s="85">
        <f>($D$121+D122) / D124</f>
        <v>5.6490055205948577</v>
      </c>
    </row>
    <row r="129" spans="2:4">
      <c r="B129" s="13" t="s">
        <v>293</v>
      </c>
      <c r="C129" s="13" t="s">
        <v>174</v>
      </c>
      <c r="D129" s="101">
        <f>'Model Initial - Battery Lazard'!D62</f>
        <v>520000</v>
      </c>
    </row>
    <row r="130" spans="2:4">
      <c r="B130" s="13" t="s">
        <v>294</v>
      </c>
      <c r="C130" s="13" t="s">
        <v>167</v>
      </c>
      <c r="D130" s="207">
        <v>0.26</v>
      </c>
    </row>
    <row r="131" spans="2:4">
      <c r="B131" s="13" t="s">
        <v>295</v>
      </c>
      <c r="C131" s="13" t="s">
        <v>174</v>
      </c>
      <c r="D131" s="101">
        <f>D129 * (1 - D130)</f>
        <v>384800</v>
      </c>
    </row>
    <row r="132" spans="2:4">
      <c r="B132" s="13"/>
      <c r="D132" s="14"/>
    </row>
    <row r="133" spans="2:4">
      <c r="B133" s="13" t="s">
        <v>296</v>
      </c>
      <c r="C133" s="13" t="s">
        <v>174</v>
      </c>
      <c r="D133" s="101">
        <f>'LCOS Solar + Degradation'!D43</f>
        <v>510000</v>
      </c>
    </row>
    <row r="134" spans="2:4">
      <c r="B134" s="13" t="s">
        <v>297</v>
      </c>
      <c r="C134" s="13" t="s">
        <v>167</v>
      </c>
      <c r="D134" s="108">
        <v>0.26</v>
      </c>
    </row>
    <row r="135" spans="2:4">
      <c r="B135" s="13" t="s">
        <v>298</v>
      </c>
      <c r="C135" s="13" t="s">
        <v>174</v>
      </c>
      <c r="D135" s="101">
        <f>D133 * (1 - D134)</f>
        <v>377400</v>
      </c>
    </row>
    <row r="137" spans="2:4">
      <c r="B137" s="13" t="s">
        <v>299</v>
      </c>
      <c r="C137" s="13" t="s">
        <v>174</v>
      </c>
      <c r="D137" s="101">
        <f>SUM(D11:D12)</f>
        <v>545000</v>
      </c>
    </row>
    <row r="138" spans="2:4">
      <c r="B138" s="13" t="s">
        <v>300</v>
      </c>
      <c r="C138" s="13" t="s">
        <v>167</v>
      </c>
      <c r="D138" s="108">
        <v>0</v>
      </c>
    </row>
    <row r="139" spans="2:4">
      <c r="B139" s="13" t="s">
        <v>301</v>
      </c>
      <c r="C139" s="13" t="s">
        <v>174</v>
      </c>
      <c r="D139" s="101">
        <f>D137 * (1 - D138)</f>
        <v>545000</v>
      </c>
    </row>
    <row r="140" spans="2:4">
      <c r="B140" s="13"/>
      <c r="C140" s="13"/>
      <c r="D140" s="101"/>
    </row>
    <row r="141" spans="2:4">
      <c r="B141" s="224" t="s">
        <v>323</v>
      </c>
      <c r="C141" s="223" t="s">
        <v>174</v>
      </c>
      <c r="D141" s="225">
        <f>INDEX('H3 Project Proposal'!$D$45:$D$54,MATCH(B141,'H3 Project Proposal'!B45:B54,0))* D9  * D5 / 1000</f>
        <v>484000.00000000006</v>
      </c>
    </row>
    <row r="143" spans="2:4">
      <c r="B143" s="13" t="s">
        <v>303</v>
      </c>
      <c r="C143" s="13" t="s">
        <v>174</v>
      </c>
      <c r="D143" s="101">
        <f>D129 + D133 + D137 + D141</f>
        <v>2059000</v>
      </c>
    </row>
    <row r="144" spans="2:4">
      <c r="B144" s="13" t="s">
        <v>304</v>
      </c>
      <c r="C144" s="13" t="s">
        <v>174</v>
      </c>
      <c r="D144" s="207">
        <v>0.26</v>
      </c>
    </row>
    <row r="145" spans="2:4">
      <c r="B145" s="13" t="s">
        <v>305</v>
      </c>
      <c r="C145" s="13" t="s">
        <v>174</v>
      </c>
      <c r="D145" s="101">
        <f>D143*(1-D144)</f>
        <v>1523660</v>
      </c>
    </row>
  </sheetData>
  <pageMargins left="0.7" right="0.7" top="0.75" bottom="0.75" header="0.3" footer="0.3"/>
  <pageSetup paperSize="9" orientation="portrait" horizontalDpi="0" verticalDpi="0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5C857C1-9772-FF41-ADAC-740ECF6DA6D5}">
          <x14:formula1>
            <xm:f>'H3 Project Proposal'!$B$32:$B$41</xm:f>
          </x14:formula1>
          <xm:sqref>B12</xm:sqref>
        </x14:dataValidation>
        <x14:dataValidation type="list" allowBlank="1" showInputMessage="1" showErrorMessage="1" xr:uid="{B98926ED-649D-864B-BB32-4898244478A6}">
          <x14:formula1>
            <xm:f>'H3 Project Proposal'!$B$45:$B$54</xm:f>
          </x14:formula1>
          <xm:sqref>B141</xm:sqref>
        </x14:dataValidation>
      </x14:dataValidations>
    </ext>
  </extLst>
</worksheet>
</file>

<file path=xl/worksheets/sheet1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1CFA2-0CD8-174B-BCC9-D2219BA1261D}">
  <sheetPr>
    <tabColor theme="1"/>
  </sheetPr>
  <dimension ref="A1"/>
  <sheetViews>
    <sheetView showGridLines="0" workbookViewId="0">
      <selection activeCell="B18" sqref="B18"/>
    </sheetView>
  </sheetViews>
  <sheetFormatPr baseColWidth="10" defaultRowHeight="16"/>
  <sheetData/>
  <pageMargins left="0.7" right="0.7" top="0.75" bottom="0.75" header="0.3" footer="0.3"/>
</worksheet>
</file>

<file path=xl/worksheets/sheet2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0E1D8-E820-7F4B-B7E3-96C23FC54D15}">
  <sheetPr>
    <tabColor rgb="FF002060"/>
  </sheetPr>
  <dimension ref="B1:X140"/>
  <sheetViews>
    <sheetView showGridLines="0" workbookViewId="0">
      <selection activeCell="E7" sqref="E7"/>
    </sheetView>
  </sheetViews>
  <sheetFormatPr baseColWidth="10" defaultRowHeight="16"/>
  <cols>
    <col min="1" max="1" width="7.1640625" customWidth="1"/>
    <col min="2" max="2" width="65.5" bestFit="1" customWidth="1"/>
    <col min="3" max="3" width="12.83203125" bestFit="1" customWidth="1"/>
    <col min="4" max="4" width="16.6640625" bestFit="1" customWidth="1"/>
    <col min="5" max="5" width="17.1640625" bestFit="1" customWidth="1"/>
    <col min="6" max="6" width="11.5" customWidth="1"/>
    <col min="7" max="7" width="11.5" bestFit="1" customWidth="1"/>
    <col min="8" max="8" width="10.5" customWidth="1"/>
    <col min="9" max="24" width="11.5" bestFit="1" customWidth="1"/>
  </cols>
  <sheetData>
    <row r="1" spans="2:24">
      <c r="B1" s="13" t="s">
        <v>159</v>
      </c>
      <c r="D1">
        <v>0</v>
      </c>
      <c r="E1">
        <f>D1+1</f>
        <v>1</v>
      </c>
      <c r="F1">
        <f t="shared" ref="F1:N1" si="0">E1+1</f>
        <v>2</v>
      </c>
      <c r="G1">
        <f t="shared" si="0"/>
        <v>3</v>
      </c>
      <c r="H1">
        <f t="shared" si="0"/>
        <v>4</v>
      </c>
      <c r="I1">
        <f t="shared" si="0"/>
        <v>5</v>
      </c>
      <c r="J1">
        <f t="shared" si="0"/>
        <v>6</v>
      </c>
      <c r="K1">
        <f t="shared" si="0"/>
        <v>7</v>
      </c>
      <c r="L1">
        <f t="shared" si="0"/>
        <v>8</v>
      </c>
      <c r="M1">
        <f t="shared" si="0"/>
        <v>9</v>
      </c>
      <c r="N1">
        <f t="shared" si="0"/>
        <v>10</v>
      </c>
    </row>
    <row r="2" spans="2:24">
      <c r="B2" s="78" t="s">
        <v>172</v>
      </c>
      <c r="C2" s="78" t="s">
        <v>160</v>
      </c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</row>
    <row r="3" spans="2:24">
      <c r="C3" s="79"/>
      <c r="E3" s="6"/>
    </row>
    <row r="4" spans="2:24">
      <c r="B4" s="19" t="s">
        <v>147</v>
      </c>
      <c r="C4" s="19"/>
      <c r="E4" s="5"/>
      <c r="F4" s="70"/>
      <c r="G4" s="70"/>
    </row>
    <row r="5" spans="2:24">
      <c r="B5" s="75" t="s">
        <v>200</v>
      </c>
      <c r="C5" s="75" t="s">
        <v>201</v>
      </c>
      <c r="D5" s="4">
        <v>300</v>
      </c>
      <c r="E5" s="84"/>
      <c r="F5" s="171"/>
      <c r="G5" s="171"/>
      <c r="H5" s="4"/>
      <c r="I5" s="4"/>
      <c r="J5" s="4"/>
      <c r="K5" s="4"/>
      <c r="L5" s="4"/>
      <c r="M5" s="4"/>
      <c r="N5" s="4"/>
      <c r="O5" s="174"/>
      <c r="P5" s="174"/>
      <c r="Q5" s="174"/>
      <c r="R5" s="174"/>
      <c r="S5" s="174"/>
      <c r="T5" s="174"/>
      <c r="U5" s="174"/>
      <c r="V5" s="174"/>
      <c r="W5" s="174"/>
      <c r="X5" s="174"/>
    </row>
    <row r="6" spans="2:24">
      <c r="B6" s="75" t="s">
        <v>181</v>
      </c>
      <c r="C6" s="75" t="s">
        <v>162</v>
      </c>
      <c r="D6" s="4">
        <v>24</v>
      </c>
      <c r="E6" s="4"/>
      <c r="F6" s="4"/>
      <c r="G6" s="4"/>
      <c r="H6" s="4"/>
      <c r="I6" s="4"/>
      <c r="J6" s="4"/>
      <c r="K6" s="4"/>
      <c r="L6" s="4"/>
      <c r="M6" s="4"/>
      <c r="N6" s="4"/>
      <c r="O6" s="174"/>
      <c r="P6" s="174"/>
      <c r="Q6" s="174"/>
      <c r="R6" s="174"/>
      <c r="S6" s="174"/>
      <c r="T6" s="174"/>
      <c r="U6" s="174"/>
      <c r="V6" s="174"/>
      <c r="W6" s="174"/>
      <c r="X6" s="174"/>
    </row>
    <row r="7" spans="2:24" s="13" customFormat="1">
      <c r="B7" s="82" t="s">
        <v>182</v>
      </c>
      <c r="C7" s="82" t="s">
        <v>180</v>
      </c>
      <c r="D7" s="83">
        <f>D9*D16</f>
        <v>2016000</v>
      </c>
      <c r="E7" s="83">
        <f>D7</f>
        <v>2016000</v>
      </c>
      <c r="F7" s="83">
        <f t="shared" ref="F7:N7" si="1">E7</f>
        <v>2016000</v>
      </c>
      <c r="G7" s="83">
        <f t="shared" si="1"/>
        <v>2016000</v>
      </c>
      <c r="H7" s="83">
        <f t="shared" si="1"/>
        <v>2016000</v>
      </c>
      <c r="I7" s="83">
        <f t="shared" si="1"/>
        <v>2016000</v>
      </c>
      <c r="J7" s="83">
        <f t="shared" si="1"/>
        <v>2016000</v>
      </c>
      <c r="K7" s="83">
        <f t="shared" si="1"/>
        <v>2016000</v>
      </c>
      <c r="L7" s="83">
        <f t="shared" si="1"/>
        <v>2016000</v>
      </c>
      <c r="M7" s="83">
        <f t="shared" si="1"/>
        <v>2016000</v>
      </c>
      <c r="N7" s="83">
        <f t="shared" si="1"/>
        <v>2016000</v>
      </c>
      <c r="O7" s="175"/>
      <c r="P7" s="175"/>
      <c r="Q7" s="175"/>
      <c r="R7" s="175"/>
      <c r="S7" s="175"/>
      <c r="T7" s="175"/>
      <c r="U7" s="175"/>
      <c r="V7" s="175"/>
      <c r="W7" s="175"/>
      <c r="X7" s="175"/>
    </row>
    <row r="8" spans="2:24">
      <c r="B8" s="75" t="s">
        <v>235</v>
      </c>
      <c r="C8" s="75" t="s">
        <v>174</v>
      </c>
      <c r="D8" s="4">
        <v>66</v>
      </c>
      <c r="E8" s="4"/>
      <c r="F8" s="4"/>
      <c r="G8" s="4"/>
      <c r="H8" s="4"/>
      <c r="I8" s="4"/>
      <c r="J8" s="4"/>
      <c r="K8" s="4"/>
      <c r="L8" s="4"/>
      <c r="M8" s="4"/>
      <c r="N8" s="4"/>
      <c r="O8" s="174"/>
      <c r="P8" s="174"/>
      <c r="Q8" s="174"/>
      <c r="R8" s="174"/>
      <c r="S8" s="174"/>
      <c r="T8" s="174"/>
      <c r="U8" s="174"/>
      <c r="V8" s="174"/>
      <c r="W8" s="174"/>
      <c r="X8" s="174"/>
    </row>
    <row r="9" spans="2:24">
      <c r="B9" s="75" t="s">
        <v>191</v>
      </c>
      <c r="C9" s="75" t="s">
        <v>192</v>
      </c>
      <c r="D9" s="4">
        <f>D5*D6*D10</f>
        <v>5760</v>
      </c>
      <c r="E9" s="4"/>
      <c r="F9" s="171"/>
      <c r="G9" s="171"/>
      <c r="H9" s="4"/>
      <c r="I9" s="4"/>
      <c r="J9" s="4"/>
      <c r="K9" s="4"/>
      <c r="L9" s="4"/>
      <c r="M9" s="4"/>
      <c r="N9" s="4"/>
      <c r="O9" s="174"/>
      <c r="P9" s="174"/>
      <c r="Q9" s="174"/>
      <c r="R9" s="174"/>
      <c r="S9" s="174"/>
      <c r="T9" s="174"/>
      <c r="U9" s="174"/>
      <c r="V9" s="174"/>
      <c r="W9" s="174"/>
      <c r="X9" s="174"/>
    </row>
    <row r="10" spans="2:24">
      <c r="B10" s="75" t="s">
        <v>193</v>
      </c>
      <c r="C10" s="75"/>
      <c r="D10" s="98">
        <v>0.8</v>
      </c>
      <c r="E10" s="4"/>
      <c r="F10" s="171"/>
      <c r="G10" s="171"/>
      <c r="H10" s="4"/>
      <c r="I10" s="4"/>
      <c r="J10" s="4"/>
      <c r="K10" s="4"/>
      <c r="L10" s="4"/>
      <c r="M10" s="4"/>
      <c r="N10" s="4"/>
      <c r="O10" s="174"/>
      <c r="P10" s="174"/>
      <c r="Q10" s="174"/>
      <c r="R10" s="174"/>
      <c r="S10" s="174"/>
      <c r="T10" s="174"/>
      <c r="U10" s="174"/>
      <c r="V10" s="174"/>
      <c r="W10" s="174"/>
      <c r="X10" s="174"/>
    </row>
    <row r="11" spans="2:24">
      <c r="B11" s="75" t="s">
        <v>229</v>
      </c>
      <c r="C11" s="75" t="s">
        <v>174</v>
      </c>
      <c r="D11" s="107">
        <v>290000</v>
      </c>
    </row>
    <row r="12" spans="2:24">
      <c r="B12" s="219" t="s">
        <v>349</v>
      </c>
      <c r="C12" s="75" t="s">
        <v>174</v>
      </c>
      <c r="D12" s="69">
        <f>INDEX('H3 Project Proposal'!$D$32:$D$41,MATCH(B12,'H3 Project Proposal'!$B$32:$B$41,0)) * D9  * D5 / 1000</f>
        <v>255000.00000000003</v>
      </c>
    </row>
    <row r="13" spans="2:24">
      <c r="B13" s="75" t="s">
        <v>173</v>
      </c>
      <c r="C13" s="75" t="s">
        <v>161</v>
      </c>
      <c r="D13">
        <v>10</v>
      </c>
    </row>
    <row r="14" spans="2:24" ht="20" customHeight="1">
      <c r="B14" s="75" t="s">
        <v>175</v>
      </c>
      <c r="C14" s="75" t="s">
        <v>162</v>
      </c>
      <c r="D14" s="4">
        <v>80000</v>
      </c>
      <c r="F14" s="106"/>
    </row>
    <row r="15" spans="2:24">
      <c r="B15" s="75" t="s">
        <v>175</v>
      </c>
      <c r="C15" s="75" t="s">
        <v>161</v>
      </c>
      <c r="D15" s="73">
        <f>D14/(D6*D16)</f>
        <v>9.5238095238095237</v>
      </c>
      <c r="F15" s="42"/>
    </row>
    <row r="16" spans="2:24">
      <c r="B16" s="75" t="s">
        <v>176</v>
      </c>
      <c r="C16" s="75" t="s">
        <v>177</v>
      </c>
      <c r="D16" s="4">
        <v>350</v>
      </c>
    </row>
    <row r="17" spans="2:24">
      <c r="B17" s="75" t="s">
        <v>164</v>
      </c>
      <c r="C17" s="75" t="s">
        <v>166</v>
      </c>
      <c r="D17" s="4">
        <f>D23/D19</f>
        <v>48.000000000000007</v>
      </c>
      <c r="E17" s="84">
        <f t="shared" ref="E17:N17" si="2">$D$23/E22</f>
        <v>48.979591836734699</v>
      </c>
      <c r="F17" s="84">
        <f t="shared" si="2"/>
        <v>50.000000000000007</v>
      </c>
      <c r="G17" s="84">
        <f t="shared" si="2"/>
        <v>51.063829787234049</v>
      </c>
      <c r="H17" s="84">
        <f t="shared" si="2"/>
        <v>52.173913043478272</v>
      </c>
      <c r="I17" s="84">
        <f t="shared" si="2"/>
        <v>53.333333333333343</v>
      </c>
      <c r="J17" s="84">
        <f t="shared" si="2"/>
        <v>54.545454545454561</v>
      </c>
      <c r="K17" s="84">
        <f t="shared" si="2"/>
        <v>55.813953488372107</v>
      </c>
      <c r="L17" s="84">
        <f t="shared" si="2"/>
        <v>57.14285714285716</v>
      </c>
      <c r="M17" s="84">
        <f t="shared" si="2"/>
        <v>58.536585365853675</v>
      </c>
      <c r="N17" s="84">
        <f t="shared" si="2"/>
        <v>60.000000000000007</v>
      </c>
      <c r="O17" s="84"/>
      <c r="P17" s="84"/>
      <c r="Q17" s="84"/>
      <c r="R17" s="84"/>
      <c r="S17" s="84"/>
      <c r="T17" s="84"/>
      <c r="U17" s="84"/>
      <c r="V17" s="84"/>
      <c r="W17" s="84"/>
      <c r="X17" s="84"/>
    </row>
    <row r="18" spans="2:24">
      <c r="B18" s="75" t="s">
        <v>163</v>
      </c>
      <c r="C18" s="75" t="s">
        <v>167</v>
      </c>
      <c r="D18" s="81">
        <v>0.98</v>
      </c>
      <c r="F18" s="42"/>
    </row>
    <row r="19" spans="2:24">
      <c r="B19" s="75" t="s">
        <v>165</v>
      </c>
      <c r="C19" s="75" t="s">
        <v>168</v>
      </c>
      <c r="D19" s="81">
        <v>0.7</v>
      </c>
      <c r="E19" s="5"/>
    </row>
    <row r="20" spans="2:24">
      <c r="B20" s="75" t="s">
        <v>292</v>
      </c>
      <c r="C20" s="75" t="s">
        <v>167</v>
      </c>
      <c r="D20" s="81">
        <v>0.8</v>
      </c>
      <c r="E20" s="5"/>
    </row>
    <row r="21" spans="2:24" s="13" customFormat="1">
      <c r="B21" s="82" t="s">
        <v>277</v>
      </c>
      <c r="C21" s="82" t="s">
        <v>167</v>
      </c>
      <c r="D21" s="172">
        <v>1.4000000000000002E-2</v>
      </c>
      <c r="F21" s="42"/>
      <c r="H21"/>
      <c r="K21" s="23"/>
      <c r="N21" s="172"/>
      <c r="R21" s="23"/>
      <c r="X21" s="23"/>
    </row>
    <row r="22" spans="2:24" s="13" customFormat="1">
      <c r="B22" s="82" t="s">
        <v>278</v>
      </c>
      <c r="C22" s="82"/>
      <c r="D22" s="172"/>
      <c r="E22" s="81">
        <f>D19 - D21</f>
        <v>0.68599999999999994</v>
      </c>
      <c r="F22" s="173">
        <f>E22 - $D$21</f>
        <v>0.67199999999999993</v>
      </c>
      <c r="G22" s="173">
        <f t="shared" ref="G22:M22" si="3">F22 - $D$21</f>
        <v>0.65799999999999992</v>
      </c>
      <c r="H22" s="173">
        <f t="shared" si="3"/>
        <v>0.64399999999999991</v>
      </c>
      <c r="I22" s="173">
        <f t="shared" si="3"/>
        <v>0.62999999999999989</v>
      </c>
      <c r="J22" s="173">
        <f t="shared" si="3"/>
        <v>0.61599999999999988</v>
      </c>
      <c r="K22" s="173">
        <f t="shared" si="3"/>
        <v>0.60199999999999987</v>
      </c>
      <c r="L22" s="173">
        <f t="shared" si="3"/>
        <v>0.58799999999999986</v>
      </c>
      <c r="M22" s="173">
        <f t="shared" si="3"/>
        <v>0.57399999999999984</v>
      </c>
      <c r="N22" s="173">
        <f>D19 * D20</f>
        <v>0.55999999999999994</v>
      </c>
      <c r="O22" s="173"/>
      <c r="P22" s="173"/>
      <c r="Q22" s="173"/>
      <c r="R22" s="173"/>
      <c r="S22" s="173"/>
      <c r="T22" s="173"/>
      <c r="U22" s="173"/>
      <c r="V22" s="173"/>
      <c r="W22" s="173"/>
      <c r="X22" s="173"/>
    </row>
    <row r="23" spans="2:24">
      <c r="B23" s="75" t="s">
        <v>228</v>
      </c>
      <c r="D23" s="3">
        <v>33.6</v>
      </c>
    </row>
    <row r="24" spans="2:24">
      <c r="B24" s="75" t="s">
        <v>210</v>
      </c>
      <c r="C24" s="75" t="s">
        <v>167</v>
      </c>
      <c r="D24" s="24">
        <f>'Model Initial - Battery Lazard'!C29</f>
        <v>2.5000000000000001E-2</v>
      </c>
    </row>
    <row r="25" spans="2:24">
      <c r="B25" s="75"/>
      <c r="F25" s="70"/>
    </row>
    <row r="26" spans="2:24">
      <c r="B26" s="76" t="s">
        <v>148</v>
      </c>
      <c r="C26" s="76"/>
      <c r="E26" s="4"/>
      <c r="F26" s="85"/>
      <c r="G26" s="85"/>
      <c r="H26" s="85"/>
      <c r="I26" s="85"/>
      <c r="J26" s="85"/>
      <c r="K26" s="85"/>
      <c r="L26" s="85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</row>
    <row r="27" spans="2:24">
      <c r="B27" s="75" t="s">
        <v>149</v>
      </c>
      <c r="C27" s="75" t="s">
        <v>226</v>
      </c>
      <c r="D27" s="99"/>
      <c r="E27" s="4">
        <f t="shared" ref="E27:N27" si="4">$D$7 / E$17 * $D$18</f>
        <v>40336.799999999996</v>
      </c>
      <c r="F27" s="4">
        <f t="shared" si="4"/>
        <v>39513.599999999991</v>
      </c>
      <c r="G27" s="4">
        <f t="shared" si="4"/>
        <v>38690.399999999994</v>
      </c>
      <c r="H27" s="4">
        <f t="shared" si="4"/>
        <v>37867.19999999999</v>
      </c>
      <c r="I27" s="4">
        <f t="shared" si="4"/>
        <v>37043.999999999993</v>
      </c>
      <c r="J27" s="4">
        <f t="shared" si="4"/>
        <v>36220.799999999996</v>
      </c>
      <c r="K27" s="4">
        <f t="shared" si="4"/>
        <v>35397.599999999991</v>
      </c>
      <c r="L27" s="4">
        <f t="shared" si="4"/>
        <v>34574.399999999994</v>
      </c>
      <c r="M27" s="4">
        <f t="shared" si="4"/>
        <v>33751.19999999999</v>
      </c>
      <c r="N27" s="4">
        <f t="shared" si="4"/>
        <v>32927.999999999993</v>
      </c>
      <c r="O27" s="174"/>
      <c r="P27" s="174"/>
      <c r="Q27" s="174"/>
      <c r="R27" s="174"/>
      <c r="S27" s="174"/>
      <c r="T27" s="174"/>
      <c r="U27" s="174"/>
      <c r="V27" s="174"/>
      <c r="W27" s="174"/>
      <c r="X27" s="174"/>
    </row>
    <row r="28" spans="2:24">
      <c r="B28" s="75" t="s">
        <v>234</v>
      </c>
      <c r="C28" s="75" t="s">
        <v>227</v>
      </c>
      <c r="D28" s="73">
        <f>E27/D16</f>
        <v>115.24799999999999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174"/>
      <c r="P28" s="174"/>
      <c r="Q28" s="174"/>
      <c r="R28" s="174"/>
      <c r="S28" s="174"/>
      <c r="T28" s="174"/>
      <c r="U28" s="174"/>
      <c r="V28" s="174"/>
      <c r="W28" s="174"/>
      <c r="X28" s="174"/>
    </row>
    <row r="29" spans="2:24" s="182" customFormat="1">
      <c r="B29" s="183" t="s">
        <v>279</v>
      </c>
      <c r="C29" s="183"/>
      <c r="D29" s="184"/>
      <c r="E29" s="185">
        <v>15.379658244827477</v>
      </c>
      <c r="F29" s="185">
        <v>11.787754176417144</v>
      </c>
      <c r="G29" s="185">
        <v>9.0413661637362637</v>
      </c>
      <c r="H29" s="185">
        <v>6.487566635227406</v>
      </c>
      <c r="I29" s="185">
        <v>4.6238060890057646</v>
      </c>
      <c r="J29" s="185">
        <v>3.3369243274147866</v>
      </c>
      <c r="K29" s="185">
        <v>2.4132197118638468</v>
      </c>
      <c r="L29" s="185">
        <v>1.8018542525328369</v>
      </c>
      <c r="M29" s="185">
        <v>1.3560800452632868</v>
      </c>
      <c r="N29" s="186">
        <v>1</v>
      </c>
      <c r="O29" s="187"/>
      <c r="P29" s="188">
        <f>(N29 / E29) ^ (1 / (N1 - E1))-1</f>
        <v>-0.26189689039643804</v>
      </c>
      <c r="Q29" s="187"/>
      <c r="R29" s="187"/>
      <c r="S29" s="187"/>
      <c r="T29" s="187"/>
      <c r="U29" s="187"/>
      <c r="V29" s="187"/>
      <c r="W29" s="187"/>
      <c r="X29" s="187"/>
    </row>
    <row r="30" spans="2:24" s="13" customFormat="1" ht="17" thickBot="1">
      <c r="B30" s="144" t="s">
        <v>245</v>
      </c>
      <c r="C30" s="144" t="s">
        <v>174</v>
      </c>
      <c r="D30" s="71"/>
      <c r="E30" s="71">
        <f>E27 * E29</f>
        <v>620366.19868995692</v>
      </c>
      <c r="F30" s="71">
        <f t="shared" ref="F30:N30" si="5">F27 * F29</f>
        <v>465776.60342527635</v>
      </c>
      <c r="G30" s="71">
        <f t="shared" si="5"/>
        <v>349814.07342142146</v>
      </c>
      <c r="H30" s="71">
        <f t="shared" si="5"/>
        <v>245665.98328948315</v>
      </c>
      <c r="I30" s="71">
        <f t="shared" si="5"/>
        <v>171284.27276112951</v>
      </c>
      <c r="J30" s="71">
        <f t="shared" si="5"/>
        <v>120866.06867842549</v>
      </c>
      <c r="K30" s="71">
        <f t="shared" si="5"/>
        <v>85422.186072671684</v>
      </c>
      <c r="L30" s="71">
        <f t="shared" si="5"/>
        <v>62298.029668771305</v>
      </c>
      <c r="M30" s="71">
        <f t="shared" si="5"/>
        <v>45769.32882369023</v>
      </c>
      <c r="N30" s="71">
        <f t="shared" si="5"/>
        <v>32927.999999999993</v>
      </c>
      <c r="O30" s="175"/>
      <c r="P30" s="175"/>
      <c r="Q30" s="175"/>
      <c r="R30" s="175"/>
      <c r="S30" s="175"/>
      <c r="T30" s="175"/>
      <c r="U30" s="175"/>
      <c r="V30" s="175"/>
      <c r="W30" s="175"/>
      <c r="X30" s="175"/>
    </row>
    <row r="31" spans="2:24" ht="17" thickTop="1">
      <c r="B31" s="75"/>
      <c r="C31" s="75"/>
      <c r="D31" s="73"/>
      <c r="E31" s="4"/>
      <c r="F31" s="4"/>
      <c r="G31" s="4"/>
      <c r="H31" s="4"/>
      <c r="I31" s="4"/>
      <c r="J31" s="4"/>
      <c r="K31" s="4"/>
      <c r="L31" s="4"/>
      <c r="M31" s="4"/>
      <c r="N31" s="4"/>
      <c r="O31" s="174"/>
      <c r="P31" s="174"/>
      <c r="Q31" s="174"/>
      <c r="R31" s="174"/>
      <c r="S31" s="174"/>
      <c r="T31" s="174"/>
      <c r="U31" s="174"/>
      <c r="V31" s="174"/>
      <c r="W31" s="174"/>
      <c r="X31" s="174"/>
    </row>
    <row r="32" spans="2:24">
      <c r="B32" t="s">
        <v>150</v>
      </c>
      <c r="C32" s="75" t="s">
        <v>169</v>
      </c>
      <c r="D32">
        <v>2.1000000000000001E-2</v>
      </c>
    </row>
    <row r="33" spans="2:24" s="13" customFormat="1">
      <c r="B33" s="13" t="s">
        <v>184</v>
      </c>
      <c r="C33" s="82" t="s">
        <v>174</v>
      </c>
      <c r="E33" s="23">
        <f t="shared" ref="E33:N33" si="6">E27 * $D$32 * (1 + $D$24) ^ E1</f>
        <v>868.24961999999982</v>
      </c>
      <c r="F33" s="23">
        <f t="shared" si="6"/>
        <v>871.79349599999978</v>
      </c>
      <c r="G33" s="23">
        <f t="shared" si="6"/>
        <v>874.97190978749984</v>
      </c>
      <c r="H33" s="23">
        <f t="shared" si="6"/>
        <v>877.76437332937462</v>
      </c>
      <c r="I33" s="23">
        <f t="shared" si="6"/>
        <v>880.14960260472617</v>
      </c>
      <c r="J33" s="23">
        <f t="shared" si="6"/>
        <v>882.10549061051449</v>
      </c>
      <c r="K33" s="23">
        <f t="shared" si="6"/>
        <v>883.60907951496415</v>
      </c>
      <c r="L33" s="23">
        <f t="shared" si="6"/>
        <v>884.63653193300479</v>
      </c>
      <c r="M33" s="23">
        <f t="shared" si="6"/>
        <v>885.16310129725036</v>
      </c>
      <c r="N33" s="23">
        <f t="shared" si="6"/>
        <v>885.16310129725048</v>
      </c>
      <c r="O33" s="23"/>
      <c r="P33" s="23"/>
      <c r="Q33" s="23"/>
      <c r="R33" s="23"/>
      <c r="S33" s="23"/>
      <c r="T33" s="23"/>
      <c r="U33" s="23"/>
      <c r="V33" s="23"/>
      <c r="W33" s="23"/>
      <c r="X33" s="23"/>
    </row>
    <row r="34" spans="2:24" s="13" customFormat="1">
      <c r="C34" s="82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</row>
    <row r="35" spans="2:24">
      <c r="B35" s="125" t="s">
        <v>242</v>
      </c>
      <c r="C35" s="77"/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</row>
    <row r="36" spans="2:24">
      <c r="B36" s="127" t="str">
        <f>IF(AND($D$48&lt;$E$50,$D$48&lt;$E$53),$B$47,IF(AND($D$48&gt;$E$50,$D$48&gt;$E$53),B58,IF(AND(D48&gt;E50,D48&lt;E53),$B$68,B78)))</f>
        <v>Scenario 1: All electricity is bought from grid</v>
      </c>
    </row>
    <row r="37" spans="2:24">
      <c r="B37" s="129" t="s">
        <v>151</v>
      </c>
      <c r="C37" t="s">
        <v>171</v>
      </c>
      <c r="D37">
        <f>CHOOSE(MATCH($B$36,Scenario_list!$B$2:$B$5,0),'H2 break-even point(NPV=0)'!D48,'H2 break-even point(NPV=0)'!D59,D79,D69)</f>
        <v>59.5</v>
      </c>
    </row>
    <row r="38" spans="2:24" s="13" customFormat="1">
      <c r="B38" s="130" t="s">
        <v>194</v>
      </c>
      <c r="C38" s="13" t="s">
        <v>174</v>
      </c>
      <c r="D38" s="131"/>
      <c r="E38" s="132">
        <f>CHOOSE(MATCH($B$36,Scenario_list!$B$2:$B$5,0),'H2 break-even point(NPV=0)'!E49,'H2 break-even point(NPV=0)'!E60,E70,E80)</f>
        <v>-60345.469800000006</v>
      </c>
      <c r="F38" s="132">
        <f>CHOOSE(MATCH($B$36,Scenario_list!$B$2:$B$5,0),'H2 break-even point(NPV=0)'!F49,'H2 break-even point(NPV=0)'!F60,F70,F80)</f>
        <v>-58836.833055000003</v>
      </c>
      <c r="G38" s="132">
        <f>CHOOSE(MATCH($B$36,Scenario_list!$B$2:$B$5,0),'H2 break-even point(NPV=0)'!G49,'H2 break-even point(NPV=0)'!G60,G70,G80)</f>
        <v>-57365.912228625006</v>
      </c>
      <c r="H38" s="132">
        <f>CHOOSE(MATCH($B$36,Scenario_list!$B$2:$B$5,0),'H2 break-even point(NPV=0)'!H49,'H2 break-even point(NPV=0)'!H60,H70,H80)</f>
        <v>-55931.764422909378</v>
      </c>
      <c r="I38" s="132">
        <f>CHOOSE(MATCH($B$36,Scenario_list!$B$2:$B$5,0),'H2 break-even point(NPV=0)'!I49,'H2 break-even point(NPV=0)'!I60,I70,I80)</f>
        <v>-54533.470312336634</v>
      </c>
      <c r="J38" s="132">
        <f>CHOOSE(MATCH($B$36,Scenario_list!$B$2:$B$5,0),'H2 break-even point(NPV=0)'!J49,'H2 break-even point(NPV=0)'!J60,J70,J80)</f>
        <v>-53170.133554528227</v>
      </c>
      <c r="K38" s="132">
        <f>CHOOSE(MATCH($B$36,Scenario_list!$B$2:$B$5,0),'H2 break-even point(NPV=0)'!K49,'H2 break-even point(NPV=0)'!K60,K70,K80)</f>
        <v>-51840.88021566502</v>
      </c>
      <c r="L38" s="132">
        <f>CHOOSE(MATCH($B$36,Scenario_list!$B$2:$B$5,0),'H2 break-even point(NPV=0)'!L49,'H2 break-even point(NPV=0)'!L60,L70,L80)</f>
        <v>-50544.858210273385</v>
      </c>
      <c r="M38" s="132">
        <f>CHOOSE(MATCH($B$36,Scenario_list!$B$2:$B$5,0),'H2 break-even point(NPV=0)'!M49,'H2 break-even point(NPV=0)'!M60,M70,M80)</f>
        <v>-49281.236755016551</v>
      </c>
      <c r="N38" s="132">
        <f>CHOOSE(MATCH($B$36,Scenario_list!$B$2:$B$5,0),'H2 break-even point(NPV=0)'!N49,'H2 break-even point(NPV=0)'!N60,N70,N80)</f>
        <v>-48049.20583614114</v>
      </c>
      <c r="O38" s="132"/>
      <c r="P38" s="132"/>
      <c r="Q38" s="132"/>
      <c r="R38" s="132"/>
      <c r="S38" s="132"/>
      <c r="T38" s="132"/>
      <c r="U38" s="132"/>
      <c r="V38" s="132"/>
      <c r="W38" s="132"/>
      <c r="X38" s="132"/>
    </row>
    <row r="39" spans="2:24">
      <c r="B39" s="134" t="s">
        <v>237</v>
      </c>
      <c r="C39" t="s">
        <v>196</v>
      </c>
      <c r="E39" s="132">
        <f>CHOOSE(MATCH($B$36,Scenario_list!$B$2:$B$5,0),'H2 break-even point(NPV=0)'!E50,'H2 break-even point(NPV=0)'!E61,E71,E81)</f>
        <v>138.22</v>
      </c>
      <c r="F39" s="132">
        <f>CHOOSE(MATCH($B$36,Scenario_list!$B$2:$B$5,0),'H2 break-even point(NPV=0)'!F50,'H2 break-even point(NPV=0)'!F61,F71,F81)</f>
        <v>138.22</v>
      </c>
      <c r="G39" s="132">
        <f>CHOOSE(MATCH($B$36,Scenario_list!$B$2:$B$5,0),'H2 break-even point(NPV=0)'!G50,'H2 break-even point(NPV=0)'!G61,G71,G81)</f>
        <v>138.22</v>
      </c>
      <c r="H39" s="132">
        <f>CHOOSE(MATCH($B$36,Scenario_list!$B$2:$B$5,0),'H2 break-even point(NPV=0)'!H50,'H2 break-even point(NPV=0)'!H61,H71,H81)</f>
        <v>138.22</v>
      </c>
      <c r="I39" s="132">
        <f>CHOOSE(MATCH($B$36,Scenario_list!$B$2:$B$5,0),'H2 break-even point(NPV=0)'!I50,'H2 break-even point(NPV=0)'!I61,I71,I81)</f>
        <v>138.22</v>
      </c>
      <c r="J39" s="132">
        <f>CHOOSE(MATCH($B$36,Scenario_list!$B$2:$B$5,0),'H2 break-even point(NPV=0)'!J50,'H2 break-even point(NPV=0)'!J61,J71,J81)</f>
        <v>138.22</v>
      </c>
      <c r="K39" s="132">
        <f>CHOOSE(MATCH($B$36,Scenario_list!$B$2:$B$5,0),'H2 break-even point(NPV=0)'!K50,'H2 break-even point(NPV=0)'!K61,K71,K81)</f>
        <v>138.22</v>
      </c>
      <c r="L39" s="132">
        <f>CHOOSE(MATCH($B$36,Scenario_list!$B$2:$B$5,0),'H2 break-even point(NPV=0)'!L50,'H2 break-even point(NPV=0)'!L61,L71,L81)</f>
        <v>138.22</v>
      </c>
      <c r="M39" s="132">
        <f>CHOOSE(MATCH($B$36,Scenario_list!$B$2:$B$5,0),'H2 break-even point(NPV=0)'!M50,'H2 break-even point(NPV=0)'!M61,M71,M81)</f>
        <v>138.22</v>
      </c>
      <c r="N39" s="132">
        <f>CHOOSE(MATCH($B$36,Scenario_list!$B$2:$B$5,0),'H2 break-even point(NPV=0)'!N50,'H2 break-even point(NPV=0)'!N61,N71,N81)</f>
        <v>138.22</v>
      </c>
      <c r="O39" s="132"/>
      <c r="P39" s="132"/>
      <c r="Q39" s="132"/>
      <c r="R39" s="132"/>
      <c r="S39" s="132"/>
      <c r="T39" s="132"/>
      <c r="U39" s="132"/>
      <c r="V39" s="132"/>
      <c r="W39" s="132"/>
      <c r="X39" s="132"/>
    </row>
    <row r="40" spans="2:24">
      <c r="B40" s="134" t="s">
        <v>197</v>
      </c>
      <c r="C40" t="s">
        <v>170</v>
      </c>
      <c r="E40" s="132">
        <f>CHOOSE(MATCH($B$36,Scenario_list!$B$2:$B$5,0),'H2 break-even point(NPV=0)'!E51,'H2 break-even point(NPV=0)'!E62,E72,E82)</f>
        <v>436.59000000000003</v>
      </c>
      <c r="F40" s="132">
        <f>CHOOSE(MATCH($B$36,Scenario_list!$B$2:$B$5,0),'H2 break-even point(NPV=0)'!F51,'H2 break-even point(NPV=0)'!F62,F72,F82)</f>
        <v>425.67525000000001</v>
      </c>
      <c r="G40" s="132">
        <f>CHOOSE(MATCH($B$36,Scenario_list!$B$2:$B$5,0),'H2 break-even point(NPV=0)'!G51,'H2 break-even point(NPV=0)'!G62,G72,G82)</f>
        <v>415.03336875000002</v>
      </c>
      <c r="H40" s="132">
        <f>CHOOSE(MATCH($B$36,Scenario_list!$B$2:$B$5,0),'H2 break-even point(NPV=0)'!H51,'H2 break-even point(NPV=0)'!H62,H72,H82)</f>
        <v>404.65753453125001</v>
      </c>
      <c r="I40" s="132">
        <f>CHOOSE(MATCH($B$36,Scenario_list!$B$2:$B$5,0),'H2 break-even point(NPV=0)'!I51,'H2 break-even point(NPV=0)'!I62,I72,I82)</f>
        <v>394.5410961679687</v>
      </c>
      <c r="J40" s="132">
        <f>CHOOSE(MATCH($B$36,Scenario_list!$B$2:$B$5,0),'H2 break-even point(NPV=0)'!J51,'H2 break-even point(NPV=0)'!J62,J72,J82)</f>
        <v>384.67756876376956</v>
      </c>
      <c r="K40" s="132">
        <f>CHOOSE(MATCH($B$36,Scenario_list!$B$2:$B$5,0),'H2 break-even point(NPV=0)'!K51,'H2 break-even point(NPV=0)'!K62,K72,K82)</f>
        <v>375.06062954467529</v>
      </c>
      <c r="L40" s="132">
        <f>CHOOSE(MATCH($B$36,Scenario_list!$B$2:$B$5,0),'H2 break-even point(NPV=0)'!L51,'H2 break-even point(NPV=0)'!L62,L72,L82)</f>
        <v>365.68411380605835</v>
      </c>
      <c r="M40" s="132">
        <f>CHOOSE(MATCH($B$36,Scenario_list!$B$2:$B$5,0),'H2 break-even point(NPV=0)'!M51,'H2 break-even point(NPV=0)'!M62,M72,M82)</f>
        <v>356.54201096090691</v>
      </c>
      <c r="N40" s="132">
        <f>CHOOSE(MATCH($B$36,Scenario_list!$B$2:$B$5,0),'H2 break-even point(NPV=0)'!N51,'H2 break-even point(NPV=0)'!N62,N72,N82)</f>
        <v>347.62846068688424</v>
      </c>
      <c r="O40" s="132"/>
      <c r="P40" s="132"/>
      <c r="Q40" s="132"/>
      <c r="R40" s="132"/>
      <c r="S40" s="132"/>
      <c r="T40" s="132"/>
      <c r="U40" s="132"/>
      <c r="V40" s="132"/>
      <c r="W40" s="132"/>
      <c r="X40" s="132"/>
    </row>
    <row r="41" spans="2:24" s="13" customFormat="1">
      <c r="B41" s="130" t="s">
        <v>195</v>
      </c>
      <c r="C41" s="13" t="s">
        <v>174</v>
      </c>
      <c r="E41" s="135">
        <f>CHOOSE(MATCH($B$36,Scenario_list!$B$2:$B$5,0),'H2 break-even point(NPV=0)'!E52,'H2 break-even point(NPV=0)'!E63,E73,E83)</f>
        <v>-29285.029680789467</v>
      </c>
      <c r="F41" s="135">
        <f>CHOOSE(MATCH($B$36,Scenario_list!$B$2:$B$5,0),'H2 break-even point(NPV=0)'!F52,'H2 break-even point(NPV=0)'!F63,F73,F83)</f>
        <v>-29285.029680789467</v>
      </c>
      <c r="G41" s="135">
        <f>CHOOSE(MATCH($B$36,Scenario_list!$B$2:$B$5,0),'H2 break-even point(NPV=0)'!G52,'H2 break-even point(NPV=0)'!G63,G73,G83)</f>
        <v>-29285.029680789467</v>
      </c>
      <c r="H41" s="135">
        <f>CHOOSE(MATCH($B$36,Scenario_list!$B$2:$B$5,0),'H2 break-even point(NPV=0)'!H52,'H2 break-even point(NPV=0)'!H63,H73,H83)</f>
        <v>-29285.029680789467</v>
      </c>
      <c r="I41" s="135">
        <f>CHOOSE(MATCH($B$36,Scenario_list!$B$2:$B$5,0),'H2 break-even point(NPV=0)'!I52,'H2 break-even point(NPV=0)'!I63,I73,I83)</f>
        <v>-29285.029680789467</v>
      </c>
      <c r="J41" s="135">
        <f>CHOOSE(MATCH($B$36,Scenario_list!$B$2:$B$5,0),'H2 break-even point(NPV=0)'!J52,'H2 break-even point(NPV=0)'!J63,J73,J83)</f>
        <v>-29285.029680789467</v>
      </c>
      <c r="K41" s="135">
        <f>CHOOSE(MATCH($B$36,Scenario_list!$B$2:$B$5,0),'H2 break-even point(NPV=0)'!K52,'H2 break-even point(NPV=0)'!K63,K73,K83)</f>
        <v>-29285.029680789467</v>
      </c>
      <c r="L41" s="135">
        <f>CHOOSE(MATCH($B$36,Scenario_list!$B$2:$B$5,0),'H2 break-even point(NPV=0)'!L52,'H2 break-even point(NPV=0)'!L63,L73,L83)</f>
        <v>-29285.029680789467</v>
      </c>
      <c r="M41" s="135">
        <f>CHOOSE(MATCH($B$36,Scenario_list!$B$2:$B$5,0),'H2 break-even point(NPV=0)'!M52,'H2 break-even point(NPV=0)'!M63,M73,M83)</f>
        <v>-29285.029680789467</v>
      </c>
      <c r="N41" s="135">
        <f>CHOOSE(MATCH($B$36,Scenario_list!$B$2:$B$5,0),'H2 break-even point(NPV=0)'!N52,'H2 break-even point(NPV=0)'!N63,N73,N83)</f>
        <v>-29285.029680789467</v>
      </c>
      <c r="O41" s="135"/>
      <c r="P41" s="135"/>
      <c r="Q41" s="135"/>
      <c r="R41" s="135"/>
      <c r="S41" s="135"/>
      <c r="T41" s="135"/>
      <c r="U41" s="135"/>
      <c r="V41" s="135"/>
      <c r="W41" s="135"/>
      <c r="X41" s="135"/>
    </row>
    <row r="42" spans="2:24">
      <c r="B42" s="134" t="s">
        <v>236</v>
      </c>
      <c r="C42" t="s">
        <v>196</v>
      </c>
      <c r="E42" s="132">
        <f>CHOOSE(MATCH($B$36,Scenario_list!$B$2:$B$5,0),'H2 break-even point(NPV=0)'!E53,'H2 break-even point(NPV=0)'!E64,E74,E84)</f>
        <v>138.22</v>
      </c>
      <c r="F42" s="132">
        <f>CHOOSE(MATCH($B$36,Scenario_list!$B$2:$B$5,0),'H2 break-even point(NPV=0)'!F53,'H2 break-even point(NPV=0)'!F64,F74,F84)</f>
        <v>138.22</v>
      </c>
      <c r="G42" s="132">
        <f>CHOOSE(MATCH($B$36,Scenario_list!$B$2:$B$5,0),'H2 break-even point(NPV=0)'!G53,'H2 break-even point(NPV=0)'!G64,G74,G84)</f>
        <v>138.22</v>
      </c>
      <c r="H42" s="132">
        <f>CHOOSE(MATCH($B$36,Scenario_list!$B$2:$B$5,0),'H2 break-even point(NPV=0)'!H53,'H2 break-even point(NPV=0)'!H64,H74,H84)</f>
        <v>138.22</v>
      </c>
      <c r="I42" s="132">
        <f>CHOOSE(MATCH($B$36,Scenario_list!$B$2:$B$5,0),'H2 break-even point(NPV=0)'!I53,'H2 break-even point(NPV=0)'!I64,I74,I84)</f>
        <v>138.22</v>
      </c>
      <c r="J42" s="132">
        <f>CHOOSE(MATCH($B$36,Scenario_list!$B$2:$B$5,0),'H2 break-even point(NPV=0)'!J53,'H2 break-even point(NPV=0)'!J64,J74,J84)</f>
        <v>138.22</v>
      </c>
      <c r="K42" s="132">
        <f>CHOOSE(MATCH($B$36,Scenario_list!$B$2:$B$5,0),'H2 break-even point(NPV=0)'!K53,'H2 break-even point(NPV=0)'!K64,K74,K84)</f>
        <v>138.22</v>
      </c>
      <c r="L42" s="132">
        <f>CHOOSE(MATCH($B$36,Scenario_list!$B$2:$B$5,0),'H2 break-even point(NPV=0)'!L53,'H2 break-even point(NPV=0)'!L64,L74,L84)</f>
        <v>138.22</v>
      </c>
      <c r="M42" s="132">
        <f>CHOOSE(MATCH($B$36,Scenario_list!$B$2:$B$5,0),'H2 break-even point(NPV=0)'!M53,'H2 break-even point(NPV=0)'!M64,M74,M84)</f>
        <v>138.22</v>
      </c>
      <c r="N42" s="132">
        <f>CHOOSE(MATCH($B$36,Scenario_list!$B$2:$B$5,0),'H2 break-even point(NPV=0)'!N53,'H2 break-even point(NPV=0)'!N64,N74,N84)</f>
        <v>138.22</v>
      </c>
      <c r="O42" s="132"/>
      <c r="P42" s="132"/>
      <c r="Q42" s="132"/>
      <c r="R42" s="132"/>
      <c r="S42" s="132"/>
      <c r="T42" s="132"/>
      <c r="U42" s="132"/>
      <c r="V42" s="132"/>
      <c r="W42" s="132"/>
      <c r="X42" s="132"/>
    </row>
    <row r="43" spans="2:24">
      <c r="B43" s="134" t="s">
        <v>198</v>
      </c>
      <c r="C43" t="s">
        <v>170</v>
      </c>
      <c r="E43" s="132">
        <f>CHOOSE(MATCH($B$36,Scenario_list!$B$2:$B$5,0),'H2 break-even point(NPV=0)'!E54,'H2 break-even point(NPV=0)'!E65,E75,E85)</f>
        <v>211.8725921052631</v>
      </c>
      <c r="F43" s="132">
        <f>CHOOSE(MATCH($B$36,Scenario_list!$B$2:$B$5,0),'H2 break-even point(NPV=0)'!F54,'H2 break-even point(NPV=0)'!F65,F75,F85)</f>
        <v>211.8725921052631</v>
      </c>
      <c r="G43" s="132">
        <f>CHOOSE(MATCH($B$36,Scenario_list!$B$2:$B$5,0),'H2 break-even point(NPV=0)'!G54,'H2 break-even point(NPV=0)'!G65,G75,G85)</f>
        <v>211.8725921052631</v>
      </c>
      <c r="H43" s="132">
        <f>CHOOSE(MATCH($B$36,Scenario_list!$B$2:$B$5,0),'H2 break-even point(NPV=0)'!H54,'H2 break-even point(NPV=0)'!H65,H75,H85)</f>
        <v>211.8725921052631</v>
      </c>
      <c r="I43" s="132">
        <f>CHOOSE(MATCH($B$36,Scenario_list!$B$2:$B$5,0),'H2 break-even point(NPV=0)'!I54,'H2 break-even point(NPV=0)'!I65,I75,I85)</f>
        <v>211.8725921052631</v>
      </c>
      <c r="J43" s="132">
        <f>CHOOSE(MATCH($B$36,Scenario_list!$B$2:$B$5,0),'H2 break-even point(NPV=0)'!J54,'H2 break-even point(NPV=0)'!J65,J75,J85)</f>
        <v>211.8725921052631</v>
      </c>
      <c r="K43" s="132">
        <f>CHOOSE(MATCH($B$36,Scenario_list!$B$2:$B$5,0),'H2 break-even point(NPV=0)'!K54,'H2 break-even point(NPV=0)'!K65,K75,K85)</f>
        <v>211.8725921052631</v>
      </c>
      <c r="L43" s="132">
        <f>CHOOSE(MATCH($B$36,Scenario_list!$B$2:$B$5,0),'H2 break-even point(NPV=0)'!L54,'H2 break-even point(NPV=0)'!L65,L75,L85)</f>
        <v>211.8725921052631</v>
      </c>
      <c r="M43" s="132">
        <f>CHOOSE(MATCH($B$36,Scenario_list!$B$2:$B$5,0),'H2 break-even point(NPV=0)'!M54,'H2 break-even point(NPV=0)'!M65,M75,M85)</f>
        <v>211.8725921052631</v>
      </c>
      <c r="N43" s="132">
        <f>CHOOSE(MATCH($B$36,Scenario_list!$B$2:$B$5,0),'H2 break-even point(NPV=0)'!N54,'H2 break-even point(NPV=0)'!N65,N75,N85)</f>
        <v>211.8725921052631</v>
      </c>
      <c r="O43" s="132"/>
      <c r="P43" s="132"/>
      <c r="Q43" s="132"/>
      <c r="R43" s="132"/>
      <c r="S43" s="132"/>
      <c r="T43" s="132"/>
      <c r="U43" s="132"/>
      <c r="V43" s="132"/>
      <c r="W43" s="132"/>
      <c r="X43" s="132"/>
    </row>
    <row r="44" spans="2:24" s="13" customFormat="1">
      <c r="B44" s="130" t="s">
        <v>185</v>
      </c>
      <c r="C44" s="13" t="s">
        <v>174</v>
      </c>
      <c r="D44" s="137"/>
      <c r="E44" s="135">
        <f>CHOOSE(MATCH($B$36,Scenario_list!$B$2:$B$5,0),'H2 break-even point(NPV=0)'!E55,'H2 break-even point(NPV=0)'!E66,E76,E86)</f>
        <v>30321.500519210527</v>
      </c>
      <c r="F44" s="135">
        <f>CHOOSE(MATCH($B$36,Scenario_list!$B$2:$B$5,0),'H2 break-even point(NPV=0)'!F55,'H2 break-even point(NPV=0)'!F66,F76,F86)</f>
        <v>31830.137264210531</v>
      </c>
      <c r="G44" s="135">
        <f>CHOOSE(MATCH($B$36,Scenario_list!$B$2:$B$5,0),'H2 break-even point(NPV=0)'!G55,'H2 break-even point(NPV=0)'!G66,G76,G86)</f>
        <v>33301.058090585531</v>
      </c>
      <c r="H44" s="135">
        <f>CHOOSE(MATCH($B$36,Scenario_list!$B$2:$B$5,0),'H2 break-even point(NPV=0)'!H55,'H2 break-even point(NPV=0)'!H66,H76,H86)</f>
        <v>34735.205896301151</v>
      </c>
      <c r="I44" s="135">
        <f>CHOOSE(MATCH($B$36,Scenario_list!$B$2:$B$5,0),'H2 break-even point(NPV=0)'!I55,'H2 break-even point(NPV=0)'!I66,I76,I86)</f>
        <v>36133.500006873903</v>
      </c>
      <c r="J44" s="135">
        <f>CHOOSE(MATCH($B$36,Scenario_list!$B$2:$B$5,0),'H2 break-even point(NPV=0)'!J55,'H2 break-even point(NPV=0)'!J66,J76,J86)</f>
        <v>37496.836764682303</v>
      </c>
      <c r="K44" s="135">
        <f>CHOOSE(MATCH($B$36,Scenario_list!$B$2:$B$5,0),'H2 break-even point(NPV=0)'!K55,'H2 break-even point(NPV=0)'!K66,K76,K86)</f>
        <v>38826.090103545517</v>
      </c>
      <c r="L44" s="135">
        <f>CHOOSE(MATCH($B$36,Scenario_list!$B$2:$B$5,0),'H2 break-even point(NPV=0)'!L55,'H2 break-even point(NPV=0)'!L66,L76,L86)</f>
        <v>40122.112108937159</v>
      </c>
      <c r="M44" s="135">
        <f>CHOOSE(MATCH($B$36,Scenario_list!$B$2:$B$5,0),'H2 break-even point(NPV=0)'!M55,'H2 break-even point(NPV=0)'!M66,M76,M86)</f>
        <v>41385.733564193986</v>
      </c>
      <c r="N44" s="135">
        <f>CHOOSE(MATCH($B$36,Scenario_list!$B$2:$B$5,0),'H2 break-even point(NPV=0)'!N55,'H2 break-even point(NPV=0)'!N66,N76,N86)</f>
        <v>42617.764483069404</v>
      </c>
      <c r="O44" s="135"/>
      <c r="P44" s="135"/>
      <c r="Q44" s="135"/>
      <c r="R44" s="135"/>
      <c r="S44" s="135"/>
      <c r="T44" s="135"/>
      <c r="U44" s="135"/>
      <c r="V44" s="135"/>
      <c r="W44" s="135"/>
      <c r="X44" s="135"/>
    </row>
    <row r="45" spans="2:24" s="13" customFormat="1">
      <c r="B45" s="138" t="s">
        <v>240</v>
      </c>
      <c r="C45" s="139"/>
      <c r="D45" s="140"/>
      <c r="E45" s="141"/>
      <c r="F45" s="141"/>
      <c r="G45" s="141"/>
      <c r="H45" s="141"/>
      <c r="I45" s="141"/>
      <c r="J45" s="141"/>
      <c r="K45" s="141"/>
      <c r="L45" s="141"/>
      <c r="M45" s="141"/>
      <c r="N45" s="141"/>
      <c r="O45" s="23"/>
      <c r="P45" s="23"/>
      <c r="Q45" s="23"/>
      <c r="R45" s="23"/>
      <c r="S45" s="23"/>
      <c r="T45" s="23"/>
      <c r="U45" s="23"/>
      <c r="V45" s="23"/>
      <c r="W45" s="23"/>
      <c r="X45" s="23"/>
    </row>
    <row r="46" spans="2:24" s="13" customFormat="1">
      <c r="B46" s="117" t="s">
        <v>241</v>
      </c>
      <c r="C46" s="82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</row>
    <row r="47" spans="2:24">
      <c r="B47" s="15" t="s">
        <v>238</v>
      </c>
    </row>
    <row r="48" spans="2:24">
      <c r="B48" t="s">
        <v>151</v>
      </c>
      <c r="C48" t="s">
        <v>171</v>
      </c>
      <c r="D48" s="26">
        <f>'Grid + solar + CAISO'!$A$6</f>
        <v>59.5</v>
      </c>
    </row>
    <row r="49" spans="2:24" s="13" customFormat="1">
      <c r="B49" s="13" t="s">
        <v>194</v>
      </c>
      <c r="C49" s="13" t="s">
        <v>174</v>
      </c>
      <c r="D49" s="73"/>
      <c r="E49" s="120">
        <f>-E50*E51</f>
        <v>-60345.469800000006</v>
      </c>
      <c r="F49" s="120">
        <f t="shared" ref="F49:N49" si="7">-F50*F51</f>
        <v>-58836.833055000003</v>
      </c>
      <c r="G49" s="120">
        <f t="shared" si="7"/>
        <v>-57365.912228625006</v>
      </c>
      <c r="H49" s="120">
        <f t="shared" si="7"/>
        <v>-55931.764422909378</v>
      </c>
      <c r="I49" s="120">
        <f t="shared" si="7"/>
        <v>-54533.470312336634</v>
      </c>
      <c r="J49" s="120">
        <f t="shared" si="7"/>
        <v>-53170.133554528227</v>
      </c>
      <c r="K49" s="120">
        <f t="shared" si="7"/>
        <v>-51840.88021566502</v>
      </c>
      <c r="L49" s="120">
        <f t="shared" si="7"/>
        <v>-50544.858210273385</v>
      </c>
      <c r="M49" s="120">
        <f t="shared" si="7"/>
        <v>-49281.236755016551</v>
      </c>
      <c r="N49" s="120">
        <f t="shared" si="7"/>
        <v>-48049.20583614114</v>
      </c>
      <c r="O49" s="120"/>
      <c r="P49" s="120"/>
      <c r="Q49" s="120"/>
      <c r="R49" s="120"/>
      <c r="S49" s="120"/>
      <c r="T49" s="120"/>
      <c r="U49" s="120"/>
      <c r="V49" s="120"/>
      <c r="W49" s="120"/>
      <c r="X49" s="120"/>
    </row>
    <row r="50" spans="2:24">
      <c r="B50" s="54" t="s">
        <v>237</v>
      </c>
      <c r="C50" t="s">
        <v>196</v>
      </c>
      <c r="E50" s="121">
        <f>'Grid + solar + CAISO'!$A$21</f>
        <v>138.22</v>
      </c>
      <c r="F50" s="122">
        <f>E50</f>
        <v>138.22</v>
      </c>
      <c r="G50" s="122">
        <f>F50</f>
        <v>138.22</v>
      </c>
      <c r="H50" s="122">
        <f t="shared" ref="H50:N50" si="8">G50</f>
        <v>138.22</v>
      </c>
      <c r="I50" s="122">
        <f t="shared" si="8"/>
        <v>138.22</v>
      </c>
      <c r="J50" s="122">
        <f t="shared" si="8"/>
        <v>138.22</v>
      </c>
      <c r="K50" s="122">
        <f t="shared" si="8"/>
        <v>138.22</v>
      </c>
      <c r="L50" s="122">
        <f t="shared" si="8"/>
        <v>138.22</v>
      </c>
      <c r="M50" s="122">
        <f t="shared" si="8"/>
        <v>138.22</v>
      </c>
      <c r="N50" s="122">
        <f t="shared" si="8"/>
        <v>138.22</v>
      </c>
      <c r="O50" s="122"/>
      <c r="P50" s="122"/>
      <c r="Q50" s="122"/>
      <c r="R50" s="122"/>
      <c r="S50" s="122"/>
      <c r="T50" s="122"/>
      <c r="U50" s="122"/>
      <c r="V50" s="122"/>
      <c r="W50" s="122"/>
      <c r="X50" s="122"/>
    </row>
    <row r="51" spans="2:24">
      <c r="B51" s="54" t="s">
        <v>197</v>
      </c>
      <c r="C51" t="s">
        <v>170</v>
      </c>
      <c r="E51" s="118">
        <f>'Model Initial - Battery Lazard'!E38</f>
        <v>436.59000000000003</v>
      </c>
      <c r="F51" s="123">
        <f>'Model Initial - Battery Lazard'!F38</f>
        <v>425.67525000000001</v>
      </c>
      <c r="G51" s="123">
        <f>'Model Initial - Battery Lazard'!G38</f>
        <v>415.03336875000002</v>
      </c>
      <c r="H51" s="123">
        <f>'Model Initial - Battery Lazard'!H38</f>
        <v>404.65753453125001</v>
      </c>
      <c r="I51" s="123">
        <f>'Model Initial - Battery Lazard'!I38</f>
        <v>394.5410961679687</v>
      </c>
      <c r="J51" s="123">
        <f>'Model Initial - Battery Lazard'!J38</f>
        <v>384.67756876376956</v>
      </c>
      <c r="K51" s="123">
        <f>'Model Initial - Battery Lazard'!K38</f>
        <v>375.06062954467529</v>
      </c>
      <c r="L51" s="123">
        <f>'Model Initial - Battery Lazard'!L38</f>
        <v>365.68411380605835</v>
      </c>
      <c r="M51" s="123">
        <f>'Model Initial - Battery Lazard'!M38</f>
        <v>356.54201096090691</v>
      </c>
      <c r="N51" s="123">
        <f>'Model Initial - Battery Lazard'!N38</f>
        <v>347.62846068688424</v>
      </c>
      <c r="O51" s="176"/>
      <c r="P51" s="176"/>
      <c r="Q51" s="176"/>
      <c r="R51" s="176"/>
      <c r="S51" s="176"/>
      <c r="T51" s="176"/>
      <c r="U51" s="176"/>
      <c r="V51" s="176"/>
      <c r="W51" s="176"/>
      <c r="X51" s="176"/>
    </row>
    <row r="52" spans="2:24" s="13" customFormat="1">
      <c r="B52" s="13" t="s">
        <v>195</v>
      </c>
      <c r="C52" s="13" t="s">
        <v>174</v>
      </c>
      <c r="E52" s="124">
        <f>- E53*E54</f>
        <v>-29285.029680789467</v>
      </c>
      <c r="F52" s="124">
        <f t="shared" ref="F52:N52" si="9">- F53*F54</f>
        <v>-29285.029680789467</v>
      </c>
      <c r="G52" s="124">
        <f t="shared" si="9"/>
        <v>-29285.029680789467</v>
      </c>
      <c r="H52" s="124">
        <f t="shared" si="9"/>
        <v>-29285.029680789467</v>
      </c>
      <c r="I52" s="124">
        <f t="shared" si="9"/>
        <v>-29285.029680789467</v>
      </c>
      <c r="J52" s="124">
        <f t="shared" si="9"/>
        <v>-29285.029680789467</v>
      </c>
      <c r="K52" s="124">
        <f t="shared" si="9"/>
        <v>-29285.029680789467</v>
      </c>
      <c r="L52" s="124">
        <f t="shared" si="9"/>
        <v>-29285.029680789467</v>
      </c>
      <c r="M52" s="124">
        <f t="shared" si="9"/>
        <v>-29285.029680789467</v>
      </c>
      <c r="N52" s="124">
        <f t="shared" si="9"/>
        <v>-29285.029680789467</v>
      </c>
      <c r="O52" s="135"/>
      <c r="P52" s="135"/>
      <c r="Q52" s="135"/>
      <c r="R52" s="135"/>
      <c r="S52" s="135"/>
      <c r="T52" s="135"/>
      <c r="U52" s="135"/>
      <c r="V52" s="135"/>
      <c r="W52" s="135"/>
      <c r="X52" s="135"/>
    </row>
    <row r="53" spans="2:24">
      <c r="B53" s="54" t="s">
        <v>236</v>
      </c>
      <c r="C53" t="s">
        <v>196</v>
      </c>
      <c r="E53" s="121">
        <f>'Grid + solar + CAISO'!$A$21</f>
        <v>138.22</v>
      </c>
      <c r="F53" s="122">
        <f>E53</f>
        <v>138.22</v>
      </c>
      <c r="G53" s="122">
        <f t="shared" ref="G53:N53" si="10">F53</f>
        <v>138.22</v>
      </c>
      <c r="H53" s="122">
        <f t="shared" si="10"/>
        <v>138.22</v>
      </c>
      <c r="I53" s="122">
        <f t="shared" si="10"/>
        <v>138.22</v>
      </c>
      <c r="J53" s="122">
        <f t="shared" si="10"/>
        <v>138.22</v>
      </c>
      <c r="K53" s="122">
        <f t="shared" si="10"/>
        <v>138.22</v>
      </c>
      <c r="L53" s="122">
        <f t="shared" si="10"/>
        <v>138.22</v>
      </c>
      <c r="M53" s="122">
        <f t="shared" si="10"/>
        <v>138.22</v>
      </c>
      <c r="N53" s="122">
        <f t="shared" si="10"/>
        <v>138.22</v>
      </c>
      <c r="O53" s="122"/>
      <c r="P53" s="122"/>
      <c r="Q53" s="122"/>
      <c r="R53" s="122"/>
      <c r="S53" s="122"/>
      <c r="T53" s="122"/>
      <c r="U53" s="122"/>
      <c r="V53" s="122"/>
      <c r="W53" s="122"/>
      <c r="X53" s="122"/>
    </row>
    <row r="54" spans="2:24">
      <c r="B54" s="54" t="s">
        <v>198</v>
      </c>
      <c r="C54" t="s">
        <v>170</v>
      </c>
      <c r="E54" s="121">
        <f>'LCOS Solar + Degradation'!E9</f>
        <v>211.8725921052631</v>
      </c>
      <c r="F54" s="122">
        <f>'LCOS Solar + Degradation'!F9</f>
        <v>211.8725921052631</v>
      </c>
      <c r="G54" s="122">
        <f>'LCOS Solar + Degradation'!G9</f>
        <v>211.8725921052631</v>
      </c>
      <c r="H54" s="122">
        <f>'LCOS Solar + Degradation'!H9</f>
        <v>211.8725921052631</v>
      </c>
      <c r="I54" s="122">
        <f>'LCOS Solar + Degradation'!I9</f>
        <v>211.8725921052631</v>
      </c>
      <c r="J54" s="122">
        <f>'LCOS Solar + Degradation'!J9</f>
        <v>211.8725921052631</v>
      </c>
      <c r="K54" s="122">
        <f>'LCOS Solar + Degradation'!K9</f>
        <v>211.8725921052631</v>
      </c>
      <c r="L54" s="122">
        <f>'LCOS Solar + Degradation'!L9</f>
        <v>211.8725921052631</v>
      </c>
      <c r="M54" s="122">
        <f>'LCOS Solar + Degradation'!M9</f>
        <v>211.8725921052631</v>
      </c>
      <c r="N54" s="122">
        <f>'LCOS Solar + Degradation'!N9</f>
        <v>211.8725921052631</v>
      </c>
      <c r="O54" s="122"/>
      <c r="P54" s="122"/>
      <c r="Q54" s="122"/>
      <c r="R54" s="122"/>
      <c r="S54" s="122"/>
      <c r="T54" s="122"/>
      <c r="U54" s="122"/>
      <c r="V54" s="122"/>
      <c r="W54" s="122"/>
      <c r="X54" s="122"/>
    </row>
    <row r="55" spans="2:24" s="13" customFormat="1">
      <c r="B55" s="13" t="s">
        <v>185</v>
      </c>
      <c r="C55" s="13" t="s">
        <v>174</v>
      </c>
      <c r="D55" s="116"/>
      <c r="E55" s="120">
        <f t="shared" ref="E55:N55" si="11">$D$48 * E7 / 10^3   + E49 + E52</f>
        <v>30321.500519210527</v>
      </c>
      <c r="F55" s="120">
        <f t="shared" si="11"/>
        <v>31830.137264210531</v>
      </c>
      <c r="G55" s="120">
        <f t="shared" si="11"/>
        <v>33301.058090585531</v>
      </c>
      <c r="H55" s="120">
        <f t="shared" si="11"/>
        <v>34735.205896301151</v>
      </c>
      <c r="I55" s="120">
        <f t="shared" si="11"/>
        <v>36133.500006873903</v>
      </c>
      <c r="J55" s="120">
        <f t="shared" si="11"/>
        <v>37496.836764682303</v>
      </c>
      <c r="K55" s="120">
        <f t="shared" si="11"/>
        <v>38826.090103545517</v>
      </c>
      <c r="L55" s="120">
        <f t="shared" si="11"/>
        <v>40122.112108937159</v>
      </c>
      <c r="M55" s="120">
        <f t="shared" si="11"/>
        <v>41385.733564193986</v>
      </c>
      <c r="N55" s="120">
        <f t="shared" si="11"/>
        <v>42617.764483069404</v>
      </c>
      <c r="O55" s="120"/>
      <c r="P55" s="120"/>
      <c r="Q55" s="120"/>
      <c r="R55" s="120"/>
      <c r="S55" s="120"/>
      <c r="T55" s="120"/>
      <c r="U55" s="120"/>
      <c r="V55" s="120"/>
      <c r="W55" s="120"/>
      <c r="X55" s="120"/>
    </row>
    <row r="56" spans="2:24" s="13" customFormat="1">
      <c r="B56" s="13" t="s">
        <v>240</v>
      </c>
      <c r="D56" s="116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</row>
    <row r="58" spans="2:24">
      <c r="B58" s="15" t="s">
        <v>239</v>
      </c>
    </row>
    <row r="59" spans="2:24">
      <c r="B59" s="112" t="s">
        <v>151</v>
      </c>
      <c r="C59" s="112" t="s">
        <v>171</v>
      </c>
      <c r="D59">
        <f>D48</f>
        <v>59.5</v>
      </c>
    </row>
    <row r="60" spans="2:24" s="13" customFormat="1">
      <c r="B60" s="13" t="s">
        <v>194</v>
      </c>
      <c r="C60" s="113" t="s">
        <v>174</v>
      </c>
      <c r="E60" s="164">
        <v>0</v>
      </c>
      <c r="F60" s="164">
        <v>0</v>
      </c>
      <c r="G60" s="164">
        <v>0</v>
      </c>
      <c r="H60" s="164">
        <v>0</v>
      </c>
      <c r="I60" s="164">
        <v>0</v>
      </c>
      <c r="J60" s="164">
        <v>0</v>
      </c>
      <c r="K60" s="164">
        <v>0</v>
      </c>
      <c r="L60" s="164">
        <v>0</v>
      </c>
      <c r="M60" s="164">
        <v>0</v>
      </c>
      <c r="N60" s="164">
        <v>0</v>
      </c>
      <c r="O60" s="25"/>
      <c r="P60" s="25"/>
      <c r="Q60" s="25"/>
      <c r="R60" s="25"/>
      <c r="S60" s="25"/>
      <c r="T60" s="25"/>
      <c r="U60" s="25"/>
      <c r="V60" s="25"/>
      <c r="W60" s="25"/>
      <c r="X60" s="25"/>
    </row>
    <row r="61" spans="2:24">
      <c r="B61" s="114" t="s">
        <v>237</v>
      </c>
      <c r="C61" s="112" t="s">
        <v>196</v>
      </c>
      <c r="E61" s="123">
        <f>E50</f>
        <v>138.22</v>
      </c>
      <c r="F61" s="123">
        <f t="shared" ref="F61:N61" si="12">F50</f>
        <v>138.22</v>
      </c>
      <c r="G61" s="123">
        <f t="shared" si="12"/>
        <v>138.22</v>
      </c>
      <c r="H61" s="123">
        <f t="shared" si="12"/>
        <v>138.22</v>
      </c>
      <c r="I61" s="123">
        <f t="shared" si="12"/>
        <v>138.22</v>
      </c>
      <c r="J61" s="123">
        <f t="shared" si="12"/>
        <v>138.22</v>
      </c>
      <c r="K61" s="123">
        <f t="shared" si="12"/>
        <v>138.22</v>
      </c>
      <c r="L61" s="123">
        <f t="shared" si="12"/>
        <v>138.22</v>
      </c>
      <c r="M61" s="123">
        <f t="shared" si="12"/>
        <v>138.22</v>
      </c>
      <c r="N61" s="123">
        <f t="shared" si="12"/>
        <v>138.22</v>
      </c>
      <c r="O61" s="176"/>
      <c r="P61" s="176"/>
      <c r="Q61" s="176"/>
      <c r="R61" s="176"/>
      <c r="S61" s="176"/>
      <c r="T61" s="176"/>
      <c r="U61" s="176"/>
      <c r="V61" s="176"/>
      <c r="W61" s="176"/>
      <c r="X61" s="176"/>
    </row>
    <row r="62" spans="2:24">
      <c r="B62" s="114" t="s">
        <v>197</v>
      </c>
      <c r="C62" s="112" t="s">
        <v>170</v>
      </c>
      <c r="E62" s="123">
        <f>'Model Initial - Battery Lazard'!E38</f>
        <v>436.59000000000003</v>
      </c>
      <c r="F62" s="123">
        <f>'Model Initial - Battery Lazard'!F38</f>
        <v>425.67525000000001</v>
      </c>
      <c r="G62" s="123">
        <f>'Model Initial - Battery Lazard'!G38</f>
        <v>415.03336875000002</v>
      </c>
      <c r="H62" s="123">
        <f>'Model Initial - Battery Lazard'!H38</f>
        <v>404.65753453125001</v>
      </c>
      <c r="I62" s="123">
        <f>'Model Initial - Battery Lazard'!I38</f>
        <v>394.5410961679687</v>
      </c>
      <c r="J62" s="123">
        <f>'Model Initial - Battery Lazard'!J38</f>
        <v>384.67756876376956</v>
      </c>
      <c r="K62" s="123">
        <f>'Model Initial - Battery Lazard'!K38</f>
        <v>375.06062954467529</v>
      </c>
      <c r="L62" s="123">
        <f>'Model Initial - Battery Lazard'!L38</f>
        <v>365.68411380605835</v>
      </c>
      <c r="M62" s="123">
        <f>'Model Initial - Battery Lazard'!M38</f>
        <v>356.54201096090691</v>
      </c>
      <c r="N62" s="123">
        <f>'Model Initial - Battery Lazard'!N38</f>
        <v>347.62846068688424</v>
      </c>
      <c r="O62" s="176"/>
      <c r="P62" s="176"/>
      <c r="Q62" s="176"/>
      <c r="R62" s="176"/>
      <c r="S62" s="176"/>
      <c r="T62" s="176"/>
      <c r="U62" s="176"/>
      <c r="V62" s="176"/>
      <c r="W62" s="176"/>
      <c r="X62" s="176"/>
    </row>
    <row r="63" spans="2:24" s="13" customFormat="1">
      <c r="B63" s="13" t="s">
        <v>195</v>
      </c>
      <c r="C63" s="113" t="s">
        <v>174</v>
      </c>
      <c r="E63" s="164">
        <v>0</v>
      </c>
      <c r="F63" s="164">
        <v>0</v>
      </c>
      <c r="G63" s="164">
        <v>0</v>
      </c>
      <c r="H63" s="164">
        <v>0</v>
      </c>
      <c r="I63" s="164">
        <v>0</v>
      </c>
      <c r="J63" s="164">
        <v>0</v>
      </c>
      <c r="K63" s="164">
        <v>0</v>
      </c>
      <c r="L63" s="164">
        <v>0</v>
      </c>
      <c r="M63" s="164">
        <v>0</v>
      </c>
      <c r="N63" s="164">
        <v>0</v>
      </c>
      <c r="O63" s="25"/>
      <c r="P63" s="25"/>
      <c r="Q63" s="25"/>
      <c r="R63" s="25"/>
      <c r="S63" s="25"/>
      <c r="T63" s="25"/>
      <c r="U63" s="25"/>
      <c r="V63" s="25"/>
      <c r="W63" s="25"/>
      <c r="X63" s="25"/>
    </row>
    <row r="64" spans="2:24">
      <c r="B64" s="114" t="s">
        <v>236</v>
      </c>
      <c r="C64" s="112" t="s">
        <v>196</v>
      </c>
      <c r="E64" s="122">
        <f>E53</f>
        <v>138.22</v>
      </c>
      <c r="F64" s="122">
        <f t="shared" ref="F64:N64" si="13">F53</f>
        <v>138.22</v>
      </c>
      <c r="G64" s="122">
        <f t="shared" si="13"/>
        <v>138.22</v>
      </c>
      <c r="H64" s="122">
        <f t="shared" si="13"/>
        <v>138.22</v>
      </c>
      <c r="I64" s="122">
        <f t="shared" si="13"/>
        <v>138.22</v>
      </c>
      <c r="J64" s="122">
        <f t="shared" si="13"/>
        <v>138.22</v>
      </c>
      <c r="K64" s="122">
        <f t="shared" si="13"/>
        <v>138.22</v>
      </c>
      <c r="L64" s="122">
        <f t="shared" si="13"/>
        <v>138.22</v>
      </c>
      <c r="M64" s="122">
        <f t="shared" si="13"/>
        <v>138.22</v>
      </c>
      <c r="N64" s="122">
        <f t="shared" si="13"/>
        <v>138.22</v>
      </c>
      <c r="O64" s="122"/>
      <c r="P64" s="122"/>
      <c r="Q64" s="122"/>
      <c r="R64" s="122"/>
      <c r="S64" s="122"/>
      <c r="T64" s="122"/>
      <c r="U64" s="122"/>
      <c r="V64" s="122"/>
      <c r="W64" s="122"/>
      <c r="X64" s="122"/>
    </row>
    <row r="65" spans="2:24">
      <c r="B65" s="114" t="s">
        <v>198</v>
      </c>
      <c r="C65" s="112" t="s">
        <v>170</v>
      </c>
      <c r="E65" s="123">
        <f>'LCOS Solar + Degradation'!E9</f>
        <v>211.8725921052631</v>
      </c>
      <c r="F65" s="123">
        <f>'LCOS Solar + Degradation'!F9</f>
        <v>211.8725921052631</v>
      </c>
      <c r="G65" s="123">
        <f>'LCOS Solar + Degradation'!G9</f>
        <v>211.8725921052631</v>
      </c>
      <c r="H65" s="123">
        <f>'LCOS Solar + Degradation'!H9</f>
        <v>211.8725921052631</v>
      </c>
      <c r="I65" s="123">
        <f>'LCOS Solar + Degradation'!I9</f>
        <v>211.8725921052631</v>
      </c>
      <c r="J65" s="123">
        <f>'LCOS Solar + Degradation'!J9</f>
        <v>211.8725921052631</v>
      </c>
      <c r="K65" s="123">
        <f>'LCOS Solar + Degradation'!K9</f>
        <v>211.8725921052631</v>
      </c>
      <c r="L65" s="123">
        <f>'LCOS Solar + Degradation'!L9</f>
        <v>211.8725921052631</v>
      </c>
      <c r="M65" s="123">
        <f>'LCOS Solar + Degradation'!M9</f>
        <v>211.8725921052631</v>
      </c>
      <c r="N65" s="123">
        <f>'LCOS Solar + Degradation'!N9</f>
        <v>211.8725921052631</v>
      </c>
      <c r="O65" s="176"/>
      <c r="P65" s="176"/>
      <c r="Q65" s="176"/>
      <c r="R65" s="176"/>
      <c r="S65" s="176"/>
      <c r="T65" s="176"/>
      <c r="U65" s="176"/>
      <c r="V65" s="176"/>
      <c r="W65" s="176"/>
      <c r="X65" s="176"/>
    </row>
    <row r="66" spans="2:24">
      <c r="B66" s="113" t="s">
        <v>185</v>
      </c>
      <c r="C66" s="113" t="s">
        <v>174</v>
      </c>
      <c r="D66" s="83"/>
      <c r="E66" s="120">
        <f t="shared" ref="E66:N66" si="14">(E7 / 10^3 - E65 - E62) * $D$59</f>
        <v>81368.475769736848</v>
      </c>
      <c r="F66" s="120">
        <f t="shared" si="14"/>
        <v>82017.903394736844</v>
      </c>
      <c r="G66" s="120">
        <f t="shared" si="14"/>
        <v>82651.095329111849</v>
      </c>
      <c r="H66" s="120">
        <f t="shared" si="14"/>
        <v>83268.45746512746</v>
      </c>
      <c r="I66" s="120">
        <f t="shared" si="14"/>
        <v>83870.385547742699</v>
      </c>
      <c r="J66" s="120">
        <f t="shared" si="14"/>
        <v>84457.26542829255</v>
      </c>
      <c r="K66" s="120">
        <f t="shared" si="14"/>
        <v>85029.473311828668</v>
      </c>
      <c r="L66" s="120">
        <f t="shared" si="14"/>
        <v>85587.375998276373</v>
      </c>
      <c r="M66" s="120">
        <f t="shared" si="14"/>
        <v>86131.331117562891</v>
      </c>
      <c r="N66" s="120">
        <f t="shared" si="14"/>
        <v>86661.687358867246</v>
      </c>
      <c r="O66" s="120"/>
      <c r="P66" s="120"/>
      <c r="Q66" s="120"/>
      <c r="R66" s="120"/>
      <c r="S66" s="120"/>
      <c r="T66" s="120"/>
      <c r="U66" s="120"/>
      <c r="V66" s="120"/>
      <c r="W66" s="120"/>
      <c r="X66" s="120"/>
    </row>
    <row r="67" spans="2:24">
      <c r="B67" s="113"/>
      <c r="C67" s="113"/>
      <c r="D67" s="83"/>
      <c r="E67" s="120"/>
      <c r="F67" s="120"/>
      <c r="G67" s="120"/>
      <c r="H67" s="120"/>
      <c r="I67" s="120"/>
      <c r="J67" s="120"/>
      <c r="K67" s="120"/>
      <c r="L67" s="120"/>
      <c r="M67" s="120"/>
      <c r="N67" s="120"/>
      <c r="O67" s="120"/>
      <c r="P67" s="120"/>
      <c r="Q67" s="120"/>
      <c r="R67" s="120"/>
      <c r="S67" s="120"/>
      <c r="T67" s="120"/>
      <c r="U67" s="120"/>
      <c r="V67" s="120"/>
      <c r="W67" s="120"/>
      <c r="X67" s="120"/>
    </row>
    <row r="68" spans="2:24">
      <c r="B68" s="15" t="s">
        <v>270</v>
      </c>
      <c r="E68" s="120"/>
      <c r="F68" s="120"/>
      <c r="G68" s="120"/>
      <c r="H68" s="120"/>
      <c r="I68" s="120"/>
      <c r="J68" s="120"/>
      <c r="K68" s="120"/>
      <c r="L68" s="120"/>
      <c r="M68" s="120"/>
      <c r="N68" s="120"/>
      <c r="O68" s="120"/>
      <c r="P68" s="120"/>
      <c r="Q68" s="120"/>
      <c r="R68" s="120"/>
      <c r="S68" s="120"/>
      <c r="T68" s="120"/>
      <c r="U68" s="120"/>
      <c r="V68" s="120"/>
      <c r="W68" s="120"/>
      <c r="X68" s="120"/>
    </row>
    <row r="69" spans="2:24">
      <c r="B69" s="112" t="s">
        <v>151</v>
      </c>
      <c r="C69" s="112" t="s">
        <v>171</v>
      </c>
      <c r="D69">
        <f>D59</f>
        <v>59.5</v>
      </c>
      <c r="E69" s="120"/>
      <c r="F69" s="120"/>
      <c r="G69" s="120"/>
      <c r="H69" s="120"/>
      <c r="I69" s="120"/>
      <c r="J69" s="120"/>
      <c r="K69" s="120"/>
      <c r="L69" s="120"/>
      <c r="M69" s="120"/>
      <c r="N69" s="120"/>
      <c r="O69" s="120"/>
      <c r="P69" s="120"/>
      <c r="Q69" s="120"/>
      <c r="R69" s="120"/>
      <c r="S69" s="120"/>
      <c r="T69" s="120"/>
      <c r="U69" s="120"/>
      <c r="V69" s="120"/>
      <c r="W69" s="120"/>
      <c r="X69" s="120"/>
    </row>
    <row r="70" spans="2:24">
      <c r="B70" s="13" t="s">
        <v>194</v>
      </c>
      <c r="C70" s="113" t="s">
        <v>174</v>
      </c>
      <c r="D70" s="13"/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177"/>
      <c r="P70" s="177"/>
      <c r="Q70" s="177"/>
      <c r="R70" s="177"/>
      <c r="S70" s="177"/>
      <c r="T70" s="177"/>
      <c r="U70" s="177"/>
      <c r="V70" s="177"/>
      <c r="W70" s="177"/>
      <c r="X70" s="177"/>
    </row>
    <row r="71" spans="2:24">
      <c r="B71" s="114" t="s">
        <v>237</v>
      </c>
      <c r="C71" s="112" t="s">
        <v>196</v>
      </c>
      <c r="E71" s="122">
        <f>E61</f>
        <v>138.22</v>
      </c>
      <c r="F71" s="122">
        <f t="shared" ref="F71:N71" si="15">F61</f>
        <v>138.22</v>
      </c>
      <c r="G71" s="122">
        <f t="shared" si="15"/>
        <v>138.22</v>
      </c>
      <c r="H71" s="122">
        <f t="shared" si="15"/>
        <v>138.22</v>
      </c>
      <c r="I71" s="122">
        <f t="shared" si="15"/>
        <v>138.22</v>
      </c>
      <c r="J71" s="122">
        <f t="shared" si="15"/>
        <v>138.22</v>
      </c>
      <c r="K71" s="122">
        <f t="shared" si="15"/>
        <v>138.22</v>
      </c>
      <c r="L71" s="122">
        <f t="shared" si="15"/>
        <v>138.22</v>
      </c>
      <c r="M71" s="122">
        <f t="shared" si="15"/>
        <v>138.22</v>
      </c>
      <c r="N71" s="122">
        <f t="shared" si="15"/>
        <v>138.22</v>
      </c>
      <c r="O71" s="122"/>
      <c r="P71" s="122"/>
      <c r="Q71" s="122"/>
      <c r="R71" s="122"/>
      <c r="S71" s="122"/>
      <c r="T71" s="122"/>
      <c r="U71" s="122"/>
      <c r="V71" s="122"/>
      <c r="W71" s="122"/>
      <c r="X71" s="122"/>
    </row>
    <row r="72" spans="2:24">
      <c r="B72" s="114" t="s">
        <v>197</v>
      </c>
      <c r="C72" s="112" t="s">
        <v>170</v>
      </c>
      <c r="E72" s="122">
        <f>'Model Initial - Battery Lazard'!E38</f>
        <v>436.59000000000003</v>
      </c>
      <c r="F72" s="122">
        <f>'Model Initial - Battery Lazard'!F38</f>
        <v>425.67525000000001</v>
      </c>
      <c r="G72" s="122">
        <f>'Model Initial - Battery Lazard'!G38</f>
        <v>415.03336875000002</v>
      </c>
      <c r="H72" s="122">
        <f>'Model Initial - Battery Lazard'!H38</f>
        <v>404.65753453125001</v>
      </c>
      <c r="I72" s="122">
        <f>'Model Initial - Battery Lazard'!I38</f>
        <v>394.5410961679687</v>
      </c>
      <c r="J72" s="122">
        <f>'Model Initial - Battery Lazard'!J38</f>
        <v>384.67756876376956</v>
      </c>
      <c r="K72" s="122">
        <f>'Model Initial - Battery Lazard'!K38</f>
        <v>375.06062954467529</v>
      </c>
      <c r="L72" s="122">
        <f>'Model Initial - Battery Lazard'!L38</f>
        <v>365.68411380605835</v>
      </c>
      <c r="M72" s="122">
        <f>'Model Initial - Battery Lazard'!M38</f>
        <v>356.54201096090691</v>
      </c>
      <c r="N72" s="122">
        <f>'Model Initial - Battery Lazard'!N38</f>
        <v>347.62846068688424</v>
      </c>
      <c r="O72" s="122"/>
      <c r="P72" s="122"/>
      <c r="Q72" s="122"/>
      <c r="R72" s="122"/>
      <c r="S72" s="122"/>
      <c r="T72" s="122"/>
      <c r="U72" s="122"/>
      <c r="V72" s="122"/>
      <c r="W72" s="122"/>
      <c r="X72" s="122"/>
    </row>
    <row r="73" spans="2:24">
      <c r="B73" s="13" t="s">
        <v>195</v>
      </c>
      <c r="C73" s="113" t="s">
        <v>174</v>
      </c>
      <c r="D73" s="13"/>
      <c r="E73" s="120">
        <f>-E74*E75</f>
        <v>-29285.029680789467</v>
      </c>
      <c r="F73" s="120">
        <f t="shared" ref="F73:N73" si="16">-F74*F75</f>
        <v>-29285.029680789467</v>
      </c>
      <c r="G73" s="120">
        <f t="shared" si="16"/>
        <v>-29285.029680789467</v>
      </c>
      <c r="H73" s="120">
        <f t="shared" si="16"/>
        <v>-29285.029680789467</v>
      </c>
      <c r="I73" s="120">
        <f t="shared" si="16"/>
        <v>-29285.029680789467</v>
      </c>
      <c r="J73" s="120">
        <f t="shared" si="16"/>
        <v>-29285.029680789467</v>
      </c>
      <c r="K73" s="120">
        <f t="shared" si="16"/>
        <v>-29285.029680789467</v>
      </c>
      <c r="L73" s="120">
        <f t="shared" si="16"/>
        <v>-29285.029680789467</v>
      </c>
      <c r="M73" s="120">
        <f t="shared" si="16"/>
        <v>-29285.029680789467</v>
      </c>
      <c r="N73" s="120">
        <f t="shared" si="16"/>
        <v>-29285.029680789467</v>
      </c>
      <c r="O73" s="120"/>
      <c r="P73" s="120"/>
      <c r="Q73" s="120"/>
      <c r="R73" s="120"/>
      <c r="S73" s="120"/>
      <c r="T73" s="120"/>
      <c r="U73" s="120"/>
      <c r="V73" s="120"/>
      <c r="W73" s="120"/>
      <c r="X73" s="120"/>
    </row>
    <row r="74" spans="2:24">
      <c r="B74" s="114" t="s">
        <v>236</v>
      </c>
      <c r="C74" s="112" t="s">
        <v>196</v>
      </c>
      <c r="E74" s="122">
        <f>E64</f>
        <v>138.22</v>
      </c>
      <c r="F74" s="122">
        <f t="shared" ref="F74:N74" si="17">F64</f>
        <v>138.22</v>
      </c>
      <c r="G74" s="122">
        <f t="shared" si="17"/>
        <v>138.22</v>
      </c>
      <c r="H74" s="122">
        <f t="shared" si="17"/>
        <v>138.22</v>
      </c>
      <c r="I74" s="122">
        <f t="shared" si="17"/>
        <v>138.22</v>
      </c>
      <c r="J74" s="122">
        <f t="shared" si="17"/>
        <v>138.22</v>
      </c>
      <c r="K74" s="122">
        <f t="shared" si="17"/>
        <v>138.22</v>
      </c>
      <c r="L74" s="122">
        <f t="shared" si="17"/>
        <v>138.22</v>
      </c>
      <c r="M74" s="122">
        <f t="shared" si="17"/>
        <v>138.22</v>
      </c>
      <c r="N74" s="122">
        <f t="shared" si="17"/>
        <v>138.22</v>
      </c>
      <c r="O74" s="122"/>
      <c r="P74" s="122"/>
      <c r="Q74" s="122"/>
      <c r="R74" s="122"/>
      <c r="S74" s="122"/>
      <c r="T74" s="122"/>
      <c r="U74" s="122"/>
      <c r="V74" s="122"/>
      <c r="W74" s="122"/>
      <c r="X74" s="122"/>
    </row>
    <row r="75" spans="2:24">
      <c r="B75" s="114" t="s">
        <v>198</v>
      </c>
      <c r="C75" s="112" t="s">
        <v>170</v>
      </c>
      <c r="E75" s="122">
        <f>'LCOS Solar + Degradation'!E9</f>
        <v>211.8725921052631</v>
      </c>
      <c r="F75" s="122">
        <f>'LCOS Solar + Degradation'!F9</f>
        <v>211.8725921052631</v>
      </c>
      <c r="G75" s="122">
        <f>'LCOS Solar + Degradation'!G9</f>
        <v>211.8725921052631</v>
      </c>
      <c r="H75" s="122">
        <f>'LCOS Solar + Degradation'!H9</f>
        <v>211.8725921052631</v>
      </c>
      <c r="I75" s="122">
        <f>'LCOS Solar + Degradation'!I9</f>
        <v>211.8725921052631</v>
      </c>
      <c r="J75" s="122">
        <f>'LCOS Solar + Degradation'!J9</f>
        <v>211.8725921052631</v>
      </c>
      <c r="K75" s="122">
        <f>'LCOS Solar + Degradation'!K9</f>
        <v>211.8725921052631</v>
      </c>
      <c r="L75" s="122">
        <f>'LCOS Solar + Degradation'!L9</f>
        <v>211.8725921052631</v>
      </c>
      <c r="M75" s="122">
        <f>'LCOS Solar + Degradation'!M9</f>
        <v>211.8725921052631</v>
      </c>
      <c r="N75" s="122">
        <f>'LCOS Solar + Degradation'!N9</f>
        <v>211.8725921052631</v>
      </c>
      <c r="O75" s="122"/>
      <c r="P75" s="122"/>
      <c r="Q75" s="122"/>
      <c r="R75" s="122"/>
      <c r="S75" s="122"/>
      <c r="T75" s="122"/>
      <c r="U75" s="122"/>
      <c r="V75" s="122"/>
      <c r="W75" s="122"/>
      <c r="X75" s="122"/>
    </row>
    <row r="76" spans="2:24">
      <c r="B76" s="113" t="s">
        <v>185</v>
      </c>
      <c r="C76" s="113" t="s">
        <v>174</v>
      </c>
      <c r="D76" s="83"/>
      <c r="E76" s="120">
        <f t="shared" ref="E76:N76" si="18">(E7 / 10^3 - E72 ) * $D$69 + E73</f>
        <v>64689.865319210527</v>
      </c>
      <c r="F76" s="120">
        <f t="shared" si="18"/>
        <v>65339.292944210538</v>
      </c>
      <c r="G76" s="120">
        <f t="shared" si="18"/>
        <v>65972.484878585528</v>
      </c>
      <c r="H76" s="120">
        <f t="shared" si="18"/>
        <v>66589.847014601168</v>
      </c>
      <c r="I76" s="120">
        <f t="shared" si="18"/>
        <v>67191.775097216407</v>
      </c>
      <c r="J76" s="120">
        <f t="shared" si="18"/>
        <v>67778.654977766244</v>
      </c>
      <c r="K76" s="120">
        <f t="shared" si="18"/>
        <v>68350.862861302361</v>
      </c>
      <c r="L76" s="120">
        <f t="shared" si="18"/>
        <v>68908.765547750067</v>
      </c>
      <c r="M76" s="120">
        <f t="shared" si="18"/>
        <v>69452.72066703657</v>
      </c>
      <c r="N76" s="120">
        <f t="shared" si="18"/>
        <v>69983.076908340925</v>
      </c>
      <c r="O76" s="120"/>
      <c r="P76" s="120"/>
      <c r="Q76" s="120"/>
      <c r="R76" s="120"/>
      <c r="S76" s="120"/>
      <c r="T76" s="120"/>
      <c r="U76" s="120"/>
      <c r="V76" s="120"/>
      <c r="W76" s="120"/>
      <c r="X76" s="120"/>
    </row>
    <row r="77" spans="2:24">
      <c r="B77" s="113"/>
      <c r="C77" s="113"/>
      <c r="D77" s="83"/>
      <c r="E77" s="120"/>
      <c r="F77" s="120"/>
      <c r="G77" s="120"/>
      <c r="H77" s="120"/>
      <c r="I77" s="120"/>
      <c r="J77" s="120"/>
      <c r="K77" s="120"/>
      <c r="L77" s="120"/>
      <c r="M77" s="120"/>
      <c r="N77" s="120"/>
      <c r="O77" s="120"/>
      <c r="P77" s="120"/>
      <c r="Q77" s="120"/>
      <c r="R77" s="120"/>
      <c r="S77" s="120"/>
      <c r="T77" s="120"/>
      <c r="U77" s="120"/>
      <c r="V77" s="120"/>
      <c r="W77" s="120"/>
      <c r="X77" s="120"/>
    </row>
    <row r="78" spans="2:24">
      <c r="B78" s="15" t="s">
        <v>271</v>
      </c>
      <c r="E78" s="120"/>
      <c r="F78" s="120"/>
      <c r="G78" s="120"/>
      <c r="H78" s="120"/>
      <c r="I78" s="120"/>
      <c r="J78" s="120"/>
      <c r="K78" s="120"/>
      <c r="L78" s="120"/>
      <c r="M78" s="120"/>
      <c r="N78" s="120"/>
      <c r="O78" s="120"/>
      <c r="P78" s="120"/>
      <c r="Q78" s="120"/>
      <c r="R78" s="120"/>
      <c r="S78" s="120"/>
      <c r="T78" s="120"/>
      <c r="U78" s="120"/>
      <c r="V78" s="120"/>
      <c r="W78" s="120"/>
      <c r="X78" s="120"/>
    </row>
    <row r="79" spans="2:24">
      <c r="B79" s="112" t="s">
        <v>151</v>
      </c>
      <c r="C79" s="112" t="s">
        <v>171</v>
      </c>
      <c r="D79">
        <f>D69</f>
        <v>59.5</v>
      </c>
      <c r="E79" s="120"/>
      <c r="F79" s="120"/>
      <c r="G79" s="120"/>
      <c r="H79" s="120"/>
      <c r="I79" s="120"/>
      <c r="J79" s="120"/>
      <c r="K79" s="120"/>
      <c r="L79" s="120"/>
      <c r="M79" s="120"/>
      <c r="N79" s="120"/>
      <c r="O79" s="120"/>
      <c r="P79" s="120"/>
      <c r="Q79" s="120"/>
      <c r="R79" s="120"/>
      <c r="S79" s="120"/>
      <c r="T79" s="120"/>
      <c r="U79" s="120"/>
      <c r="V79" s="120"/>
      <c r="W79" s="120"/>
      <c r="X79" s="120"/>
    </row>
    <row r="80" spans="2:24">
      <c r="B80" s="13" t="s">
        <v>194</v>
      </c>
      <c r="C80" s="113" t="s">
        <v>174</v>
      </c>
      <c r="D80" s="13"/>
      <c r="E80" s="120">
        <f>-E81 * E82</f>
        <v>-60345.469800000006</v>
      </c>
      <c r="F80" s="120">
        <f t="shared" ref="F80:N80" si="19">-F81 * F82</f>
        <v>-58836.833055000003</v>
      </c>
      <c r="G80" s="120">
        <f t="shared" si="19"/>
        <v>-57365.912228625006</v>
      </c>
      <c r="H80" s="120">
        <f t="shared" si="19"/>
        <v>-55931.764422909378</v>
      </c>
      <c r="I80" s="120">
        <f t="shared" si="19"/>
        <v>-54533.470312336634</v>
      </c>
      <c r="J80" s="120">
        <f t="shared" si="19"/>
        <v>-53170.133554528227</v>
      </c>
      <c r="K80" s="120">
        <f t="shared" si="19"/>
        <v>-51840.88021566502</v>
      </c>
      <c r="L80" s="120">
        <f t="shared" si="19"/>
        <v>-50544.858210273385</v>
      </c>
      <c r="M80" s="120">
        <f t="shared" si="19"/>
        <v>-49281.236755016551</v>
      </c>
      <c r="N80" s="120">
        <f t="shared" si="19"/>
        <v>-48049.20583614114</v>
      </c>
      <c r="O80" s="120"/>
      <c r="P80" s="120"/>
      <c r="Q80" s="120"/>
      <c r="R80" s="120"/>
      <c r="S80" s="120"/>
      <c r="T80" s="120"/>
      <c r="U80" s="120"/>
      <c r="V80" s="120"/>
      <c r="W80" s="120"/>
      <c r="X80" s="120"/>
    </row>
    <row r="81" spans="2:24">
      <c r="B81" s="114" t="s">
        <v>237</v>
      </c>
      <c r="C81" s="112" t="s">
        <v>196</v>
      </c>
      <c r="E81" s="122">
        <f>E71</f>
        <v>138.22</v>
      </c>
      <c r="F81" s="122">
        <f t="shared" ref="F81:N81" si="20">F71</f>
        <v>138.22</v>
      </c>
      <c r="G81" s="122">
        <f t="shared" si="20"/>
        <v>138.22</v>
      </c>
      <c r="H81" s="122">
        <f t="shared" si="20"/>
        <v>138.22</v>
      </c>
      <c r="I81" s="122">
        <f t="shared" si="20"/>
        <v>138.22</v>
      </c>
      <c r="J81" s="122">
        <f t="shared" si="20"/>
        <v>138.22</v>
      </c>
      <c r="K81" s="122">
        <f t="shared" si="20"/>
        <v>138.22</v>
      </c>
      <c r="L81" s="122">
        <f t="shared" si="20"/>
        <v>138.22</v>
      </c>
      <c r="M81" s="122">
        <f t="shared" si="20"/>
        <v>138.22</v>
      </c>
      <c r="N81" s="122">
        <f t="shared" si="20"/>
        <v>138.22</v>
      </c>
      <c r="O81" s="122"/>
      <c r="P81" s="122"/>
      <c r="Q81" s="122"/>
      <c r="R81" s="122"/>
      <c r="S81" s="122"/>
      <c r="T81" s="122"/>
      <c r="U81" s="122"/>
      <c r="V81" s="122"/>
      <c r="W81" s="122"/>
      <c r="X81" s="122"/>
    </row>
    <row r="82" spans="2:24">
      <c r="B82" s="114" t="s">
        <v>197</v>
      </c>
      <c r="C82" s="112" t="s">
        <v>170</v>
      </c>
      <c r="E82" s="122">
        <f>'Model Initial - Battery Lazard'!E38</f>
        <v>436.59000000000003</v>
      </c>
      <c r="F82" s="122">
        <f>'Model Initial - Battery Lazard'!F38</f>
        <v>425.67525000000001</v>
      </c>
      <c r="G82" s="122">
        <f>'Model Initial - Battery Lazard'!G38</f>
        <v>415.03336875000002</v>
      </c>
      <c r="H82" s="122">
        <f>'Model Initial - Battery Lazard'!H38</f>
        <v>404.65753453125001</v>
      </c>
      <c r="I82" s="122">
        <f>'Model Initial - Battery Lazard'!I38</f>
        <v>394.5410961679687</v>
      </c>
      <c r="J82" s="122">
        <f>'Model Initial - Battery Lazard'!J38</f>
        <v>384.67756876376956</v>
      </c>
      <c r="K82" s="122">
        <f>'Model Initial - Battery Lazard'!K38</f>
        <v>375.06062954467529</v>
      </c>
      <c r="L82" s="122">
        <f>'Model Initial - Battery Lazard'!L38</f>
        <v>365.68411380605835</v>
      </c>
      <c r="M82" s="122">
        <f>'Model Initial - Battery Lazard'!M38</f>
        <v>356.54201096090691</v>
      </c>
      <c r="N82" s="122">
        <f>'Model Initial - Battery Lazard'!N38</f>
        <v>347.62846068688424</v>
      </c>
      <c r="O82" s="122"/>
      <c r="P82" s="122"/>
      <c r="Q82" s="122"/>
      <c r="R82" s="122"/>
      <c r="S82" s="122"/>
      <c r="T82" s="122"/>
      <c r="U82" s="122"/>
      <c r="V82" s="122"/>
      <c r="W82" s="122"/>
      <c r="X82" s="122"/>
    </row>
    <row r="83" spans="2:24">
      <c r="B83" s="13" t="s">
        <v>195</v>
      </c>
      <c r="C83" s="113" t="s">
        <v>174</v>
      </c>
      <c r="D83" s="13"/>
      <c r="E83" s="167">
        <v>0</v>
      </c>
      <c r="F83" s="167">
        <v>0</v>
      </c>
      <c r="G83" s="167">
        <v>0</v>
      </c>
      <c r="H83" s="167">
        <v>0</v>
      </c>
      <c r="I83" s="167">
        <v>0</v>
      </c>
      <c r="J83" s="167">
        <v>0</v>
      </c>
      <c r="K83" s="167">
        <v>0</v>
      </c>
      <c r="L83" s="167">
        <v>0</v>
      </c>
      <c r="M83" s="167">
        <v>0</v>
      </c>
      <c r="N83" s="167">
        <v>0</v>
      </c>
      <c r="O83" s="178"/>
      <c r="P83" s="178"/>
      <c r="Q83" s="178"/>
      <c r="R83" s="178"/>
      <c r="S83" s="178"/>
      <c r="T83" s="178"/>
      <c r="U83" s="178"/>
      <c r="V83" s="178"/>
      <c r="W83" s="178"/>
      <c r="X83" s="178"/>
    </row>
    <row r="84" spans="2:24">
      <c r="B84" s="114" t="s">
        <v>236</v>
      </c>
      <c r="C84" s="112" t="s">
        <v>196</v>
      </c>
      <c r="E84" s="122">
        <f>E74</f>
        <v>138.22</v>
      </c>
      <c r="F84" s="122">
        <f t="shared" ref="F84:N84" si="21">F74</f>
        <v>138.22</v>
      </c>
      <c r="G84" s="122">
        <f t="shared" si="21"/>
        <v>138.22</v>
      </c>
      <c r="H84" s="122">
        <f t="shared" si="21"/>
        <v>138.22</v>
      </c>
      <c r="I84" s="122">
        <f t="shared" si="21"/>
        <v>138.22</v>
      </c>
      <c r="J84" s="122">
        <f t="shared" si="21"/>
        <v>138.22</v>
      </c>
      <c r="K84" s="122">
        <f t="shared" si="21"/>
        <v>138.22</v>
      </c>
      <c r="L84" s="122">
        <f t="shared" si="21"/>
        <v>138.22</v>
      </c>
      <c r="M84" s="122">
        <f t="shared" si="21"/>
        <v>138.22</v>
      </c>
      <c r="N84" s="122">
        <f t="shared" si="21"/>
        <v>138.22</v>
      </c>
      <c r="O84" s="122"/>
      <c r="P84" s="122"/>
      <c r="Q84" s="122"/>
      <c r="R84" s="122"/>
      <c r="S84" s="122"/>
      <c r="T84" s="122"/>
      <c r="U84" s="122"/>
      <c r="V84" s="122"/>
      <c r="W84" s="122"/>
      <c r="X84" s="122"/>
    </row>
    <row r="85" spans="2:24">
      <c r="B85" s="114" t="s">
        <v>198</v>
      </c>
      <c r="C85" s="112" t="s">
        <v>170</v>
      </c>
      <c r="E85" s="122">
        <f>'LCOS Solar + Degradation'!E9</f>
        <v>211.8725921052631</v>
      </c>
      <c r="F85" s="122">
        <f>'LCOS Solar + Degradation'!F9</f>
        <v>211.8725921052631</v>
      </c>
      <c r="G85" s="122">
        <f>'LCOS Solar + Degradation'!G9</f>
        <v>211.8725921052631</v>
      </c>
      <c r="H85" s="122">
        <f>'LCOS Solar + Degradation'!H9</f>
        <v>211.8725921052631</v>
      </c>
      <c r="I85" s="122">
        <f>'LCOS Solar + Degradation'!I9</f>
        <v>211.8725921052631</v>
      </c>
      <c r="J85" s="122">
        <f>'LCOS Solar + Degradation'!J9</f>
        <v>211.8725921052631</v>
      </c>
      <c r="K85" s="122">
        <f>'LCOS Solar + Degradation'!K9</f>
        <v>211.8725921052631</v>
      </c>
      <c r="L85" s="122">
        <f>'LCOS Solar + Degradation'!L9</f>
        <v>211.8725921052631</v>
      </c>
      <c r="M85" s="122">
        <f>'LCOS Solar + Degradation'!M9</f>
        <v>211.8725921052631</v>
      </c>
      <c r="N85" s="122">
        <f>'LCOS Solar + Degradation'!N9</f>
        <v>211.8725921052631</v>
      </c>
      <c r="O85" s="122"/>
      <c r="P85" s="122"/>
      <c r="Q85" s="122"/>
      <c r="R85" s="122"/>
      <c r="S85" s="122"/>
      <c r="T85" s="122"/>
      <c r="U85" s="122"/>
      <c r="V85" s="122"/>
      <c r="W85" s="122"/>
      <c r="X85" s="122"/>
    </row>
    <row r="86" spans="2:24">
      <c r="B86" s="113" t="s">
        <v>185</v>
      </c>
      <c r="C86" s="113" t="s">
        <v>174</v>
      </c>
      <c r="D86" s="83"/>
      <c r="E86" s="120">
        <f t="shared" ref="E86:N86" si="22">(E7 / 10^3 - E85 ) * $D$79 +  E80</f>
        <v>47000.110969736837</v>
      </c>
      <c r="F86" s="120">
        <f t="shared" si="22"/>
        <v>48508.747714736841</v>
      </c>
      <c r="G86" s="120">
        <f t="shared" si="22"/>
        <v>49979.668541111838</v>
      </c>
      <c r="H86" s="120">
        <f t="shared" si="22"/>
        <v>51413.816346827465</v>
      </c>
      <c r="I86" s="120">
        <f t="shared" si="22"/>
        <v>52812.110457400209</v>
      </c>
      <c r="J86" s="120">
        <f t="shared" si="22"/>
        <v>54175.447215208616</v>
      </c>
      <c r="K86" s="120">
        <f t="shared" si="22"/>
        <v>55504.700554071824</v>
      </c>
      <c r="L86" s="120">
        <f t="shared" si="22"/>
        <v>56800.722559463458</v>
      </c>
      <c r="M86" s="120">
        <f t="shared" si="22"/>
        <v>58064.344014720293</v>
      </c>
      <c r="N86" s="120">
        <f t="shared" si="22"/>
        <v>59296.374933595704</v>
      </c>
      <c r="O86" s="120"/>
      <c r="P86" s="120"/>
      <c r="Q86" s="120"/>
      <c r="R86" s="120"/>
      <c r="S86" s="120"/>
      <c r="T86" s="120"/>
      <c r="U86" s="120"/>
      <c r="V86" s="120"/>
      <c r="W86" s="120"/>
      <c r="X86" s="120"/>
    </row>
    <row r="87" spans="2:24">
      <c r="B87" s="1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</row>
    <row r="88" spans="2:24" s="13" customFormat="1">
      <c r="B88" s="13" t="s">
        <v>152</v>
      </c>
      <c r="C88" s="13" t="s">
        <v>167</v>
      </c>
      <c r="D88" s="86">
        <v>0.01</v>
      </c>
      <c r="E88" s="87">
        <f>$D$88 * $D$134 * (1+$D$89)</f>
        <v>5504.5</v>
      </c>
      <c r="F88" s="87">
        <f t="shared" ref="F88:N88" si="23">$D$88 * $D$134 * (1+$D$89)</f>
        <v>5504.5</v>
      </c>
      <c r="G88" s="87">
        <f t="shared" si="23"/>
        <v>5504.5</v>
      </c>
      <c r="H88" s="87">
        <f t="shared" si="23"/>
        <v>5504.5</v>
      </c>
      <c r="I88" s="87">
        <f t="shared" si="23"/>
        <v>5504.5</v>
      </c>
      <c r="J88" s="87">
        <f t="shared" si="23"/>
        <v>5504.5</v>
      </c>
      <c r="K88" s="87">
        <f t="shared" si="23"/>
        <v>5504.5</v>
      </c>
      <c r="L88" s="87">
        <f t="shared" si="23"/>
        <v>5504.5</v>
      </c>
      <c r="M88" s="87">
        <f t="shared" si="23"/>
        <v>5504.5</v>
      </c>
      <c r="N88" s="87">
        <f t="shared" si="23"/>
        <v>5504.5</v>
      </c>
      <c r="O88" s="179"/>
      <c r="P88" s="179"/>
      <c r="Q88" s="179"/>
      <c r="R88" s="179"/>
      <c r="S88" s="179"/>
      <c r="T88" s="179"/>
      <c r="U88" s="179"/>
      <c r="V88" s="179"/>
      <c r="W88" s="179"/>
      <c r="X88" s="179"/>
    </row>
    <row r="89" spans="2:24">
      <c r="B89" t="s">
        <v>153</v>
      </c>
      <c r="C89" t="s">
        <v>167</v>
      </c>
      <c r="D89" s="80">
        <v>0.01</v>
      </c>
    </row>
    <row r="90" spans="2:24" s="13" customFormat="1">
      <c r="B90" s="13" t="s">
        <v>154</v>
      </c>
      <c r="C90" s="13" t="s">
        <v>167</v>
      </c>
      <c r="D90" s="86">
        <v>1.4999999999999999E-2</v>
      </c>
      <c r="E90" s="83">
        <f>$D$90 * $D$134 * (1+$D$91)</f>
        <v>8358.9375</v>
      </c>
      <c r="F90" s="83">
        <f t="shared" ref="F90:N90" si="24">$D$90 * $D$134 * (1+$D$91)</f>
        <v>8358.9375</v>
      </c>
      <c r="G90" s="83">
        <f t="shared" si="24"/>
        <v>8358.9375</v>
      </c>
      <c r="H90" s="83">
        <f t="shared" si="24"/>
        <v>8358.9375</v>
      </c>
      <c r="I90" s="83">
        <f t="shared" si="24"/>
        <v>8358.9375</v>
      </c>
      <c r="J90" s="83">
        <f t="shared" si="24"/>
        <v>8358.9375</v>
      </c>
      <c r="K90" s="83">
        <f t="shared" si="24"/>
        <v>8358.9375</v>
      </c>
      <c r="L90" s="83">
        <f t="shared" si="24"/>
        <v>8358.9375</v>
      </c>
      <c r="M90" s="83">
        <f t="shared" si="24"/>
        <v>8358.9375</v>
      </c>
      <c r="N90" s="83">
        <f t="shared" si="24"/>
        <v>8358.9375</v>
      </c>
      <c r="O90" s="175"/>
      <c r="P90" s="175"/>
      <c r="Q90" s="175"/>
      <c r="R90" s="175"/>
      <c r="S90" s="175"/>
      <c r="T90" s="175"/>
      <c r="U90" s="175"/>
      <c r="V90" s="175"/>
      <c r="W90" s="175"/>
      <c r="X90" s="175"/>
    </row>
    <row r="91" spans="2:24">
      <c r="B91" t="s">
        <v>155</v>
      </c>
      <c r="C91" t="s">
        <v>167</v>
      </c>
      <c r="D91" s="80">
        <v>2.2499999999999999E-2</v>
      </c>
    </row>
    <row r="92" spans="2:24" s="13" customFormat="1" ht="17" thickBot="1">
      <c r="B92" s="11" t="s">
        <v>187</v>
      </c>
      <c r="C92" s="11"/>
      <c r="D92" s="143"/>
      <c r="E92" s="146">
        <f>E33+E44+E88+E90-'Model Initial - Battery Lazard'!E42-'Model Initial - Battery Lazard'!E43+'LCOS Solar + Degradation'!E22</f>
        <v>45107.84422671052</v>
      </c>
      <c r="F92" s="146">
        <f>F33+F44+F88+F90-'Model Initial - Battery Lazard'!F42-'Model Initial - Battery Lazard'!F43+'LCOS Solar + Degradation'!F22</f>
        <v>46545.133656093341</v>
      </c>
      <c r="G92" s="146">
        <f>G33+G44+G88+G90-'Model Initial - Battery Lazard'!G42-'Model Initial - Battery Lazard'!G43+'LCOS Solar + Degradation'!G22</f>
        <v>47942.517085852167</v>
      </c>
      <c r="H92" s="146">
        <f>H33+H44+H88+H90-'Model Initial - Battery Lazard'!H42-'Model Initial - Battery Lazard'!H43+'LCOS Solar + Degradation'!H22</f>
        <v>49300.871280661704</v>
      </c>
      <c r="I92" s="146">
        <f>I33+I44+I88+I90-'Model Initial - Battery Lazard'!I42-'Model Initial - Battery Lazard'!I43+'LCOS Solar + Degradation'!I22</f>
        <v>50621.047495646955</v>
      </c>
      <c r="J92" s="146">
        <f>J33+J44+J88+J90-'Model Initial - Battery Lazard'!J42-'Model Initial - Battery Lazard'!J43+'LCOS Solar + Degradation'!J22</f>
        <v>51903.872010172119</v>
      </c>
      <c r="K92" s="146">
        <f>K33+K44+K88+K90-'Model Initial - Battery Lazard'!K42-'Model Initial - Battery Lazard'!K43+'LCOS Solar + Degradation'!K22</f>
        <v>53150.146645331624</v>
      </c>
      <c r="L92" s="146">
        <f>L33+L44+L88+L90-'Model Initial - Battery Lazard'!L42-'Model Initial - Battery Lazard'!L43+'LCOS Solar + Degradation'!L22</f>
        <v>54360.649265467313</v>
      </c>
      <c r="M92" s="146">
        <f>M33+M44+M88+M90-'Model Initial - Battery Lazard'!M42-'Model Initial - Battery Lazard'!M43+'LCOS Solar + Degradation'!M22</f>
        <v>55536.134264026732</v>
      </c>
      <c r="N92" s="146">
        <f>N33+N44+N88+N90-'Model Initial - Battery Lazard'!N42-'Model Initial - Battery Lazard'!N43+'LCOS Solar + Degradation'!N22</f>
        <v>56677.333034066578</v>
      </c>
      <c r="O92" s="120"/>
      <c r="P92" s="120"/>
      <c r="Q92" s="120"/>
      <c r="R92" s="120"/>
      <c r="S92" s="120"/>
      <c r="T92" s="120"/>
      <c r="U92" s="120"/>
      <c r="V92" s="120"/>
      <c r="W92" s="120"/>
      <c r="X92" s="120"/>
    </row>
    <row r="93" spans="2:24" s="13" customFormat="1" ht="18" thickTop="1" thickBot="1">
      <c r="B93" s="11" t="s">
        <v>244</v>
      </c>
      <c r="C93" s="11"/>
      <c r="D93" s="143"/>
      <c r="E93" s="18">
        <f t="shared" ref="E93:N93" si="25">E30-E92</f>
        <v>575258.35446324642</v>
      </c>
      <c r="F93" s="18">
        <f t="shared" si="25"/>
        <v>419231.46976918302</v>
      </c>
      <c r="G93" s="18">
        <f t="shared" si="25"/>
        <v>301871.5563355693</v>
      </c>
      <c r="H93" s="18">
        <f t="shared" si="25"/>
        <v>196365.11200882145</v>
      </c>
      <c r="I93" s="18">
        <f t="shared" si="25"/>
        <v>120663.22526548256</v>
      </c>
      <c r="J93" s="18">
        <f t="shared" si="25"/>
        <v>68962.196668253368</v>
      </c>
      <c r="K93" s="18">
        <f t="shared" si="25"/>
        <v>32272.03942734006</v>
      </c>
      <c r="L93" s="18">
        <f t="shared" si="25"/>
        <v>7937.3804033039924</v>
      </c>
      <c r="M93" s="18">
        <f t="shared" si="25"/>
        <v>-9766.8054403365022</v>
      </c>
      <c r="N93" s="18">
        <f t="shared" si="25"/>
        <v>-23749.333034066585</v>
      </c>
      <c r="O93" s="23"/>
      <c r="P93" s="23"/>
      <c r="Q93" s="23"/>
      <c r="R93" s="23"/>
      <c r="S93" s="23"/>
      <c r="T93" s="23"/>
      <c r="U93" s="23"/>
      <c r="V93" s="23"/>
      <c r="W93" s="23"/>
      <c r="X93" s="23"/>
    </row>
    <row r="94" spans="2:24" s="13" customFormat="1" ht="17" thickTop="1">
      <c r="B94" s="15" t="s">
        <v>246</v>
      </c>
      <c r="C94" s="13" t="s">
        <v>167</v>
      </c>
      <c r="D94" s="86"/>
      <c r="E94" s="115">
        <f t="shared" ref="E94:N94" si="26">E93 / E30</f>
        <v>0.92728835916275598</v>
      </c>
      <c r="F94" s="115">
        <f t="shared" si="26"/>
        <v>0.90006983323377587</v>
      </c>
      <c r="G94" s="115">
        <f t="shared" si="26"/>
        <v>0.86294857546198334</v>
      </c>
      <c r="H94" s="115">
        <f t="shared" si="26"/>
        <v>0.79931746910777024</v>
      </c>
      <c r="I94" s="115">
        <f t="shared" si="26"/>
        <v>0.70446178928381642</v>
      </c>
      <c r="J94" s="115">
        <f t="shared" si="26"/>
        <v>0.57056705345263758</v>
      </c>
      <c r="K94" s="115">
        <f t="shared" si="26"/>
        <v>0.37779458605619259</v>
      </c>
      <c r="L94" s="115">
        <f t="shared" si="26"/>
        <v>0.12740981449181907</v>
      </c>
      <c r="M94" s="115">
        <f t="shared" si="26"/>
        <v>-0.21339193060836842</v>
      </c>
      <c r="N94" s="115">
        <f t="shared" si="26"/>
        <v>-0.72125039583535566</v>
      </c>
      <c r="O94" s="16"/>
      <c r="P94" s="16"/>
      <c r="Q94" s="16"/>
      <c r="R94" s="16"/>
      <c r="S94" s="16"/>
      <c r="T94" s="16"/>
      <c r="U94" s="16"/>
      <c r="V94" s="16"/>
      <c r="W94" s="16"/>
      <c r="X94" s="16"/>
    </row>
    <row r="95" spans="2:24" s="13" customFormat="1">
      <c r="B95" s="15" t="s">
        <v>247</v>
      </c>
      <c r="C95" s="13" t="s">
        <v>167</v>
      </c>
      <c r="D95" s="86"/>
      <c r="E95" s="145">
        <f t="shared" ref="E95:N95" si="27">(E30 - $D$48 * E7/10^3 - E33 - E88 -E90) / E30</f>
        <v>0.78289647726711253</v>
      </c>
      <c r="F95" s="145">
        <f t="shared" si="27"/>
        <v>0.71083298301047526</v>
      </c>
      <c r="G95" s="145">
        <f t="shared" si="27"/>
        <v>0.61496572138329664</v>
      </c>
      <c r="H95" s="145">
        <f t="shared" si="27"/>
        <v>0.45172221212811464</v>
      </c>
      <c r="I95" s="145">
        <f t="shared" si="27"/>
        <v>0.21361380743666303</v>
      </c>
      <c r="J95" s="145">
        <f t="shared" si="27"/>
        <v>-0.11443637129445187</v>
      </c>
      <c r="K95" s="145">
        <f t="shared" si="27"/>
        <v>-0.57686255494470384</v>
      </c>
      <c r="L95" s="145">
        <f t="shared" si="27"/>
        <v>-1.1621883508693907</v>
      </c>
      <c r="M95" s="145">
        <f t="shared" si="27"/>
        <v>-1.9430320274125616</v>
      </c>
      <c r="N95" s="145">
        <f t="shared" si="27"/>
        <v>-3.0907616800685518</v>
      </c>
      <c r="O95" s="180"/>
      <c r="P95" s="180"/>
      <c r="Q95" s="180"/>
      <c r="R95" s="180"/>
      <c r="S95" s="180"/>
      <c r="T95" s="180"/>
      <c r="U95" s="180"/>
      <c r="V95" s="180"/>
      <c r="W95" s="180"/>
      <c r="X95" s="180"/>
    </row>
    <row r="96" spans="2:24" s="13" customFormat="1">
      <c r="B96" t="s">
        <v>145</v>
      </c>
      <c r="C96" t="s">
        <v>174</v>
      </c>
      <c r="D96" s="86"/>
      <c r="E96" s="123">
        <f>IF(E1&lt;=6,-$D$121*AVERAGE('Model and Assumptions'!B$82:B$87),0)</f>
        <v>-358239.99999999994</v>
      </c>
      <c r="F96" s="123">
        <f>IF(F1&lt;=6,-$D$121*AVERAGE('Model and Assumptions'!C$82:C$87),0)</f>
        <v>-573184</v>
      </c>
      <c r="G96" s="123">
        <f>IF(G1&lt;=6,-$D$121*AVERAGE('Model and Assumptions'!D$82:D$87),0)</f>
        <v>-343910.39999999997</v>
      </c>
      <c r="H96" s="123">
        <f>IF(H1&lt;=6,-$D$121*AVERAGE('Model and Assumptions'!E$82:E$87),0)</f>
        <v>-205988</v>
      </c>
      <c r="I96" s="123">
        <f>IF(I1&lt;=6,-$D$121*AVERAGE('Model and Assumptions'!F$82:F$87),0)</f>
        <v>-205988</v>
      </c>
      <c r="J96" s="123">
        <f>IF(J1&lt;=6,-$D$121*AVERAGE('Model and Assumptions'!G$82:G$87),0)</f>
        <v>-103889.60000000001</v>
      </c>
      <c r="K96" s="2">
        <f>IF(K1&lt;=6,-$D$121*AVERAGE('Model and Assumptions'!I$52:I$58),0)</f>
        <v>0</v>
      </c>
      <c r="L96" s="2">
        <f>IF(L1&lt;=6,-$D$121*AVERAGE('Model and Assumptions'!J$53:J$58),0)</f>
        <v>0</v>
      </c>
      <c r="M96" s="2">
        <f>IF(M1&lt;=6,-$D$121*AVERAGE('Model and Assumptions'!F$59:F$60),0)</f>
        <v>0</v>
      </c>
      <c r="N96" s="2">
        <f>IF(N1&lt;=6,-$D$121*AVERAGE('Model and Assumptions'!G$60:G$60),0)</f>
        <v>0</v>
      </c>
      <c r="O96" s="177"/>
      <c r="P96" s="177"/>
      <c r="Q96" s="177"/>
      <c r="R96" s="177"/>
      <c r="S96" s="177"/>
      <c r="T96" s="177"/>
      <c r="U96" s="177"/>
      <c r="V96" s="177"/>
      <c r="W96" s="177"/>
      <c r="X96" s="177"/>
    </row>
    <row r="97" spans="2:24" s="13" customFormat="1">
      <c r="B97" t="s">
        <v>251</v>
      </c>
      <c r="C97"/>
      <c r="D97" s="86"/>
      <c r="E97" s="123"/>
      <c r="F97" s="123"/>
      <c r="G97" s="123"/>
      <c r="H97" s="123"/>
      <c r="I97" s="123"/>
      <c r="J97" s="123"/>
      <c r="K97" s="2"/>
      <c r="L97" s="2"/>
      <c r="M97" s="2"/>
      <c r="N97" s="2"/>
      <c r="O97" s="177"/>
      <c r="P97" s="177"/>
      <c r="Q97" s="177"/>
      <c r="R97" s="177"/>
      <c r="S97" s="177"/>
      <c r="T97" s="177"/>
      <c r="U97" s="177"/>
      <c r="V97" s="177"/>
      <c r="W97" s="177"/>
      <c r="X97" s="177"/>
    </row>
    <row r="98" spans="2:24" s="13" customFormat="1">
      <c r="B98" t="s">
        <v>15</v>
      </c>
      <c r="C98" t="s">
        <v>174</v>
      </c>
      <c r="D98" s="86"/>
      <c r="E98" s="5">
        <f>'Debt rolling'!E8</f>
        <v>-19364.895000000004</v>
      </c>
      <c r="F98" s="5">
        <f>'Debt rolling'!F8</f>
        <v>-17326.485000000004</v>
      </c>
      <c r="G98" s="5">
        <f>'Debt rolling'!G8</f>
        <v>-15288.075000000004</v>
      </c>
      <c r="H98" s="5">
        <f>'Debt rolling'!H8</f>
        <v>-13249.665000000005</v>
      </c>
      <c r="I98" s="5">
        <f>'Debt rolling'!I8</f>
        <v>-11211.255000000005</v>
      </c>
      <c r="J98" s="5">
        <f>'Debt rolling'!J8</f>
        <v>-9172.8450000000048</v>
      </c>
      <c r="K98" s="5">
        <f>'Debt rolling'!K8</f>
        <v>-7134.435000000004</v>
      </c>
      <c r="L98" s="5">
        <f>'Debt rolling'!L8</f>
        <v>-5096.0250000000042</v>
      </c>
      <c r="M98" s="5">
        <f>'Debt rolling'!M8</f>
        <v>-3057.615000000003</v>
      </c>
      <c r="N98" s="5">
        <f>'Debt rolling'!N8</f>
        <v>-1019.2050000000027</v>
      </c>
      <c r="O98" s="5"/>
      <c r="P98" s="5"/>
      <c r="Q98" s="5"/>
      <c r="R98" s="5"/>
      <c r="S98" s="5"/>
      <c r="T98" s="5"/>
      <c r="U98" s="5"/>
      <c r="V98" s="5"/>
      <c r="W98" s="5"/>
      <c r="X98" s="5"/>
    </row>
    <row r="99" spans="2:24" s="13" customFormat="1">
      <c r="B99" t="s">
        <v>272</v>
      </c>
      <c r="C99" t="s">
        <v>174</v>
      </c>
      <c r="D99" s="86"/>
      <c r="E99" s="123">
        <f t="shared" ref="E99:N99" si="28">PMT($D$118,$D$13,$D$121)</f>
        <v>-209983.28343116184</v>
      </c>
      <c r="F99" s="123">
        <f t="shared" si="28"/>
        <v>-209983.28343116184</v>
      </c>
      <c r="G99" s="123">
        <f t="shared" si="28"/>
        <v>-209983.28343116184</v>
      </c>
      <c r="H99" s="123">
        <f t="shared" si="28"/>
        <v>-209983.28343116184</v>
      </c>
      <c r="I99" s="123">
        <f t="shared" si="28"/>
        <v>-209983.28343116184</v>
      </c>
      <c r="J99" s="123">
        <f t="shared" si="28"/>
        <v>-209983.28343116184</v>
      </c>
      <c r="K99" s="123">
        <f t="shared" si="28"/>
        <v>-209983.28343116184</v>
      </c>
      <c r="L99" s="123">
        <f t="shared" si="28"/>
        <v>-209983.28343116184</v>
      </c>
      <c r="M99" s="123">
        <f t="shared" si="28"/>
        <v>-209983.28343116184</v>
      </c>
      <c r="N99" s="123">
        <f t="shared" si="28"/>
        <v>-209983.28343116184</v>
      </c>
      <c r="O99" s="176"/>
      <c r="P99" s="176"/>
      <c r="Q99" s="176"/>
      <c r="R99" s="176"/>
      <c r="S99" s="176"/>
      <c r="T99" s="176"/>
      <c r="U99" s="176"/>
      <c r="V99" s="176"/>
      <c r="W99" s="176"/>
      <c r="X99" s="176"/>
    </row>
    <row r="100" spans="2:24" s="13" customFormat="1">
      <c r="B100" t="s">
        <v>273</v>
      </c>
      <c r="C100" t="s">
        <v>174</v>
      </c>
      <c r="D100" s="86"/>
      <c r="E100" s="123">
        <f t="shared" ref="E100:N100" si="29">-$D$121 / $D$13</f>
        <v>-179120</v>
      </c>
      <c r="F100" s="123">
        <f t="shared" si="29"/>
        <v>-179120</v>
      </c>
      <c r="G100" s="123">
        <f t="shared" si="29"/>
        <v>-179120</v>
      </c>
      <c r="H100" s="123">
        <f t="shared" si="29"/>
        <v>-179120</v>
      </c>
      <c r="I100" s="123">
        <f t="shared" si="29"/>
        <v>-179120</v>
      </c>
      <c r="J100" s="123">
        <f t="shared" si="29"/>
        <v>-179120</v>
      </c>
      <c r="K100" s="123">
        <f t="shared" si="29"/>
        <v>-179120</v>
      </c>
      <c r="L100" s="123">
        <f t="shared" si="29"/>
        <v>-179120</v>
      </c>
      <c r="M100" s="123">
        <f t="shared" si="29"/>
        <v>-179120</v>
      </c>
      <c r="N100" s="123">
        <f t="shared" si="29"/>
        <v>-179120</v>
      </c>
      <c r="O100" s="176"/>
      <c r="P100" s="176"/>
      <c r="Q100" s="176"/>
      <c r="R100" s="176"/>
      <c r="S100" s="176"/>
      <c r="T100" s="176"/>
      <c r="U100" s="176"/>
      <c r="V100" s="176"/>
      <c r="W100" s="176"/>
      <c r="X100" s="176"/>
    </row>
    <row r="101" spans="2:24" s="13" customFormat="1">
      <c r="B101" t="s">
        <v>249</v>
      </c>
      <c r="C101" t="s">
        <v>174</v>
      </c>
      <c r="D101" s="86"/>
      <c r="E101" s="150">
        <f t="shared" ref="E101:N101" si="30">IF((E93+E96+E98)&gt;0,-(E93+E96+E98) * $D$115,0)</f>
        <v>-41507.226487281754</v>
      </c>
      <c r="F101" s="73">
        <f t="shared" si="30"/>
        <v>0</v>
      </c>
      <c r="G101" s="150">
        <f t="shared" si="30"/>
        <v>0</v>
      </c>
      <c r="H101" s="150">
        <f t="shared" si="30"/>
        <v>0</v>
      </c>
      <c r="I101" s="150">
        <f t="shared" si="30"/>
        <v>0</v>
      </c>
      <c r="J101" s="2">
        <f t="shared" si="30"/>
        <v>0</v>
      </c>
      <c r="K101" s="122">
        <f t="shared" si="30"/>
        <v>-5278.8969297414114</v>
      </c>
      <c r="L101" s="122">
        <f t="shared" si="30"/>
        <v>-596.68463469383744</v>
      </c>
      <c r="M101" s="122">
        <f t="shared" si="30"/>
        <v>0</v>
      </c>
      <c r="N101" s="122">
        <f t="shared" si="30"/>
        <v>0</v>
      </c>
      <c r="O101" s="122"/>
      <c r="P101" s="122"/>
      <c r="Q101" s="122"/>
      <c r="R101" s="122"/>
      <c r="S101" s="122"/>
      <c r="T101" s="122"/>
      <c r="U101" s="122"/>
      <c r="V101" s="122"/>
      <c r="W101" s="122"/>
      <c r="X101" s="122"/>
    </row>
    <row r="102" spans="2:24" s="13" customFormat="1" ht="17" thickBot="1">
      <c r="B102" s="11" t="s">
        <v>248</v>
      </c>
      <c r="C102" s="11" t="s">
        <v>174</v>
      </c>
      <c r="D102" s="143"/>
      <c r="E102" s="146">
        <f>E93+E96+E99+E101</f>
        <v>-34472.155455197113</v>
      </c>
      <c r="F102" s="146">
        <f t="shared" ref="F102:N102" si="31">F93+F96+F99+F101</f>
        <v>-363935.81366197881</v>
      </c>
      <c r="G102" s="146">
        <f t="shared" si="31"/>
        <v>-252022.1270955925</v>
      </c>
      <c r="H102" s="146">
        <f t="shared" si="31"/>
        <v>-219606.17142234038</v>
      </c>
      <c r="I102" s="146">
        <f t="shared" si="31"/>
        <v>-295308.05816567928</v>
      </c>
      <c r="J102" s="146">
        <f t="shared" si="31"/>
        <v>-244910.68676290847</v>
      </c>
      <c r="K102" s="146">
        <f t="shared" si="31"/>
        <v>-182990.14093356318</v>
      </c>
      <c r="L102" s="146">
        <f t="shared" si="31"/>
        <v>-202642.58766255167</v>
      </c>
      <c r="M102" s="146">
        <f t="shared" si="31"/>
        <v>-219750.08887149833</v>
      </c>
      <c r="N102" s="146">
        <f t="shared" si="31"/>
        <v>-233732.61646522844</v>
      </c>
      <c r="O102" s="120"/>
      <c r="P102" s="120"/>
      <c r="Q102" s="120"/>
      <c r="R102" s="120"/>
      <c r="S102" s="120"/>
      <c r="T102" s="120"/>
      <c r="U102" s="120"/>
      <c r="V102" s="120"/>
      <c r="W102" s="120"/>
      <c r="X102" s="120"/>
    </row>
    <row r="103" spans="2:24" s="13" customFormat="1" ht="17" thickTop="1">
      <c r="B103" s="15" t="s">
        <v>311</v>
      </c>
      <c r="C103" s="15" t="s">
        <v>174</v>
      </c>
      <c r="D103" s="86"/>
      <c r="E103" s="208">
        <f>-'Debt rolling'!E5</f>
        <v>-61770.000000000015</v>
      </c>
      <c r="F103" s="208">
        <f>-'Debt rolling'!F5</f>
        <v>-61770.000000000015</v>
      </c>
      <c r="G103" s="208">
        <f>-'Debt rolling'!G5</f>
        <v>-61770.000000000015</v>
      </c>
      <c r="H103" s="208">
        <f>-'Debt rolling'!H5</f>
        <v>-61770.000000000015</v>
      </c>
      <c r="I103" s="208">
        <f>-'Debt rolling'!I5</f>
        <v>-61770.000000000015</v>
      </c>
      <c r="J103" s="208">
        <f>-'Debt rolling'!J5</f>
        <v>-61770.000000000015</v>
      </c>
      <c r="K103" s="208">
        <f>-'Debt rolling'!K5</f>
        <v>-61770.000000000015</v>
      </c>
      <c r="L103" s="208">
        <f>-'Debt rolling'!L5</f>
        <v>-61770.000000000015</v>
      </c>
      <c r="M103" s="208">
        <f>-'Debt rolling'!M5</f>
        <v>-61770.000000000015</v>
      </c>
      <c r="N103" s="208">
        <f>-'Debt rolling'!N5</f>
        <v>-61770.000000000015</v>
      </c>
      <c r="O103" s="120"/>
      <c r="P103" s="120"/>
      <c r="Q103" s="120"/>
      <c r="R103" s="120"/>
      <c r="S103" s="120"/>
      <c r="T103" s="120"/>
      <c r="U103" s="120"/>
      <c r="V103" s="120"/>
      <c r="W103" s="120"/>
      <c r="X103" s="120"/>
    </row>
    <row r="104" spans="2:24" s="13" customFormat="1">
      <c r="B104" s="15" t="s">
        <v>17</v>
      </c>
      <c r="C104" s="15" t="s">
        <v>174</v>
      </c>
      <c r="D104" s="86"/>
      <c r="E104" s="151">
        <f t="shared" ref="E104:N104" si="32">-E96 * $D$115</f>
        <v>75230.39999999998</v>
      </c>
      <c r="F104" s="151">
        <f t="shared" si="32"/>
        <v>120368.64</v>
      </c>
      <c r="G104" s="151">
        <f t="shared" si="32"/>
        <v>72221.183999999994</v>
      </c>
      <c r="H104" s="151">
        <f t="shared" si="32"/>
        <v>43257.479999999996</v>
      </c>
      <c r="I104" s="151">
        <f t="shared" si="32"/>
        <v>43257.479999999996</v>
      </c>
      <c r="J104" s="151">
        <f t="shared" si="32"/>
        <v>21816.815999999999</v>
      </c>
      <c r="K104" s="151">
        <f t="shared" si="32"/>
        <v>0</v>
      </c>
      <c r="L104" s="151">
        <f t="shared" si="32"/>
        <v>0</v>
      </c>
      <c r="M104" s="151">
        <f t="shared" si="32"/>
        <v>0</v>
      </c>
      <c r="N104" s="151">
        <f t="shared" si="32"/>
        <v>0</v>
      </c>
      <c r="O104" s="151"/>
      <c r="P104" s="151"/>
      <c r="Q104" s="151"/>
      <c r="R104" s="151"/>
      <c r="S104" s="151"/>
      <c r="T104" s="151"/>
      <c r="U104" s="151"/>
      <c r="V104" s="151"/>
      <c r="W104" s="151"/>
      <c r="X104" s="151"/>
    </row>
    <row r="105" spans="2:24" s="13" customFormat="1" ht="17" thickBot="1">
      <c r="B105" s="11" t="s">
        <v>260</v>
      </c>
      <c r="C105" s="11"/>
      <c r="D105" s="143"/>
      <c r="E105" s="18">
        <f>E102-E96</f>
        <v>323767.84454480285</v>
      </c>
      <c r="F105" s="18">
        <f t="shared" ref="F105:N105" si="33">F102-F96</f>
        <v>209248.18633802119</v>
      </c>
      <c r="G105" s="18">
        <f t="shared" si="33"/>
        <v>91888.272904407466</v>
      </c>
      <c r="H105" s="18">
        <f t="shared" si="33"/>
        <v>-13618.171422340383</v>
      </c>
      <c r="I105" s="18">
        <f t="shared" si="33"/>
        <v>-89320.058165679278</v>
      </c>
      <c r="J105" s="18">
        <f t="shared" si="33"/>
        <v>-141021.08676290847</v>
      </c>
      <c r="K105" s="18">
        <f t="shared" si="33"/>
        <v>-182990.14093356318</v>
      </c>
      <c r="L105" s="18">
        <f t="shared" si="33"/>
        <v>-202642.58766255167</v>
      </c>
      <c r="M105" s="18">
        <f t="shared" si="33"/>
        <v>-219750.08887149833</v>
      </c>
      <c r="N105" s="18">
        <f t="shared" si="33"/>
        <v>-233732.61646522844</v>
      </c>
      <c r="O105" s="23"/>
      <c r="P105" s="23"/>
      <c r="Q105" s="23"/>
      <c r="R105" s="23"/>
      <c r="S105" s="23"/>
      <c r="T105" s="23"/>
      <c r="U105" s="23"/>
      <c r="V105" s="23"/>
      <c r="W105" s="23"/>
      <c r="X105" s="23"/>
    </row>
    <row r="106" spans="2:24" s="13" customFormat="1" ht="17" thickTop="1">
      <c r="D106" s="86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</row>
    <row r="107" spans="2:24" s="13" customFormat="1">
      <c r="B107" s="13" t="s">
        <v>250</v>
      </c>
      <c r="C107" s="13" t="s">
        <v>174</v>
      </c>
      <c r="D107" s="124">
        <f>SUM(E107:N107)</f>
        <v>-1322010.4737218397</v>
      </c>
      <c r="E107" s="120">
        <f t="shared" ref="E107:N107" si="34">SUM(E102:E104) / (1+$D$116)^E$1</f>
        <v>-18760.495942140304</v>
      </c>
      <c r="F107" s="120">
        <f t="shared" si="34"/>
        <v>-243412.92543206215</v>
      </c>
      <c r="G107" s="120">
        <f t="shared" si="34"/>
        <v>-171945.42574110019</v>
      </c>
      <c r="H107" s="120">
        <f t="shared" si="34"/>
        <v>-151328.73320499872</v>
      </c>
      <c r="I107" s="120">
        <f t="shared" si="34"/>
        <v>-178070.22392834429</v>
      </c>
      <c r="J107" s="120">
        <f t="shared" si="34"/>
        <v>-144320.90222752371</v>
      </c>
      <c r="K107" s="120">
        <f t="shared" si="34"/>
        <v>-110717.05769704476</v>
      </c>
      <c r="L107" s="120">
        <f t="shared" si="34"/>
        <v>-106791.80942352928</v>
      </c>
      <c r="M107" s="120">
        <f t="shared" si="34"/>
        <v>-101518.96628076752</v>
      </c>
      <c r="N107" s="120">
        <f t="shared" si="34"/>
        <v>-95143.933844328698</v>
      </c>
      <c r="O107" s="120"/>
      <c r="P107" s="120"/>
      <c r="Q107" s="120"/>
      <c r="R107" s="120"/>
      <c r="S107" s="120"/>
      <c r="T107" s="120"/>
      <c r="U107" s="120"/>
      <c r="V107" s="120"/>
      <c r="W107" s="120"/>
      <c r="X107" s="120"/>
    </row>
    <row r="108" spans="2:24" s="13" customFormat="1">
      <c r="B108" s="13" t="s">
        <v>258</v>
      </c>
      <c r="C108" s="13" t="s">
        <v>174</v>
      </c>
      <c r="D108" s="181">
        <f>SUM(E108:N108)</f>
        <v>-3.0122464522719383E-9</v>
      </c>
      <c r="E108" s="120">
        <f t="shared" ref="E108:N108" si="35">SUM(E103:E105) / (1+$D$116)^E$1</f>
        <v>301096.64691500249</v>
      </c>
      <c r="F108" s="120">
        <f t="shared" si="35"/>
        <v>213525.85007814187</v>
      </c>
      <c r="G108" s="120">
        <f t="shared" si="35"/>
        <v>72843.203996509008</v>
      </c>
      <c r="H108" s="120">
        <f t="shared" si="35"/>
        <v>-20419.635270544364</v>
      </c>
      <c r="I108" s="120">
        <f t="shared" si="35"/>
        <v>-61187.100772581478</v>
      </c>
      <c r="J108" s="120">
        <f t="shared" si="35"/>
        <v>-91687.197700860328</v>
      </c>
      <c r="K108" s="120">
        <f t="shared" si="35"/>
        <v>-110717.05769704476</v>
      </c>
      <c r="L108" s="120">
        <f t="shared" si="35"/>
        <v>-106791.80942352928</v>
      </c>
      <c r="M108" s="120">
        <f t="shared" si="35"/>
        <v>-101518.96628076752</v>
      </c>
      <c r="N108" s="120">
        <f t="shared" si="35"/>
        <v>-95143.933844328698</v>
      </c>
      <c r="O108" s="120"/>
      <c r="P108" s="120"/>
      <c r="Q108" s="120"/>
      <c r="R108" s="120"/>
      <c r="S108" s="120"/>
      <c r="T108" s="120"/>
      <c r="U108" s="120"/>
      <c r="V108" s="120"/>
      <c r="W108" s="120"/>
      <c r="X108" s="120"/>
    </row>
    <row r="109" spans="2:24" s="13" customFormat="1">
      <c r="D109" s="86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</row>
    <row r="110" spans="2:24">
      <c r="B110" s="19" t="s">
        <v>156</v>
      </c>
      <c r="C110" s="19"/>
    </row>
    <row r="111" spans="2:24">
      <c r="B111" t="s">
        <v>157</v>
      </c>
      <c r="C111" t="s">
        <v>167</v>
      </c>
      <c r="D111" s="100">
        <v>0</v>
      </c>
    </row>
    <row r="112" spans="2:24">
      <c r="B112" t="s">
        <v>158</v>
      </c>
      <c r="C112" t="s">
        <v>167</v>
      </c>
      <c r="D112" s="29">
        <v>0</v>
      </c>
    </row>
    <row r="113" spans="2:24">
      <c r="B113" t="s">
        <v>35</v>
      </c>
      <c r="C113" t="s">
        <v>167</v>
      </c>
      <c r="D113" s="100">
        <f>IF(D111=0,1,1-D111)</f>
        <v>1</v>
      </c>
    </row>
    <row r="114" spans="2:24">
      <c r="B114" t="s">
        <v>37</v>
      </c>
      <c r="C114" t="s">
        <v>167</v>
      </c>
      <c r="D114" s="100">
        <v>0.12</v>
      </c>
    </row>
    <row r="115" spans="2:24">
      <c r="B115" t="s">
        <v>39</v>
      </c>
      <c r="C115" t="s">
        <v>167</v>
      </c>
      <c r="D115" s="100">
        <v>0.21</v>
      </c>
    </row>
    <row r="116" spans="2:24">
      <c r="B116" s="13" t="s">
        <v>38</v>
      </c>
      <c r="C116" t="s">
        <v>167</v>
      </c>
      <c r="D116" s="80">
        <f>D111 * (1 - D115) * D112 + D113 * D114</f>
        <v>0.12</v>
      </c>
    </row>
    <row r="117" spans="2:24">
      <c r="B117" s="13"/>
      <c r="D117" s="80"/>
    </row>
    <row r="118" spans="2:24">
      <c r="B118" s="13" t="s">
        <v>275</v>
      </c>
      <c r="D118" s="80">
        <v>0.03</v>
      </c>
    </row>
    <row r="121" spans="2:24">
      <c r="B121" s="13" t="s">
        <v>146</v>
      </c>
      <c r="C121" s="13"/>
      <c r="D121" s="23">
        <f>D126+D130+ D136+D134</f>
        <v>1791200</v>
      </c>
      <c r="E121" s="5"/>
    </row>
    <row r="122" spans="2:24">
      <c r="B122" s="13" t="s">
        <v>232</v>
      </c>
      <c r="C122" s="13"/>
      <c r="D122" s="23">
        <f>D124+D128+D132+D136</f>
        <v>2059000</v>
      </c>
    </row>
    <row r="123" spans="2:24">
      <c r="B123" s="13"/>
      <c r="C123" s="13"/>
      <c r="D123" s="101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</row>
    <row r="124" spans="2:24">
      <c r="B124" s="13" t="s">
        <v>293</v>
      </c>
      <c r="C124" s="13" t="s">
        <v>174</v>
      </c>
      <c r="D124" s="101">
        <f>+ 'Model Initial - Battery Lazard'!D59</f>
        <v>520000</v>
      </c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</row>
    <row r="125" spans="2:24">
      <c r="B125" s="13" t="s">
        <v>294</v>
      </c>
      <c r="C125" s="13" t="s">
        <v>167</v>
      </c>
      <c r="D125" s="206">
        <v>0.26</v>
      </c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</row>
    <row r="126" spans="2:24">
      <c r="B126" s="13" t="s">
        <v>295</v>
      </c>
      <c r="C126" s="13" t="s">
        <v>174</v>
      </c>
      <c r="D126" s="101">
        <f>D124 * (1 - D125)</f>
        <v>384800</v>
      </c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</row>
    <row r="127" spans="2:24">
      <c r="B127" s="13"/>
      <c r="D127" s="14"/>
      <c r="E127" s="70"/>
    </row>
    <row r="128" spans="2:24">
      <c r="B128" s="13" t="s">
        <v>296</v>
      </c>
      <c r="C128" s="13" t="s">
        <v>174</v>
      </c>
      <c r="D128" s="101">
        <f>'LCOS Solar + Degradation'!D43</f>
        <v>510000</v>
      </c>
    </row>
    <row r="129" spans="2:4">
      <c r="B129" s="13" t="s">
        <v>297</v>
      </c>
      <c r="C129" s="13" t="s">
        <v>167</v>
      </c>
      <c r="D129" s="108">
        <v>0.26</v>
      </c>
    </row>
    <row r="130" spans="2:4">
      <c r="B130" s="13" t="s">
        <v>298</v>
      </c>
      <c r="C130" s="13" t="s">
        <v>174</v>
      </c>
      <c r="D130" s="101">
        <f>D128 * (1 - D129)</f>
        <v>377400</v>
      </c>
    </row>
    <row r="132" spans="2:4">
      <c r="B132" s="13" t="s">
        <v>299</v>
      </c>
      <c r="C132" s="13" t="s">
        <v>174</v>
      </c>
      <c r="D132" s="101">
        <f>SUM(D11:D12)</f>
        <v>545000</v>
      </c>
    </row>
    <row r="133" spans="2:4">
      <c r="B133" s="13" t="s">
        <v>300</v>
      </c>
      <c r="C133" s="13" t="s">
        <v>167</v>
      </c>
      <c r="D133" s="108">
        <v>0</v>
      </c>
    </row>
    <row r="134" spans="2:4">
      <c r="B134" s="13" t="s">
        <v>301</v>
      </c>
      <c r="C134" s="13" t="s">
        <v>174</v>
      </c>
      <c r="D134" s="101">
        <f>D132 * (1 - D133)</f>
        <v>545000</v>
      </c>
    </row>
    <row r="135" spans="2:4">
      <c r="D135" s="20"/>
    </row>
    <row r="136" spans="2:4">
      <c r="B136" s="224" t="s">
        <v>323</v>
      </c>
      <c r="C136" s="13"/>
      <c r="D136" s="225">
        <f>INDEX('H3 Project Proposal'!$D$45:$D$54,MATCH(B136,'H3 Project Proposal'!B45:B54,0))* D9  * D5 / 1000</f>
        <v>484000.00000000006</v>
      </c>
    </row>
    <row r="138" spans="2:4">
      <c r="B138" s="13" t="s">
        <v>303</v>
      </c>
      <c r="C138" s="13" t="s">
        <v>174</v>
      </c>
      <c r="D138" s="101">
        <f>D124 + D128 + D132 + D136</f>
        <v>2059000</v>
      </c>
    </row>
    <row r="139" spans="2:4">
      <c r="B139" s="13" t="s">
        <v>304</v>
      </c>
      <c r="C139" s="13" t="s">
        <v>174</v>
      </c>
      <c r="D139" s="207">
        <v>0.26</v>
      </c>
    </row>
    <row r="140" spans="2:4">
      <c r="B140" s="13" t="s">
        <v>305</v>
      </c>
      <c r="C140" s="13" t="s">
        <v>174</v>
      </c>
      <c r="D140" s="101">
        <f>D138*(1-D139)</f>
        <v>1523660</v>
      </c>
    </row>
  </sheetData>
  <pageMargins left="0.7" right="0.7" top="0.75" bottom="0.75" header="0.3" footer="0.3"/>
  <pageSetup paperSize="9" orientation="portrait" horizontalDpi="0" verticalDpi="0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351771D-AC9A-9848-858F-79AD1994A24D}">
          <x14:formula1>
            <xm:f>'H3 Project Proposal'!$B$32:$B$41</xm:f>
          </x14:formula1>
          <xm:sqref>B12</xm:sqref>
        </x14:dataValidation>
        <x14:dataValidation type="list" allowBlank="1" showInputMessage="1" showErrorMessage="1" xr:uid="{45382A9B-63AC-114C-9A05-F631CF6F0368}">
          <x14:formula1>
            <xm:f>'H3 Project Proposal'!$B$45:$B$54</xm:f>
          </x14:formula1>
          <xm:sqref>B136</xm:sqref>
        </x14:dataValidation>
      </x14:dataValidations>
    </ext>
  </extLst>
</worksheet>
</file>

<file path=xl/worksheets/sheet2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01DE2-2DAB-974E-847D-5AD30CBA67EC}">
  <sheetPr>
    <tabColor rgb="FF00B0F0"/>
  </sheetPr>
  <dimension ref="B1:X31"/>
  <sheetViews>
    <sheetView showGridLines="0" workbookViewId="0">
      <selection activeCell="B18" sqref="B18"/>
    </sheetView>
  </sheetViews>
  <sheetFormatPr baseColWidth="10" defaultRowHeight="16"/>
  <cols>
    <col min="2" max="2" width="37.6640625" bestFit="1" customWidth="1"/>
    <col min="4" max="4" width="13" bestFit="1" customWidth="1"/>
    <col min="5" max="5" width="14.6640625" bestFit="1" customWidth="1"/>
  </cols>
  <sheetData>
    <row r="1" spans="2:14">
      <c r="B1" s="342" t="s">
        <v>362</v>
      </c>
      <c r="C1" s="343"/>
      <c r="D1" s="343"/>
      <c r="E1" s="343"/>
      <c r="F1" s="343"/>
      <c r="G1" s="343"/>
      <c r="H1" s="343"/>
      <c r="I1" s="343"/>
      <c r="J1" s="343"/>
      <c r="K1" s="343"/>
      <c r="L1" s="343"/>
      <c r="M1" s="343"/>
      <c r="N1" s="344"/>
    </row>
    <row r="2" spans="2:14">
      <c r="B2" s="229" t="s">
        <v>365</v>
      </c>
      <c r="C2" t="s">
        <v>160</v>
      </c>
      <c r="E2">
        <f>'H2 1-1-1 goal'!E1</f>
        <v>1</v>
      </c>
      <c r="F2">
        <f>'H2 1-1-1 goal'!F1</f>
        <v>2</v>
      </c>
      <c r="G2">
        <f>'H2 1-1-1 goal'!G1</f>
        <v>3</v>
      </c>
      <c r="H2">
        <f>'H2 1-1-1 goal'!H1</f>
        <v>4</v>
      </c>
      <c r="I2">
        <f>'H2 1-1-1 goal'!I1</f>
        <v>5</v>
      </c>
      <c r="J2">
        <f>'H2 1-1-1 goal'!J1</f>
        <v>6</v>
      </c>
      <c r="K2">
        <f>'H2 1-1-1 goal'!K1</f>
        <v>7</v>
      </c>
      <c r="L2">
        <f>'H2 1-1-1 goal'!L1</f>
        <v>8</v>
      </c>
      <c r="M2">
        <f>'H2 1-1-1 goal'!M1</f>
        <v>9</v>
      </c>
      <c r="N2" s="128">
        <f>'H2 1-1-1 goal'!N1</f>
        <v>10</v>
      </c>
    </row>
    <row r="3" spans="2:14">
      <c r="B3" s="129"/>
      <c r="N3" s="128"/>
    </row>
    <row r="4" spans="2:14">
      <c r="B4" s="129" t="s">
        <v>308</v>
      </c>
      <c r="C4" t="s">
        <v>174</v>
      </c>
      <c r="E4" s="5">
        <f>D6</f>
        <v>617700.00000000012</v>
      </c>
      <c r="F4" s="5">
        <f>E6</f>
        <v>555930.00000000012</v>
      </c>
      <c r="G4" s="5">
        <f t="shared" ref="G4:N4" si="0">F6</f>
        <v>494160.00000000012</v>
      </c>
      <c r="H4" s="5">
        <f t="shared" si="0"/>
        <v>432390.00000000012</v>
      </c>
      <c r="I4" s="5">
        <f t="shared" si="0"/>
        <v>370620.00000000012</v>
      </c>
      <c r="J4" s="5">
        <f t="shared" si="0"/>
        <v>308850.00000000012</v>
      </c>
      <c r="K4" s="5">
        <f t="shared" si="0"/>
        <v>247080.00000000012</v>
      </c>
      <c r="L4" s="5">
        <f t="shared" si="0"/>
        <v>185310.00000000012</v>
      </c>
      <c r="M4" s="5">
        <f t="shared" si="0"/>
        <v>123540.0000000001</v>
      </c>
      <c r="N4" s="211">
        <f t="shared" si="0"/>
        <v>61770.000000000087</v>
      </c>
    </row>
    <row r="5" spans="2:14">
      <c r="B5" s="129" t="s">
        <v>309</v>
      </c>
      <c r="C5" t="s">
        <v>174</v>
      </c>
      <c r="E5" s="174">
        <f>$E$4/10</f>
        <v>61770.000000000015</v>
      </c>
      <c r="F5" s="174">
        <f t="shared" ref="F5:N5" si="1">$E$4/10</f>
        <v>61770.000000000015</v>
      </c>
      <c r="G5" s="174">
        <f t="shared" si="1"/>
        <v>61770.000000000015</v>
      </c>
      <c r="H5" s="174">
        <f t="shared" si="1"/>
        <v>61770.000000000015</v>
      </c>
      <c r="I5" s="174">
        <f t="shared" si="1"/>
        <v>61770.000000000015</v>
      </c>
      <c r="J5" s="174">
        <f t="shared" si="1"/>
        <v>61770.000000000015</v>
      </c>
      <c r="K5" s="174">
        <f t="shared" si="1"/>
        <v>61770.000000000015</v>
      </c>
      <c r="L5" s="174">
        <f t="shared" si="1"/>
        <v>61770.000000000015</v>
      </c>
      <c r="M5" s="174">
        <f t="shared" si="1"/>
        <v>61770.000000000015</v>
      </c>
      <c r="N5" s="209">
        <f t="shared" si="1"/>
        <v>61770.000000000015</v>
      </c>
    </row>
    <row r="6" spans="2:14">
      <c r="B6" s="129" t="s">
        <v>310</v>
      </c>
      <c r="C6" t="s">
        <v>174</v>
      </c>
      <c r="D6" s="174">
        <f>'H2 1-1-1 goal'!D117</f>
        <v>617700.00000000012</v>
      </c>
      <c r="E6" s="5">
        <f>E4-E5</f>
        <v>555930.00000000012</v>
      </c>
      <c r="F6" s="5">
        <f>F4-F5</f>
        <v>494160.00000000012</v>
      </c>
      <c r="G6" s="5">
        <f t="shared" ref="G6:N6" si="2">G4-G5</f>
        <v>432390.00000000012</v>
      </c>
      <c r="H6" s="5">
        <f t="shared" si="2"/>
        <v>370620.00000000012</v>
      </c>
      <c r="I6" s="5">
        <f t="shared" si="2"/>
        <v>308850.00000000012</v>
      </c>
      <c r="J6" s="5">
        <f t="shared" si="2"/>
        <v>247080.00000000012</v>
      </c>
      <c r="K6" s="5">
        <f t="shared" si="2"/>
        <v>185310.00000000012</v>
      </c>
      <c r="L6" s="5">
        <f t="shared" si="2"/>
        <v>123540.0000000001</v>
      </c>
      <c r="M6" s="5">
        <f t="shared" si="2"/>
        <v>61770.000000000087</v>
      </c>
      <c r="N6" s="211">
        <f t="shared" si="2"/>
        <v>7.2759576141834259E-11</v>
      </c>
    </row>
    <row r="7" spans="2:14">
      <c r="B7" s="129"/>
      <c r="N7" s="128"/>
    </row>
    <row r="8" spans="2:14">
      <c r="B8" s="226" t="s">
        <v>15</v>
      </c>
      <c r="C8" s="90" t="s">
        <v>174</v>
      </c>
      <c r="D8" s="90"/>
      <c r="E8" s="227">
        <f>-AVERAGE(E4,E6) * 'H2 1-1-1 goal'!$D$115</f>
        <v>-19364.895000000004</v>
      </c>
      <c r="F8" s="227">
        <f>-AVERAGE(F4,F6) * 'H2 1-1-1 goal'!$D$115</f>
        <v>-17326.485000000004</v>
      </c>
      <c r="G8" s="227">
        <f>-AVERAGE(G4,G6) * 'H2 1-1-1 goal'!$D$115</f>
        <v>-15288.075000000004</v>
      </c>
      <c r="H8" s="227">
        <f>-AVERAGE(H4,H6) * 'H2 1-1-1 goal'!$D$115</f>
        <v>-13249.665000000005</v>
      </c>
      <c r="I8" s="227">
        <f>-AVERAGE(I4,I6) * 'H2 1-1-1 goal'!$D$115</f>
        <v>-11211.255000000005</v>
      </c>
      <c r="J8" s="227">
        <f>-AVERAGE(J4,J6) * 'H2 1-1-1 goal'!$D$115</f>
        <v>-9172.8450000000048</v>
      </c>
      <c r="K8" s="227">
        <f>-AVERAGE(K4,K6) * 'H2 1-1-1 goal'!$D$115</f>
        <v>-7134.435000000004</v>
      </c>
      <c r="L8" s="227">
        <f>-AVERAGE(L4,L6) * 'H2 1-1-1 goal'!$D$115</f>
        <v>-5096.0250000000042</v>
      </c>
      <c r="M8" s="227">
        <f>-AVERAGE(M4,M6) * 'H2 1-1-1 goal'!$D$115</f>
        <v>-3057.615000000003</v>
      </c>
      <c r="N8" s="228">
        <f>-AVERAGE(N4,N6) * 'H2 1-1-1 goal'!$D$115</f>
        <v>-1019.2050000000027</v>
      </c>
    </row>
    <row r="9" spans="2:14">
      <c r="E9" s="176"/>
      <c r="F9" s="176"/>
      <c r="G9" s="176"/>
      <c r="H9" s="176"/>
      <c r="I9" s="176"/>
      <c r="J9" s="176"/>
      <c r="K9" s="176"/>
      <c r="L9" s="176"/>
      <c r="M9" s="176"/>
      <c r="N9" s="176"/>
    </row>
    <row r="10" spans="2:14">
      <c r="B10" s="342" t="s">
        <v>362</v>
      </c>
      <c r="C10" s="343"/>
      <c r="D10" s="343"/>
      <c r="E10" s="343"/>
      <c r="F10" s="343"/>
      <c r="G10" s="343"/>
      <c r="H10" s="343"/>
      <c r="I10" s="343"/>
      <c r="J10" s="343"/>
      <c r="K10" s="343"/>
      <c r="L10" s="343"/>
      <c r="M10" s="343"/>
      <c r="N10" s="344"/>
    </row>
    <row r="11" spans="2:14">
      <c r="B11" s="229" t="s">
        <v>367</v>
      </c>
      <c r="C11" t="s">
        <v>160</v>
      </c>
      <c r="E11">
        <f>'H2 break-even point(NPV=0)'!E1</f>
        <v>1</v>
      </c>
      <c r="F11">
        <f>'H2 break-even point(NPV=0)'!F1</f>
        <v>2</v>
      </c>
      <c r="G11">
        <f>'H2 break-even point(NPV=0)'!G1</f>
        <v>3</v>
      </c>
      <c r="H11">
        <f>'H2 break-even point(NPV=0)'!H1</f>
        <v>4</v>
      </c>
      <c r="I11">
        <f>'H2 break-even point(NPV=0)'!I1</f>
        <v>5</v>
      </c>
      <c r="J11">
        <f>'H2 break-even point(NPV=0)'!J1</f>
        <v>6</v>
      </c>
      <c r="K11">
        <f>'H2 break-even point(NPV=0)'!K1</f>
        <v>7</v>
      </c>
      <c r="L11">
        <f>'H2 break-even point(NPV=0)'!L1</f>
        <v>8</v>
      </c>
      <c r="M11">
        <f>'H2 break-even point(NPV=0)'!M1</f>
        <v>9</v>
      </c>
      <c r="N11" s="126">
        <f>'H2 break-even point(NPV=0)'!N1</f>
        <v>10</v>
      </c>
    </row>
    <row r="12" spans="2:14">
      <c r="B12" s="129"/>
      <c r="N12" s="128"/>
    </row>
    <row r="13" spans="2:14">
      <c r="B13" s="129" t="s">
        <v>308</v>
      </c>
      <c r="C13" t="s">
        <v>174</v>
      </c>
      <c r="E13" s="5">
        <f t="shared" ref="E13:N13" si="3">D15</f>
        <v>1791200</v>
      </c>
      <c r="F13" s="5">
        <f t="shared" si="3"/>
        <v>1612080</v>
      </c>
      <c r="G13" s="5">
        <f t="shared" si="3"/>
        <v>1432960</v>
      </c>
      <c r="H13" s="5">
        <f t="shared" si="3"/>
        <v>1253840</v>
      </c>
      <c r="I13" s="5">
        <f t="shared" si="3"/>
        <v>1074720</v>
      </c>
      <c r="J13" s="5">
        <f t="shared" si="3"/>
        <v>895600</v>
      </c>
      <c r="K13" s="5">
        <f t="shared" si="3"/>
        <v>716480</v>
      </c>
      <c r="L13" s="5">
        <f t="shared" si="3"/>
        <v>537360</v>
      </c>
      <c r="M13" s="5">
        <f t="shared" si="3"/>
        <v>358240</v>
      </c>
      <c r="N13" s="211">
        <f t="shared" si="3"/>
        <v>179120</v>
      </c>
    </row>
    <row r="14" spans="2:14">
      <c r="B14" s="129" t="s">
        <v>309</v>
      </c>
      <c r="C14" t="s">
        <v>174</v>
      </c>
      <c r="E14" s="174">
        <f>$D$15/10</f>
        <v>179120</v>
      </c>
      <c r="F14" s="174">
        <f t="shared" ref="F14:N14" si="4">$D$15/10</f>
        <v>179120</v>
      </c>
      <c r="G14" s="174">
        <f t="shared" si="4"/>
        <v>179120</v>
      </c>
      <c r="H14" s="174">
        <f t="shared" si="4"/>
        <v>179120</v>
      </c>
      <c r="I14" s="174">
        <f t="shared" si="4"/>
        <v>179120</v>
      </c>
      <c r="J14" s="174">
        <f t="shared" si="4"/>
        <v>179120</v>
      </c>
      <c r="K14" s="174">
        <f t="shared" si="4"/>
        <v>179120</v>
      </c>
      <c r="L14" s="174">
        <f t="shared" si="4"/>
        <v>179120</v>
      </c>
      <c r="M14" s="174">
        <f t="shared" si="4"/>
        <v>179120</v>
      </c>
      <c r="N14" s="209">
        <f t="shared" si="4"/>
        <v>179120</v>
      </c>
    </row>
    <row r="15" spans="2:14">
      <c r="B15" s="129" t="s">
        <v>310</v>
      </c>
      <c r="C15" t="s">
        <v>174</v>
      </c>
      <c r="D15" s="174">
        <f>'H2 break-even point(NPV=0)'!D121</f>
        <v>1791200</v>
      </c>
      <c r="E15" s="5">
        <f>E13-E14</f>
        <v>1612080</v>
      </c>
      <c r="F15" s="5">
        <f>F13-F14</f>
        <v>1432960</v>
      </c>
      <c r="G15" s="5">
        <f t="shared" ref="G15:N15" si="5">G13-G14</f>
        <v>1253840</v>
      </c>
      <c r="H15" s="5">
        <f t="shared" si="5"/>
        <v>1074720</v>
      </c>
      <c r="I15" s="5">
        <f t="shared" si="5"/>
        <v>895600</v>
      </c>
      <c r="J15" s="5">
        <f t="shared" si="5"/>
        <v>716480</v>
      </c>
      <c r="K15" s="5">
        <f t="shared" si="5"/>
        <v>537360</v>
      </c>
      <c r="L15" s="5">
        <f t="shared" si="5"/>
        <v>358240</v>
      </c>
      <c r="M15" s="5">
        <f t="shared" si="5"/>
        <v>179120</v>
      </c>
      <c r="N15" s="211">
        <f t="shared" si="5"/>
        <v>0</v>
      </c>
    </row>
    <row r="16" spans="2:14">
      <c r="B16" s="129"/>
      <c r="N16" s="128"/>
    </row>
    <row r="17" spans="2:24">
      <c r="B17" s="226" t="s">
        <v>15</v>
      </c>
      <c r="C17" s="90" t="s">
        <v>174</v>
      </c>
      <c r="D17" s="90"/>
      <c r="E17" s="227">
        <f>-AVERAGE(E13,E15) * 'H2 1-1-1 goal'!$D$115</f>
        <v>-56154.12</v>
      </c>
      <c r="F17" s="227">
        <f>-AVERAGE(F13,F15) * 'H2 1-1-1 goal'!$D$115</f>
        <v>-50243.16</v>
      </c>
      <c r="G17" s="227">
        <f>-AVERAGE(G13,G15) * 'H2 1-1-1 goal'!$D$115</f>
        <v>-44332.200000000004</v>
      </c>
      <c r="H17" s="227">
        <f>-AVERAGE(H13,H15) * 'H2 1-1-1 goal'!$D$115</f>
        <v>-38421.240000000005</v>
      </c>
      <c r="I17" s="227">
        <f>-AVERAGE(I13,I15) * 'H2 1-1-1 goal'!$D$115</f>
        <v>-32510.280000000002</v>
      </c>
      <c r="J17" s="227">
        <f>-AVERAGE(J13,J15) * 'H2 1-1-1 goal'!$D$115</f>
        <v>-26599.32</v>
      </c>
      <c r="K17" s="227">
        <f>-AVERAGE(K13,K15) * 'H2 1-1-1 goal'!$D$115</f>
        <v>-20688.36</v>
      </c>
      <c r="L17" s="227">
        <f>-AVERAGE(L13,L15) * 'H2 1-1-1 goal'!$D$115</f>
        <v>-14777.400000000001</v>
      </c>
      <c r="M17" s="227">
        <f>-AVERAGE(M13,M15) * 'H2 1-1-1 goal'!$D$115</f>
        <v>-8866.44</v>
      </c>
      <c r="N17" s="228">
        <f>-AVERAGE(N13,N15) * 'H2 1-1-1 goal'!$D$115</f>
        <v>-2955.48</v>
      </c>
    </row>
    <row r="18" spans="2:24">
      <c r="E18" s="176"/>
      <c r="F18" s="176"/>
      <c r="G18" s="176"/>
      <c r="H18" s="176"/>
      <c r="I18" s="176"/>
      <c r="J18" s="176"/>
      <c r="K18" s="176"/>
      <c r="L18" s="176"/>
      <c r="M18" s="176"/>
      <c r="N18" s="176"/>
    </row>
    <row r="20" spans="2:24">
      <c r="B20" s="342" t="s">
        <v>363</v>
      </c>
      <c r="C20" s="343"/>
      <c r="D20" s="343"/>
      <c r="E20" s="343"/>
      <c r="F20" s="343"/>
      <c r="G20" s="343"/>
      <c r="H20" s="343"/>
      <c r="I20" s="343"/>
      <c r="J20" s="343"/>
      <c r="K20" s="343"/>
      <c r="L20" s="343"/>
      <c r="M20" s="343"/>
      <c r="N20" s="343"/>
      <c r="O20" s="343"/>
      <c r="P20" s="343"/>
      <c r="Q20" s="343"/>
      <c r="R20" s="343"/>
      <c r="S20" s="343"/>
      <c r="T20" s="343"/>
      <c r="U20" s="343"/>
      <c r="V20" s="343"/>
      <c r="W20" s="343"/>
      <c r="X20" s="344"/>
    </row>
    <row r="21" spans="2:24">
      <c r="B21" s="229" t="s">
        <v>366</v>
      </c>
      <c r="C21" t="s">
        <v>160</v>
      </c>
      <c r="X21" s="128"/>
    </row>
    <row r="22" spans="2:24">
      <c r="B22" s="229"/>
      <c r="E22">
        <f>'PEM Electrolyser'!E1</f>
        <v>1</v>
      </c>
      <c r="F22">
        <f>'PEM Electrolyser'!F1</f>
        <v>2</v>
      </c>
      <c r="G22">
        <f>'PEM Electrolyser'!G1</f>
        <v>3</v>
      </c>
      <c r="H22">
        <f>'PEM Electrolyser'!H1</f>
        <v>4</v>
      </c>
      <c r="I22">
        <f>'PEM Electrolyser'!I1</f>
        <v>5</v>
      </c>
      <c r="J22">
        <f>'PEM Electrolyser'!J1</f>
        <v>6</v>
      </c>
      <c r="K22">
        <f>'PEM Electrolyser'!K1</f>
        <v>7</v>
      </c>
      <c r="L22">
        <f>'PEM Electrolyser'!L1</f>
        <v>8</v>
      </c>
      <c r="M22">
        <f>'PEM Electrolyser'!M1</f>
        <v>9</v>
      </c>
      <c r="N22">
        <f>'PEM Electrolyser'!N1</f>
        <v>10</v>
      </c>
      <c r="O22">
        <f>'PEM Electrolyser'!O1</f>
        <v>11</v>
      </c>
      <c r="P22">
        <f>'PEM Electrolyser'!P1</f>
        <v>12</v>
      </c>
      <c r="Q22">
        <f>'PEM Electrolyser'!Q1</f>
        <v>13</v>
      </c>
      <c r="R22">
        <f>'PEM Electrolyser'!R1</f>
        <v>14</v>
      </c>
      <c r="S22">
        <f>'PEM Electrolyser'!S1</f>
        <v>15</v>
      </c>
      <c r="T22">
        <f>'PEM Electrolyser'!T1</f>
        <v>16</v>
      </c>
      <c r="U22">
        <f>'PEM Electrolyser'!U1</f>
        <v>17</v>
      </c>
      <c r="V22">
        <f>'PEM Electrolyser'!V1</f>
        <v>18</v>
      </c>
      <c r="W22">
        <f>'PEM Electrolyser'!W1</f>
        <v>19</v>
      </c>
      <c r="X22" s="128">
        <f>'PEM Electrolyser'!X1</f>
        <v>20</v>
      </c>
    </row>
    <row r="23" spans="2:24">
      <c r="B23" s="129" t="s">
        <v>308</v>
      </c>
      <c r="C23" t="s">
        <v>174</v>
      </c>
      <c r="E23" s="5">
        <f>D25</f>
        <v>1791200</v>
      </c>
      <c r="F23" s="5">
        <f t="shared" ref="F23:X23" si="6">E25</f>
        <v>1701640</v>
      </c>
      <c r="G23" s="5">
        <f t="shared" si="6"/>
        <v>1612080</v>
      </c>
      <c r="H23" s="5">
        <f t="shared" si="6"/>
        <v>1522520</v>
      </c>
      <c r="I23" s="5">
        <f t="shared" si="6"/>
        <v>1432960</v>
      </c>
      <c r="J23" s="5">
        <f t="shared" si="6"/>
        <v>1343400</v>
      </c>
      <c r="K23" s="5">
        <f t="shared" si="6"/>
        <v>1253840</v>
      </c>
      <c r="L23" s="5">
        <f t="shared" si="6"/>
        <v>1164280</v>
      </c>
      <c r="M23" s="5">
        <f t="shared" si="6"/>
        <v>1074720</v>
      </c>
      <c r="N23" s="5">
        <f t="shared" si="6"/>
        <v>985160</v>
      </c>
      <c r="O23" s="5">
        <f t="shared" si="6"/>
        <v>895600</v>
      </c>
      <c r="P23" s="5">
        <f t="shared" si="6"/>
        <v>806040</v>
      </c>
      <c r="Q23" s="5">
        <f t="shared" si="6"/>
        <v>716480</v>
      </c>
      <c r="R23" s="5">
        <f t="shared" si="6"/>
        <v>626920</v>
      </c>
      <c r="S23" s="5">
        <f t="shared" si="6"/>
        <v>537360</v>
      </c>
      <c r="T23" s="5">
        <f t="shared" si="6"/>
        <v>447800</v>
      </c>
      <c r="U23" s="5">
        <f t="shared" si="6"/>
        <v>358240</v>
      </c>
      <c r="V23" s="5">
        <f t="shared" si="6"/>
        <v>268680</v>
      </c>
      <c r="W23" s="5">
        <f t="shared" si="6"/>
        <v>179120</v>
      </c>
      <c r="X23" s="211">
        <f t="shared" si="6"/>
        <v>89560</v>
      </c>
    </row>
    <row r="24" spans="2:24">
      <c r="B24" s="129" t="s">
        <v>309</v>
      </c>
      <c r="C24" t="s">
        <v>174</v>
      </c>
      <c r="E24" s="5">
        <f>$E$23 / $X$22</f>
        <v>89560</v>
      </c>
      <c r="F24" s="5">
        <f t="shared" ref="F24:X24" si="7">$E$23 / $X$22</f>
        <v>89560</v>
      </c>
      <c r="G24" s="5">
        <f t="shared" si="7"/>
        <v>89560</v>
      </c>
      <c r="H24" s="5">
        <f t="shared" si="7"/>
        <v>89560</v>
      </c>
      <c r="I24" s="5">
        <f t="shared" si="7"/>
        <v>89560</v>
      </c>
      <c r="J24" s="5">
        <f t="shared" si="7"/>
        <v>89560</v>
      </c>
      <c r="K24" s="5">
        <f t="shared" si="7"/>
        <v>89560</v>
      </c>
      <c r="L24" s="5">
        <f t="shared" si="7"/>
        <v>89560</v>
      </c>
      <c r="M24" s="5">
        <f t="shared" si="7"/>
        <v>89560</v>
      </c>
      <c r="N24" s="5">
        <f t="shared" si="7"/>
        <v>89560</v>
      </c>
      <c r="O24" s="5">
        <f t="shared" si="7"/>
        <v>89560</v>
      </c>
      <c r="P24" s="5">
        <f t="shared" si="7"/>
        <v>89560</v>
      </c>
      <c r="Q24" s="5">
        <f t="shared" si="7"/>
        <v>89560</v>
      </c>
      <c r="R24" s="5">
        <f t="shared" si="7"/>
        <v>89560</v>
      </c>
      <c r="S24" s="5">
        <f t="shared" si="7"/>
        <v>89560</v>
      </c>
      <c r="T24" s="5">
        <f t="shared" si="7"/>
        <v>89560</v>
      </c>
      <c r="U24" s="5">
        <f t="shared" si="7"/>
        <v>89560</v>
      </c>
      <c r="V24" s="5">
        <f t="shared" si="7"/>
        <v>89560</v>
      </c>
      <c r="W24" s="5">
        <f t="shared" si="7"/>
        <v>89560</v>
      </c>
      <c r="X24" s="211">
        <f t="shared" si="7"/>
        <v>89560</v>
      </c>
    </row>
    <row r="25" spans="2:24">
      <c r="B25" s="129" t="s">
        <v>310</v>
      </c>
      <c r="C25" t="s">
        <v>174</v>
      </c>
      <c r="D25" s="174">
        <f>'PEM Electrolyser'!D119</f>
        <v>1791200</v>
      </c>
      <c r="E25" s="5">
        <f>E23 - E24</f>
        <v>1701640</v>
      </c>
      <c r="F25" s="5">
        <f t="shared" ref="F25:X25" si="8">F23 - F24</f>
        <v>1612080</v>
      </c>
      <c r="G25" s="5">
        <f t="shared" si="8"/>
        <v>1522520</v>
      </c>
      <c r="H25" s="5">
        <f t="shared" si="8"/>
        <v>1432960</v>
      </c>
      <c r="I25" s="5">
        <f t="shared" si="8"/>
        <v>1343400</v>
      </c>
      <c r="J25" s="5">
        <f t="shared" si="8"/>
        <v>1253840</v>
      </c>
      <c r="K25" s="5">
        <f t="shared" si="8"/>
        <v>1164280</v>
      </c>
      <c r="L25" s="5">
        <f t="shared" si="8"/>
        <v>1074720</v>
      </c>
      <c r="M25" s="5">
        <f t="shared" si="8"/>
        <v>985160</v>
      </c>
      <c r="N25" s="5">
        <f t="shared" si="8"/>
        <v>895600</v>
      </c>
      <c r="O25" s="5">
        <f t="shared" si="8"/>
        <v>806040</v>
      </c>
      <c r="P25" s="5">
        <f t="shared" si="8"/>
        <v>716480</v>
      </c>
      <c r="Q25" s="5">
        <f t="shared" si="8"/>
        <v>626920</v>
      </c>
      <c r="R25" s="5">
        <f t="shared" si="8"/>
        <v>537360</v>
      </c>
      <c r="S25" s="5">
        <f t="shared" si="8"/>
        <v>447800</v>
      </c>
      <c r="T25" s="5">
        <f t="shared" si="8"/>
        <v>358240</v>
      </c>
      <c r="U25" s="5">
        <f t="shared" si="8"/>
        <v>268680</v>
      </c>
      <c r="V25" s="5">
        <f t="shared" si="8"/>
        <v>179120</v>
      </c>
      <c r="W25" s="5">
        <f t="shared" si="8"/>
        <v>89560</v>
      </c>
      <c r="X25" s="211">
        <f t="shared" si="8"/>
        <v>0</v>
      </c>
    </row>
    <row r="26" spans="2:24">
      <c r="B26" s="129"/>
      <c r="X26" s="128"/>
    </row>
    <row r="27" spans="2:24">
      <c r="B27" s="226" t="s">
        <v>15</v>
      </c>
      <c r="C27" s="90" t="s">
        <v>174</v>
      </c>
      <c r="D27" s="90"/>
      <c r="E27" s="227">
        <f>-AVERAGE(E23,E25) * 'PEM Electrolyser'!$D$117</f>
        <v>-57631.86</v>
      </c>
      <c r="F27" s="227">
        <f>-AVERAGE(F23,F25) * 'PEM Electrolyser'!$D$117</f>
        <v>-54676.380000000005</v>
      </c>
      <c r="G27" s="227">
        <f>-AVERAGE(G23,G25) * 'PEM Electrolyser'!$D$117</f>
        <v>-51720.9</v>
      </c>
      <c r="H27" s="227">
        <f>-AVERAGE(H23,H25) * 'PEM Electrolyser'!$D$117</f>
        <v>-48765.420000000006</v>
      </c>
      <c r="I27" s="227">
        <f>-AVERAGE(I23,I25) * 'PEM Electrolyser'!$D$117</f>
        <v>-45809.94</v>
      </c>
      <c r="J27" s="227">
        <f>-AVERAGE(J23,J25) * 'PEM Electrolyser'!$D$117</f>
        <v>-42854.46</v>
      </c>
      <c r="K27" s="227">
        <f>-AVERAGE(K23,K25) * 'PEM Electrolyser'!$D$117</f>
        <v>-39898.980000000003</v>
      </c>
      <c r="L27" s="227">
        <f>-AVERAGE(L23,L25) * 'PEM Electrolyser'!$D$117</f>
        <v>-36943.5</v>
      </c>
      <c r="M27" s="227">
        <f>-AVERAGE(M23,M25) * 'PEM Electrolyser'!$D$117</f>
        <v>-33988.020000000004</v>
      </c>
      <c r="N27" s="227">
        <f>-AVERAGE(N23,N25) * 'PEM Electrolyser'!$D$117</f>
        <v>-31032.54</v>
      </c>
      <c r="O27" s="227">
        <f>-AVERAGE(O23,O25) * 'PEM Electrolyser'!$D$117</f>
        <v>-28077.06</v>
      </c>
      <c r="P27" s="227">
        <f>-AVERAGE(P23,P25) * 'PEM Electrolyser'!$D$117</f>
        <v>-25121.58</v>
      </c>
      <c r="Q27" s="227">
        <f>-AVERAGE(Q23,Q25) * 'PEM Electrolyser'!$D$117</f>
        <v>-22166.100000000002</v>
      </c>
      <c r="R27" s="227">
        <f>-AVERAGE(R23,R25) * 'PEM Electrolyser'!$D$117</f>
        <v>-19210.620000000003</v>
      </c>
      <c r="S27" s="227">
        <f>-AVERAGE(S23,S25) * 'PEM Electrolyser'!$D$117</f>
        <v>-16255.140000000001</v>
      </c>
      <c r="T27" s="227">
        <f>-AVERAGE(T23,T25) * 'PEM Electrolyser'!$D$117</f>
        <v>-13299.66</v>
      </c>
      <c r="U27" s="227">
        <f>-AVERAGE(U23,U25) * 'PEM Electrolyser'!$D$117</f>
        <v>-10344.18</v>
      </c>
      <c r="V27" s="227">
        <f>-AVERAGE(V23,V25) * 'PEM Electrolyser'!$D$117</f>
        <v>-7388.7000000000007</v>
      </c>
      <c r="W27" s="227">
        <f>-AVERAGE(W23,W25) * 'PEM Electrolyser'!$D$117</f>
        <v>-4433.22</v>
      </c>
      <c r="X27" s="228">
        <f>-AVERAGE(X23,X25) * 'PEM Electrolyser'!$D$117</f>
        <v>-1477.74</v>
      </c>
    </row>
    <row r="31" spans="2:24">
      <c r="B31" s="70"/>
    </row>
  </sheetData>
  <mergeCells count="3">
    <mergeCell ref="B1:N1"/>
    <mergeCell ref="B10:N10"/>
    <mergeCell ref="B20:X20"/>
  </mergeCells>
  <pageMargins left="0.7" right="0.7" top="0.75" bottom="0.75" header="0.3" footer="0.3"/>
</worksheet>
</file>

<file path=xl/worksheets/sheet2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A49EA-B23A-1348-AAEF-1C9B01B7F414}">
  <sheetPr>
    <tabColor theme="1"/>
  </sheetPr>
  <dimension ref="A1"/>
  <sheetViews>
    <sheetView showGridLines="0" topLeftCell="A1048576" workbookViewId="0">
      <selection activeCell="B18" sqref="B18"/>
    </sheetView>
  </sheetViews>
  <sheetFormatPr baseColWidth="10" defaultRowHeight="16" zeroHeight="1"/>
  <sheetData/>
  <pageMargins left="0.7" right="0.7" top="0.75" bottom="0.75" header="0.3" footer="0.3"/>
</worksheet>
</file>

<file path=xl/worksheets/sheet2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68BF5-EDBC-D94E-A40E-58F8CABFD336}">
  <sheetPr>
    <tabColor rgb="FF002060"/>
  </sheetPr>
  <dimension ref="B1:N142"/>
  <sheetViews>
    <sheetView showGridLines="0" topLeftCell="A101" zoomScale="90" zoomScaleNormal="90" workbookViewId="0">
      <selection activeCell="B18" sqref="B18"/>
    </sheetView>
  </sheetViews>
  <sheetFormatPr baseColWidth="10" defaultRowHeight="16"/>
  <cols>
    <col min="1" max="1" width="7.1640625" customWidth="1"/>
    <col min="2" max="2" width="65.5" bestFit="1" customWidth="1"/>
    <col min="3" max="3" width="12.83203125" bestFit="1" customWidth="1"/>
    <col min="4" max="4" width="16.6640625" bestFit="1" customWidth="1"/>
    <col min="5" max="5" width="17.1640625" bestFit="1" customWidth="1"/>
    <col min="6" max="6" width="11.5" customWidth="1"/>
    <col min="7" max="7" width="11.5" bestFit="1" customWidth="1"/>
    <col min="8" max="8" width="10.5" customWidth="1"/>
    <col min="9" max="14" width="11.5" bestFit="1" customWidth="1"/>
  </cols>
  <sheetData>
    <row r="1" spans="2:14">
      <c r="B1" s="13" t="s">
        <v>159</v>
      </c>
      <c r="D1">
        <v>0</v>
      </c>
      <c r="E1">
        <f>D1+1</f>
        <v>1</v>
      </c>
      <c r="F1">
        <f t="shared" ref="F1:N1" si="0">E1+1</f>
        <v>2</v>
      </c>
      <c r="G1">
        <f t="shared" si="0"/>
        <v>3</v>
      </c>
      <c r="H1">
        <f t="shared" si="0"/>
        <v>4</v>
      </c>
      <c r="I1">
        <f t="shared" si="0"/>
        <v>5</v>
      </c>
      <c r="J1">
        <f t="shared" si="0"/>
        <v>6</v>
      </c>
      <c r="K1">
        <f t="shared" si="0"/>
        <v>7</v>
      </c>
      <c r="L1">
        <f t="shared" si="0"/>
        <v>8</v>
      </c>
      <c r="M1">
        <f t="shared" si="0"/>
        <v>9</v>
      </c>
      <c r="N1">
        <f t="shared" si="0"/>
        <v>10</v>
      </c>
    </row>
    <row r="2" spans="2:14">
      <c r="B2" s="78" t="s">
        <v>172</v>
      </c>
      <c r="C2" s="78" t="s">
        <v>160</v>
      </c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</row>
    <row r="3" spans="2:14">
      <c r="C3" s="79"/>
      <c r="E3" s="6"/>
    </row>
    <row r="4" spans="2:14">
      <c r="B4" s="19" t="s">
        <v>147</v>
      </c>
      <c r="C4" s="19"/>
      <c r="E4" s="5"/>
      <c r="F4" s="70"/>
      <c r="G4" s="70"/>
    </row>
    <row r="5" spans="2:14">
      <c r="B5" s="75" t="s">
        <v>200</v>
      </c>
      <c r="C5" s="75" t="s">
        <v>201</v>
      </c>
      <c r="D5" s="4">
        <v>300</v>
      </c>
      <c r="E5" s="84"/>
      <c r="F5" s="171"/>
      <c r="G5" s="171"/>
      <c r="H5" s="4"/>
      <c r="I5" s="4"/>
      <c r="J5" s="4"/>
      <c r="K5" s="4"/>
      <c r="L5" s="4"/>
      <c r="M5" s="4"/>
      <c r="N5" s="4"/>
    </row>
    <row r="6" spans="2:14">
      <c r="B6" s="75" t="s">
        <v>181</v>
      </c>
      <c r="C6" s="75" t="s">
        <v>162</v>
      </c>
      <c r="D6" s="4">
        <v>24</v>
      </c>
      <c r="E6" s="4"/>
      <c r="F6" s="4"/>
      <c r="G6" s="4"/>
      <c r="H6" s="4"/>
      <c r="I6" s="4"/>
      <c r="J6" s="4"/>
      <c r="K6" s="4"/>
      <c r="L6" s="4"/>
      <c r="M6" s="4"/>
      <c r="N6" s="4"/>
    </row>
    <row r="7" spans="2:14" s="13" customFormat="1">
      <c r="B7" s="82" t="s">
        <v>182</v>
      </c>
      <c r="C7" s="82" t="s">
        <v>180</v>
      </c>
      <c r="D7" s="83">
        <f>D9*D17</f>
        <v>2016000</v>
      </c>
      <c r="E7" s="83">
        <f>D7</f>
        <v>2016000</v>
      </c>
      <c r="F7" s="83">
        <f t="shared" ref="F7:N7" si="1">E7</f>
        <v>2016000</v>
      </c>
      <c r="G7" s="83">
        <f t="shared" si="1"/>
        <v>2016000</v>
      </c>
      <c r="H7" s="83">
        <f t="shared" si="1"/>
        <v>2016000</v>
      </c>
      <c r="I7" s="83">
        <f t="shared" si="1"/>
        <v>2016000</v>
      </c>
      <c r="J7" s="83">
        <f t="shared" si="1"/>
        <v>2016000</v>
      </c>
      <c r="K7" s="83">
        <f t="shared" si="1"/>
        <v>2016000</v>
      </c>
      <c r="L7" s="83">
        <f t="shared" si="1"/>
        <v>2016000</v>
      </c>
      <c r="M7" s="83">
        <f t="shared" si="1"/>
        <v>2016000</v>
      </c>
      <c r="N7" s="83">
        <f t="shared" si="1"/>
        <v>2016000</v>
      </c>
    </row>
    <row r="8" spans="2:14">
      <c r="B8" s="75" t="s">
        <v>235</v>
      </c>
      <c r="C8" s="75" t="s">
        <v>174</v>
      </c>
      <c r="D8" s="4">
        <v>66</v>
      </c>
      <c r="E8" s="4"/>
      <c r="F8" s="4"/>
      <c r="G8" s="4"/>
      <c r="H8" s="4"/>
      <c r="I8" s="4"/>
      <c r="J8" s="4"/>
      <c r="K8" s="4"/>
      <c r="L8" s="4"/>
      <c r="M8" s="4"/>
      <c r="N8" s="4"/>
    </row>
    <row r="9" spans="2:14">
      <c r="B9" s="75" t="s">
        <v>191</v>
      </c>
      <c r="C9" s="75" t="s">
        <v>192</v>
      </c>
      <c r="D9" s="4">
        <f>D5*D6*D10</f>
        <v>5760</v>
      </c>
      <c r="E9" s="4"/>
      <c r="F9" s="171"/>
      <c r="G9" s="171"/>
      <c r="H9" s="4"/>
      <c r="I9" s="4"/>
      <c r="J9" s="4"/>
      <c r="K9" s="4"/>
      <c r="L9" s="4"/>
      <c r="M9" s="4"/>
      <c r="N9" s="4"/>
    </row>
    <row r="10" spans="2:14">
      <c r="B10" s="75" t="s">
        <v>193</v>
      </c>
      <c r="C10" s="75"/>
      <c r="D10" s="98">
        <v>0.8</v>
      </c>
      <c r="E10" s="4"/>
      <c r="F10" s="171"/>
      <c r="G10" s="171"/>
      <c r="H10" s="4"/>
      <c r="I10" s="4"/>
      <c r="J10" s="4"/>
      <c r="K10" s="4"/>
      <c r="L10" s="4"/>
      <c r="M10" s="4"/>
      <c r="N10" s="4"/>
    </row>
    <row r="11" spans="2:14">
      <c r="B11" s="75" t="s">
        <v>229</v>
      </c>
      <c r="C11" s="75" t="s">
        <v>174</v>
      </c>
      <c r="D11" s="107">
        <v>290000</v>
      </c>
    </row>
    <row r="12" spans="2:14">
      <c r="B12" s="219" t="s">
        <v>349</v>
      </c>
      <c r="C12" s="230" t="s">
        <v>174</v>
      </c>
      <c r="D12" s="69">
        <f>INDEX('H3 Project Proposal'!$D$32:$D$41,MATCH(B12,'H3 Project Proposal'!$B$32:$B$41,0)) * D9  * D5 / 1000</f>
        <v>255000.00000000003</v>
      </c>
    </row>
    <row r="13" spans="2:14">
      <c r="B13" s="82" t="s">
        <v>146</v>
      </c>
      <c r="C13" s="82" t="s">
        <v>174</v>
      </c>
      <c r="D13" s="83"/>
    </row>
    <row r="14" spans="2:14">
      <c r="B14" s="75" t="s">
        <v>173</v>
      </c>
      <c r="C14" s="75" t="s">
        <v>161</v>
      </c>
      <c r="D14">
        <v>10</v>
      </c>
    </row>
    <row r="15" spans="2:14" ht="20" customHeight="1">
      <c r="B15" s="75" t="s">
        <v>175</v>
      </c>
      <c r="C15" s="75" t="s">
        <v>162</v>
      </c>
      <c r="D15" s="4">
        <v>80000</v>
      </c>
      <c r="F15" s="106"/>
    </row>
    <row r="16" spans="2:14">
      <c r="B16" s="75" t="s">
        <v>175</v>
      </c>
      <c r="C16" s="75" t="s">
        <v>161</v>
      </c>
      <c r="D16" s="73">
        <f>D15/(D6*D17)</f>
        <v>9.5238095238095237</v>
      </c>
      <c r="F16" s="42"/>
    </row>
    <row r="17" spans="2:14">
      <c r="B17" s="75" t="s">
        <v>176</v>
      </c>
      <c r="C17" s="75" t="s">
        <v>177</v>
      </c>
      <c r="D17" s="4">
        <v>350</v>
      </c>
    </row>
    <row r="18" spans="2:14">
      <c r="B18" s="75" t="s">
        <v>164</v>
      </c>
      <c r="C18" s="75" t="s">
        <v>166</v>
      </c>
      <c r="D18" s="4">
        <f>D24/D20</f>
        <v>48.000000000000007</v>
      </c>
      <c r="E18" s="84">
        <f>$D$24/E23</f>
        <v>48.979591836734699</v>
      </c>
      <c r="F18" s="84">
        <f t="shared" ref="F18:N18" si="2">$D$24/F23</f>
        <v>50.000000000000007</v>
      </c>
      <c r="G18" s="84">
        <f t="shared" si="2"/>
        <v>51.063829787234049</v>
      </c>
      <c r="H18" s="84">
        <f t="shared" si="2"/>
        <v>52.173913043478272</v>
      </c>
      <c r="I18" s="84">
        <f t="shared" si="2"/>
        <v>53.333333333333343</v>
      </c>
      <c r="J18" s="84">
        <f t="shared" si="2"/>
        <v>54.545454545454561</v>
      </c>
      <c r="K18" s="84">
        <f t="shared" si="2"/>
        <v>55.813953488372107</v>
      </c>
      <c r="L18" s="84">
        <f t="shared" si="2"/>
        <v>57.14285714285716</v>
      </c>
      <c r="M18" s="84">
        <f t="shared" si="2"/>
        <v>58.536585365853675</v>
      </c>
      <c r="N18" s="84">
        <f t="shared" si="2"/>
        <v>60.000000000000007</v>
      </c>
    </row>
    <row r="19" spans="2:14">
      <c r="B19" s="75" t="s">
        <v>163</v>
      </c>
      <c r="C19" s="75" t="s">
        <v>167</v>
      </c>
      <c r="D19" s="81">
        <v>0.98</v>
      </c>
      <c r="F19" s="42"/>
    </row>
    <row r="20" spans="2:14">
      <c r="B20" s="75" t="s">
        <v>165</v>
      </c>
      <c r="C20" s="75" t="s">
        <v>168</v>
      </c>
      <c r="D20" s="81">
        <v>0.7</v>
      </c>
      <c r="E20" s="5"/>
    </row>
    <row r="21" spans="2:14">
      <c r="B21" s="75" t="s">
        <v>292</v>
      </c>
      <c r="C21" s="75" t="s">
        <v>167</v>
      </c>
      <c r="D21" s="81">
        <v>0.8</v>
      </c>
      <c r="E21" s="5"/>
    </row>
    <row r="22" spans="2:14" s="13" customFormat="1">
      <c r="B22" s="82" t="s">
        <v>277</v>
      </c>
      <c r="C22" s="82" t="s">
        <v>167</v>
      </c>
      <c r="D22" s="172">
        <v>1.4E-2</v>
      </c>
      <c r="F22" s="42"/>
      <c r="H22"/>
      <c r="K22" s="23"/>
      <c r="N22" s="23"/>
    </row>
    <row r="23" spans="2:14" s="13" customFormat="1">
      <c r="B23" s="82" t="s">
        <v>278</v>
      </c>
      <c r="C23" s="82"/>
      <c r="D23" s="172"/>
      <c r="E23" s="81">
        <f>D20 - D22</f>
        <v>0.68599999999999994</v>
      </c>
      <c r="F23" s="173">
        <f>E23 - $D$22</f>
        <v>0.67199999999999993</v>
      </c>
      <c r="G23" s="173">
        <f t="shared" ref="G23:M23" si="3">F23 - $D$22</f>
        <v>0.65799999999999992</v>
      </c>
      <c r="H23" s="173">
        <f t="shared" si="3"/>
        <v>0.64399999999999991</v>
      </c>
      <c r="I23" s="173">
        <f t="shared" si="3"/>
        <v>0.62999999999999989</v>
      </c>
      <c r="J23" s="173">
        <f t="shared" si="3"/>
        <v>0.61599999999999988</v>
      </c>
      <c r="K23" s="173">
        <f t="shared" si="3"/>
        <v>0.60199999999999987</v>
      </c>
      <c r="L23" s="173">
        <f t="shared" si="3"/>
        <v>0.58799999999999986</v>
      </c>
      <c r="M23" s="173">
        <f t="shared" si="3"/>
        <v>0.57399999999999984</v>
      </c>
      <c r="N23" s="173">
        <f>D20 * D21</f>
        <v>0.55999999999999994</v>
      </c>
    </row>
    <row r="24" spans="2:14">
      <c r="B24" s="75" t="s">
        <v>228</v>
      </c>
      <c r="D24" s="3">
        <v>33.6</v>
      </c>
    </row>
    <row r="25" spans="2:14">
      <c r="B25" s="75" t="s">
        <v>210</v>
      </c>
      <c r="C25" s="75" t="s">
        <v>167</v>
      </c>
      <c r="D25" s="24">
        <f>'Model Initial - Battery Lazard'!C29</f>
        <v>2.5000000000000001E-2</v>
      </c>
    </row>
    <row r="26" spans="2:14">
      <c r="B26" s="75"/>
      <c r="F26" s="70"/>
    </row>
    <row r="27" spans="2:14">
      <c r="B27" s="76" t="s">
        <v>148</v>
      </c>
      <c r="C27" s="76"/>
      <c r="E27" s="4"/>
      <c r="F27" s="85"/>
      <c r="G27" s="85"/>
      <c r="H27" s="85"/>
      <c r="I27" s="85"/>
      <c r="J27" s="85"/>
      <c r="K27" s="85"/>
      <c r="L27" s="85"/>
      <c r="M27" s="85"/>
      <c r="N27" s="85"/>
    </row>
    <row r="28" spans="2:14">
      <c r="B28" s="75" t="s">
        <v>149</v>
      </c>
      <c r="C28" s="75" t="s">
        <v>226</v>
      </c>
      <c r="D28" s="99"/>
      <c r="E28" s="4">
        <f t="shared" ref="E28:N28" si="4">$D$7 / E$18 * $D$19</f>
        <v>40336.799999999996</v>
      </c>
      <c r="F28" s="4">
        <f t="shared" si="4"/>
        <v>39513.599999999991</v>
      </c>
      <c r="G28" s="4">
        <f t="shared" si="4"/>
        <v>38690.399999999994</v>
      </c>
      <c r="H28" s="4">
        <f t="shared" si="4"/>
        <v>37867.19999999999</v>
      </c>
      <c r="I28" s="4">
        <f t="shared" si="4"/>
        <v>37043.999999999993</v>
      </c>
      <c r="J28" s="4">
        <f t="shared" si="4"/>
        <v>36220.799999999996</v>
      </c>
      <c r="K28" s="4">
        <f t="shared" si="4"/>
        <v>35397.599999999991</v>
      </c>
      <c r="L28" s="4">
        <f t="shared" si="4"/>
        <v>34574.399999999994</v>
      </c>
      <c r="M28" s="4">
        <f t="shared" si="4"/>
        <v>33751.19999999999</v>
      </c>
      <c r="N28" s="4">
        <f t="shared" si="4"/>
        <v>32927.999999999993</v>
      </c>
    </row>
    <row r="29" spans="2:14">
      <c r="B29" s="75" t="s">
        <v>234</v>
      </c>
      <c r="C29" s="75" t="s">
        <v>227</v>
      </c>
      <c r="D29" s="205">
        <f>E28/D17</f>
        <v>115.24799999999999</v>
      </c>
      <c r="E29" s="4"/>
      <c r="F29" s="4"/>
      <c r="G29" s="4"/>
      <c r="H29" s="4"/>
      <c r="I29" s="4"/>
      <c r="J29" s="4"/>
      <c r="K29" s="4"/>
      <c r="L29" s="4"/>
      <c r="M29" s="4"/>
      <c r="N29" s="4"/>
    </row>
    <row r="30" spans="2:14" s="13" customFormat="1" ht="17" thickBot="1">
      <c r="B30" s="144" t="s">
        <v>245</v>
      </c>
      <c r="C30" s="144" t="s">
        <v>174</v>
      </c>
      <c r="D30" s="71"/>
      <c r="E30" s="71">
        <f>E28 * $D$124</f>
        <v>40336.799999999988</v>
      </c>
      <c r="F30" s="71">
        <f t="shared" ref="F30:N30" si="5">F28 * $D$124</f>
        <v>39513.599999999984</v>
      </c>
      <c r="G30" s="71">
        <f t="shared" si="5"/>
        <v>38690.399999999987</v>
      </c>
      <c r="H30" s="71">
        <f t="shared" si="5"/>
        <v>37867.199999999983</v>
      </c>
      <c r="I30" s="71">
        <f t="shared" si="5"/>
        <v>37043.999999999985</v>
      </c>
      <c r="J30" s="71">
        <f t="shared" si="5"/>
        <v>36220.799999999988</v>
      </c>
      <c r="K30" s="71">
        <f t="shared" si="5"/>
        <v>35397.599999999984</v>
      </c>
      <c r="L30" s="71">
        <f t="shared" si="5"/>
        <v>34574.399999999987</v>
      </c>
      <c r="M30" s="71">
        <f t="shared" si="5"/>
        <v>33751.199999999983</v>
      </c>
      <c r="N30" s="71">
        <f t="shared" si="5"/>
        <v>32927.999999999985</v>
      </c>
    </row>
    <row r="31" spans="2:14" ht="17" thickTop="1">
      <c r="B31" s="75"/>
      <c r="C31" s="75"/>
      <c r="D31" s="73"/>
      <c r="E31" s="4"/>
      <c r="F31" s="4"/>
      <c r="G31" s="4"/>
      <c r="H31" s="4"/>
      <c r="I31" s="4"/>
      <c r="J31" s="4"/>
      <c r="K31" s="4"/>
      <c r="L31" s="4"/>
      <c r="M31" s="4"/>
      <c r="N31" s="4"/>
    </row>
    <row r="32" spans="2:14">
      <c r="B32" t="s">
        <v>150</v>
      </c>
      <c r="C32" s="75" t="s">
        <v>169</v>
      </c>
      <c r="D32">
        <v>2.1000000000000001E-2</v>
      </c>
    </row>
    <row r="33" spans="2:14" s="13" customFormat="1">
      <c r="B33" s="13" t="s">
        <v>184</v>
      </c>
      <c r="C33" s="82" t="s">
        <v>174</v>
      </c>
      <c r="E33" s="23">
        <f t="shared" ref="E33:N33" si="6">E28 * $D$32 * (1 + $D$25) ^ E1</f>
        <v>868.24961999999982</v>
      </c>
      <c r="F33" s="23">
        <f t="shared" si="6"/>
        <v>871.79349599999978</v>
      </c>
      <c r="G33" s="23">
        <f t="shared" si="6"/>
        <v>874.97190978749984</v>
      </c>
      <c r="H33" s="23">
        <f t="shared" si="6"/>
        <v>877.76437332937462</v>
      </c>
      <c r="I33" s="23">
        <f t="shared" si="6"/>
        <v>880.14960260472617</v>
      </c>
      <c r="J33" s="23">
        <f t="shared" si="6"/>
        <v>882.10549061051449</v>
      </c>
      <c r="K33" s="23">
        <f t="shared" si="6"/>
        <v>883.60907951496415</v>
      </c>
      <c r="L33" s="23">
        <f t="shared" si="6"/>
        <v>884.63653193300479</v>
      </c>
      <c r="M33" s="23">
        <f t="shared" si="6"/>
        <v>885.16310129725036</v>
      </c>
      <c r="N33" s="23">
        <f t="shared" si="6"/>
        <v>885.16310129725048</v>
      </c>
    </row>
    <row r="34" spans="2:14" s="13" customFormat="1">
      <c r="C34" s="82"/>
      <c r="E34" s="23"/>
      <c r="F34" s="23"/>
      <c r="G34" s="23"/>
      <c r="H34" s="23"/>
      <c r="I34" s="23"/>
      <c r="J34" s="23"/>
      <c r="K34" s="23"/>
      <c r="L34" s="23"/>
      <c r="M34" s="23"/>
      <c r="N34" s="23"/>
    </row>
    <row r="35" spans="2:14">
      <c r="B35" s="125" t="s">
        <v>242</v>
      </c>
      <c r="C35" s="77"/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</row>
    <row r="36" spans="2:14">
      <c r="B36" s="127" t="str">
        <f>IF(AND($D$48&lt;$E$50,$D$48&lt;$E$53),$B$47,IF(AND($D$48&gt;$E$50,$D$48&gt;$E$53),B58,IF(AND(D48&gt;E50,D48&lt;E53),$B$68,B78)))</f>
        <v>Scenario 1: All electricity is bought from grid</v>
      </c>
    </row>
    <row r="37" spans="2:14">
      <c r="B37" s="129" t="s">
        <v>151</v>
      </c>
      <c r="C37" t="s">
        <v>171</v>
      </c>
      <c r="D37" s="85">
        <f>CHOOSE(MATCH($B$36,Scenario_list!$B$2:$B$5,0),'H2 1-1-1 goal'!D48,'H2 1-1-1 goal'!D59,D79,D69)</f>
        <v>16.20235074188761</v>
      </c>
    </row>
    <row r="38" spans="2:14" s="13" customFormat="1">
      <c r="B38" s="130" t="s">
        <v>194</v>
      </c>
      <c r="C38" s="13" t="s">
        <v>174</v>
      </c>
      <c r="D38" s="131"/>
      <c r="E38" s="132">
        <f>CHOOSE(MATCH($B$36,Scenario_list!$B$2:$B$5,0),'H2 1-1-1 goal'!E49,'H2 1-1-1 goal'!E60,E70,E80)</f>
        <v>-60345.469800000006</v>
      </c>
      <c r="F38" s="132">
        <f>CHOOSE(MATCH($B$36,Scenario_list!$B$2:$B$5,0),'H2 1-1-1 goal'!F49,'H2 1-1-1 goal'!F60,F70,F80)</f>
        <v>-58836.833055000003</v>
      </c>
      <c r="G38" s="132">
        <f>CHOOSE(MATCH($B$36,Scenario_list!$B$2:$B$5,0),'H2 1-1-1 goal'!G49,'H2 1-1-1 goal'!G60,G70,G80)</f>
        <v>-57365.912228625006</v>
      </c>
      <c r="H38" s="132">
        <f>CHOOSE(MATCH($B$36,Scenario_list!$B$2:$B$5,0),'H2 1-1-1 goal'!H49,'H2 1-1-1 goal'!H60,H70,H80)</f>
        <v>-55931.764422909378</v>
      </c>
      <c r="I38" s="132">
        <f>CHOOSE(MATCH($B$36,Scenario_list!$B$2:$B$5,0),'H2 1-1-1 goal'!I49,'H2 1-1-1 goal'!I60,I70,I80)</f>
        <v>-54533.470312336634</v>
      </c>
      <c r="J38" s="132">
        <f>CHOOSE(MATCH($B$36,Scenario_list!$B$2:$B$5,0),'H2 1-1-1 goal'!J49,'H2 1-1-1 goal'!J60,J70,J80)</f>
        <v>-53170.133554528227</v>
      </c>
      <c r="K38" s="132">
        <f>CHOOSE(MATCH($B$36,Scenario_list!$B$2:$B$5,0),'H2 1-1-1 goal'!K49,'H2 1-1-1 goal'!K60,K70,K80)</f>
        <v>-51840.88021566502</v>
      </c>
      <c r="L38" s="132">
        <f>CHOOSE(MATCH($B$36,Scenario_list!$B$2:$B$5,0),'H2 1-1-1 goal'!L49,'H2 1-1-1 goal'!L60,L70,L80)</f>
        <v>-50544.858210273385</v>
      </c>
      <c r="M38" s="132">
        <f>CHOOSE(MATCH($B$36,Scenario_list!$B$2:$B$5,0),'H2 1-1-1 goal'!M49,'H2 1-1-1 goal'!M60,M70,M80)</f>
        <v>-49281.236755016551</v>
      </c>
      <c r="N38" s="132">
        <f>CHOOSE(MATCH($B$36,Scenario_list!$B$2:$B$5,0),'H2 1-1-1 goal'!N49,'H2 1-1-1 goal'!N60,N70,N80)</f>
        <v>-48049.20583614114</v>
      </c>
    </row>
    <row r="39" spans="2:14">
      <c r="B39" s="134" t="s">
        <v>237</v>
      </c>
      <c r="C39" t="s">
        <v>196</v>
      </c>
      <c r="E39" s="132">
        <f>CHOOSE(MATCH($B$36,Scenario_list!$B$2:$B$5,0),'H2 1-1-1 goal'!E50,'H2 1-1-1 goal'!E61,E71,E81)</f>
        <v>138.22</v>
      </c>
      <c r="F39" s="132">
        <f>CHOOSE(MATCH($B$36,Scenario_list!$B$2:$B$5,0),'H2 1-1-1 goal'!F50,'H2 1-1-1 goal'!F61,F71,F81)</f>
        <v>138.22</v>
      </c>
      <c r="G39" s="132">
        <f>CHOOSE(MATCH($B$36,Scenario_list!$B$2:$B$5,0),'H2 1-1-1 goal'!G50,'H2 1-1-1 goal'!G61,G71,G81)</f>
        <v>138.22</v>
      </c>
      <c r="H39" s="132">
        <f>CHOOSE(MATCH($B$36,Scenario_list!$B$2:$B$5,0),'H2 1-1-1 goal'!H50,'H2 1-1-1 goal'!H61,H71,H81)</f>
        <v>138.22</v>
      </c>
      <c r="I39" s="132">
        <f>CHOOSE(MATCH($B$36,Scenario_list!$B$2:$B$5,0),'H2 1-1-1 goal'!I50,'H2 1-1-1 goal'!I61,I71,I81)</f>
        <v>138.22</v>
      </c>
      <c r="J39" s="132">
        <f>CHOOSE(MATCH($B$36,Scenario_list!$B$2:$B$5,0),'H2 1-1-1 goal'!J50,'H2 1-1-1 goal'!J61,J71,J81)</f>
        <v>138.22</v>
      </c>
      <c r="K39" s="132">
        <f>CHOOSE(MATCH($B$36,Scenario_list!$B$2:$B$5,0),'H2 1-1-1 goal'!K50,'H2 1-1-1 goal'!K61,K71,K81)</f>
        <v>138.22</v>
      </c>
      <c r="L39" s="132">
        <f>CHOOSE(MATCH($B$36,Scenario_list!$B$2:$B$5,0),'H2 1-1-1 goal'!L50,'H2 1-1-1 goal'!L61,L71,L81)</f>
        <v>138.22</v>
      </c>
      <c r="M39" s="132">
        <f>CHOOSE(MATCH($B$36,Scenario_list!$B$2:$B$5,0),'H2 1-1-1 goal'!M50,'H2 1-1-1 goal'!M61,M71,M81)</f>
        <v>138.22</v>
      </c>
      <c r="N39" s="132">
        <f>CHOOSE(MATCH($B$36,Scenario_list!$B$2:$B$5,0),'H2 1-1-1 goal'!N50,'H2 1-1-1 goal'!N61,N71,N81)</f>
        <v>138.22</v>
      </c>
    </row>
    <row r="40" spans="2:14">
      <c r="B40" s="134" t="s">
        <v>197</v>
      </c>
      <c r="C40" t="s">
        <v>170</v>
      </c>
      <c r="E40" s="132">
        <f>CHOOSE(MATCH($B$36,Scenario_list!$B$2:$B$5,0),'H2 1-1-1 goal'!E51,'H2 1-1-1 goal'!E62,E72,E82)</f>
        <v>436.59000000000003</v>
      </c>
      <c r="F40" s="132">
        <f>CHOOSE(MATCH($B$36,Scenario_list!$B$2:$B$5,0),'H2 1-1-1 goal'!F51,'H2 1-1-1 goal'!F62,F72,F82)</f>
        <v>425.67525000000001</v>
      </c>
      <c r="G40" s="132">
        <f>CHOOSE(MATCH($B$36,Scenario_list!$B$2:$B$5,0),'H2 1-1-1 goal'!G51,'H2 1-1-1 goal'!G62,G72,G82)</f>
        <v>415.03336875000002</v>
      </c>
      <c r="H40" s="132">
        <f>CHOOSE(MATCH($B$36,Scenario_list!$B$2:$B$5,0),'H2 1-1-1 goal'!H51,'H2 1-1-1 goal'!H62,H72,H82)</f>
        <v>404.65753453125001</v>
      </c>
      <c r="I40" s="132">
        <f>CHOOSE(MATCH($B$36,Scenario_list!$B$2:$B$5,0),'H2 1-1-1 goal'!I51,'H2 1-1-1 goal'!I62,I72,I82)</f>
        <v>394.5410961679687</v>
      </c>
      <c r="J40" s="132">
        <f>CHOOSE(MATCH($B$36,Scenario_list!$B$2:$B$5,0),'H2 1-1-1 goal'!J51,'H2 1-1-1 goal'!J62,J72,J82)</f>
        <v>384.67756876376956</v>
      </c>
      <c r="K40" s="132">
        <f>CHOOSE(MATCH($B$36,Scenario_list!$B$2:$B$5,0),'H2 1-1-1 goal'!K51,'H2 1-1-1 goal'!K62,K72,K82)</f>
        <v>375.06062954467529</v>
      </c>
      <c r="L40" s="132">
        <f>CHOOSE(MATCH($B$36,Scenario_list!$B$2:$B$5,0),'H2 1-1-1 goal'!L51,'H2 1-1-1 goal'!L62,L72,L82)</f>
        <v>365.68411380605835</v>
      </c>
      <c r="M40" s="132">
        <f>CHOOSE(MATCH($B$36,Scenario_list!$B$2:$B$5,0),'H2 1-1-1 goal'!M51,'H2 1-1-1 goal'!M62,M72,M82)</f>
        <v>356.54201096090691</v>
      </c>
      <c r="N40" s="132">
        <f>CHOOSE(MATCH($B$36,Scenario_list!$B$2:$B$5,0),'H2 1-1-1 goal'!N51,'H2 1-1-1 goal'!N62,N72,N82)</f>
        <v>347.62846068688424</v>
      </c>
    </row>
    <row r="41" spans="2:14" s="13" customFormat="1">
      <c r="B41" s="130" t="s">
        <v>195</v>
      </c>
      <c r="C41" s="13" t="s">
        <v>174</v>
      </c>
      <c r="E41" s="135">
        <f>CHOOSE(MATCH($B$36,Scenario_list!$B$2:$B$5,0),'H2 1-1-1 goal'!E52,'H2 1-1-1 goal'!E63,E73,E83)</f>
        <v>-29285.029680789467</v>
      </c>
      <c r="F41" s="135">
        <f>CHOOSE(MATCH($B$36,Scenario_list!$B$2:$B$5,0),'H2 1-1-1 goal'!F52,'H2 1-1-1 goal'!F63,F73,F83)</f>
        <v>-29285.029680789467</v>
      </c>
      <c r="G41" s="135">
        <f>CHOOSE(MATCH($B$36,Scenario_list!$B$2:$B$5,0),'H2 1-1-1 goal'!G52,'H2 1-1-1 goal'!G63,G73,G83)</f>
        <v>-29285.029680789467</v>
      </c>
      <c r="H41" s="135">
        <f>CHOOSE(MATCH($B$36,Scenario_list!$B$2:$B$5,0),'H2 1-1-1 goal'!H52,'H2 1-1-1 goal'!H63,H73,H83)</f>
        <v>-29285.029680789467</v>
      </c>
      <c r="I41" s="135">
        <f>CHOOSE(MATCH($B$36,Scenario_list!$B$2:$B$5,0),'H2 1-1-1 goal'!I52,'H2 1-1-1 goal'!I63,I73,I83)</f>
        <v>-29285.029680789467</v>
      </c>
      <c r="J41" s="135">
        <f>CHOOSE(MATCH($B$36,Scenario_list!$B$2:$B$5,0),'H2 1-1-1 goal'!J52,'H2 1-1-1 goal'!J63,J73,J83)</f>
        <v>-29285.029680789467</v>
      </c>
      <c r="K41" s="135">
        <f>CHOOSE(MATCH($B$36,Scenario_list!$B$2:$B$5,0),'H2 1-1-1 goal'!K52,'H2 1-1-1 goal'!K63,K73,K83)</f>
        <v>-29285.029680789467</v>
      </c>
      <c r="L41" s="135">
        <f>CHOOSE(MATCH($B$36,Scenario_list!$B$2:$B$5,0),'H2 1-1-1 goal'!L52,'H2 1-1-1 goal'!L63,L73,L83)</f>
        <v>-29285.029680789467</v>
      </c>
      <c r="M41" s="135">
        <f>CHOOSE(MATCH($B$36,Scenario_list!$B$2:$B$5,0),'H2 1-1-1 goal'!M52,'H2 1-1-1 goal'!M63,M73,M83)</f>
        <v>-29285.029680789467</v>
      </c>
      <c r="N41" s="135">
        <f>CHOOSE(MATCH($B$36,Scenario_list!$B$2:$B$5,0),'H2 1-1-1 goal'!N52,'H2 1-1-1 goal'!N63,N73,N83)</f>
        <v>-29285.029680789467</v>
      </c>
    </row>
    <row r="42" spans="2:14">
      <c r="B42" s="134" t="s">
        <v>236</v>
      </c>
      <c r="C42" t="s">
        <v>196</v>
      </c>
      <c r="E42" s="132">
        <f>CHOOSE(MATCH($B$36,Scenario_list!$B$2:$B$5,0),'H2 1-1-1 goal'!E53,'H2 1-1-1 goal'!E64,E74,E84)</f>
        <v>138.22</v>
      </c>
      <c r="F42" s="132">
        <f>CHOOSE(MATCH($B$36,Scenario_list!$B$2:$B$5,0),'H2 1-1-1 goal'!F53,'H2 1-1-1 goal'!F64,F74,F84)</f>
        <v>138.22</v>
      </c>
      <c r="G42" s="132">
        <f>CHOOSE(MATCH($B$36,Scenario_list!$B$2:$B$5,0),'H2 1-1-1 goal'!G53,'H2 1-1-1 goal'!G64,G74,G84)</f>
        <v>138.22</v>
      </c>
      <c r="H42" s="132">
        <f>CHOOSE(MATCH($B$36,Scenario_list!$B$2:$B$5,0),'H2 1-1-1 goal'!H53,'H2 1-1-1 goal'!H64,H74,H84)</f>
        <v>138.22</v>
      </c>
      <c r="I42" s="132">
        <f>CHOOSE(MATCH($B$36,Scenario_list!$B$2:$B$5,0),'H2 1-1-1 goal'!I53,'H2 1-1-1 goal'!I64,I74,I84)</f>
        <v>138.22</v>
      </c>
      <c r="J42" s="132">
        <f>CHOOSE(MATCH($B$36,Scenario_list!$B$2:$B$5,0),'H2 1-1-1 goal'!J53,'H2 1-1-1 goal'!J64,J74,J84)</f>
        <v>138.22</v>
      </c>
      <c r="K42" s="132">
        <f>CHOOSE(MATCH($B$36,Scenario_list!$B$2:$B$5,0),'H2 1-1-1 goal'!K53,'H2 1-1-1 goal'!K64,K74,K84)</f>
        <v>138.22</v>
      </c>
      <c r="L42" s="132">
        <f>CHOOSE(MATCH($B$36,Scenario_list!$B$2:$B$5,0),'H2 1-1-1 goal'!L53,'H2 1-1-1 goal'!L64,L74,L84)</f>
        <v>138.22</v>
      </c>
      <c r="M42" s="132">
        <f>CHOOSE(MATCH($B$36,Scenario_list!$B$2:$B$5,0),'H2 1-1-1 goal'!M53,'H2 1-1-1 goal'!M64,M74,M84)</f>
        <v>138.22</v>
      </c>
      <c r="N42" s="132">
        <f>CHOOSE(MATCH($B$36,Scenario_list!$B$2:$B$5,0),'H2 1-1-1 goal'!N53,'H2 1-1-1 goal'!N64,N74,N84)</f>
        <v>138.22</v>
      </c>
    </row>
    <row r="43" spans="2:14">
      <c r="B43" s="134" t="s">
        <v>198</v>
      </c>
      <c r="C43" t="s">
        <v>170</v>
      </c>
      <c r="E43" s="132">
        <f>CHOOSE(MATCH($B$36,Scenario_list!$B$2:$B$5,0),'H2 1-1-1 goal'!E54,'H2 1-1-1 goal'!E65,E75,E85)</f>
        <v>211.8725921052631</v>
      </c>
      <c r="F43" s="132">
        <f>CHOOSE(MATCH($B$36,Scenario_list!$B$2:$B$5,0),'H2 1-1-1 goal'!F54,'H2 1-1-1 goal'!F65,F75,F85)</f>
        <v>211.8725921052631</v>
      </c>
      <c r="G43" s="132">
        <f>CHOOSE(MATCH($B$36,Scenario_list!$B$2:$B$5,0),'H2 1-1-1 goal'!G54,'H2 1-1-1 goal'!G65,G75,G85)</f>
        <v>211.8725921052631</v>
      </c>
      <c r="H43" s="132">
        <f>CHOOSE(MATCH($B$36,Scenario_list!$B$2:$B$5,0),'H2 1-1-1 goal'!H54,'H2 1-1-1 goal'!H65,H75,H85)</f>
        <v>211.8725921052631</v>
      </c>
      <c r="I43" s="132">
        <f>CHOOSE(MATCH($B$36,Scenario_list!$B$2:$B$5,0),'H2 1-1-1 goal'!I54,'H2 1-1-1 goal'!I65,I75,I85)</f>
        <v>211.8725921052631</v>
      </c>
      <c r="J43" s="132">
        <f>CHOOSE(MATCH($B$36,Scenario_list!$B$2:$B$5,0),'H2 1-1-1 goal'!J54,'H2 1-1-1 goal'!J65,J75,J85)</f>
        <v>211.8725921052631</v>
      </c>
      <c r="K43" s="132">
        <f>CHOOSE(MATCH($B$36,Scenario_list!$B$2:$B$5,0),'H2 1-1-1 goal'!K54,'H2 1-1-1 goal'!K65,K75,K85)</f>
        <v>211.8725921052631</v>
      </c>
      <c r="L43" s="132">
        <f>CHOOSE(MATCH($B$36,Scenario_list!$B$2:$B$5,0),'H2 1-1-1 goal'!L54,'H2 1-1-1 goal'!L65,L75,L85)</f>
        <v>211.8725921052631</v>
      </c>
      <c r="M43" s="132">
        <f>CHOOSE(MATCH($B$36,Scenario_list!$B$2:$B$5,0),'H2 1-1-1 goal'!M54,'H2 1-1-1 goal'!M65,M75,M85)</f>
        <v>211.8725921052631</v>
      </c>
      <c r="N43" s="132">
        <f>CHOOSE(MATCH($B$36,Scenario_list!$B$2:$B$5,0),'H2 1-1-1 goal'!N54,'H2 1-1-1 goal'!N65,N75,N85)</f>
        <v>211.8725921052631</v>
      </c>
    </row>
    <row r="44" spans="2:14" s="13" customFormat="1">
      <c r="B44" s="130" t="s">
        <v>185</v>
      </c>
      <c r="C44" s="13" t="s">
        <v>174</v>
      </c>
      <c r="D44" s="137"/>
      <c r="E44" s="135">
        <f>CHOOSE(MATCH($B$36,Scenario_list!$B$2:$B$5,0),'H2 1-1-1 goal'!E55,'H2 1-1-1 goal'!E66,E76,E86)</f>
        <v>-56966.560385144054</v>
      </c>
      <c r="F44" s="135">
        <f>CHOOSE(MATCH($B$36,Scenario_list!$B$2:$B$5,0),'H2 1-1-1 goal'!F55,'H2 1-1-1 goal'!F66,F76,F86)</f>
        <v>-55457.92364014405</v>
      </c>
      <c r="G44" s="135">
        <f>CHOOSE(MATCH($B$36,Scenario_list!$B$2:$B$5,0),'H2 1-1-1 goal'!G55,'H2 1-1-1 goal'!G66,G76,G86)</f>
        <v>-53987.002813769053</v>
      </c>
      <c r="H44" s="135">
        <f>CHOOSE(MATCH($B$36,Scenario_list!$B$2:$B$5,0),'H2 1-1-1 goal'!H55,'H2 1-1-1 goal'!H66,H76,H86)</f>
        <v>-52552.855008053426</v>
      </c>
      <c r="I44" s="135">
        <f>CHOOSE(MATCH($B$36,Scenario_list!$B$2:$B$5,0),'H2 1-1-1 goal'!I55,'H2 1-1-1 goal'!I66,I76,I86)</f>
        <v>-51154.560897480682</v>
      </c>
      <c r="J44" s="135">
        <f>CHOOSE(MATCH($B$36,Scenario_list!$B$2:$B$5,0),'H2 1-1-1 goal'!J55,'H2 1-1-1 goal'!J66,J76,J86)</f>
        <v>-49791.224139672275</v>
      </c>
      <c r="K44" s="135">
        <f>CHOOSE(MATCH($B$36,Scenario_list!$B$2:$B$5,0),'H2 1-1-1 goal'!K55,'H2 1-1-1 goal'!K66,K76,K86)</f>
        <v>-48461.970800809067</v>
      </c>
      <c r="L44" s="135">
        <f>CHOOSE(MATCH($B$36,Scenario_list!$B$2:$B$5,0),'H2 1-1-1 goal'!L55,'H2 1-1-1 goal'!L66,L76,L86)</f>
        <v>-47165.948795417433</v>
      </c>
      <c r="M44" s="135">
        <f>CHOOSE(MATCH($B$36,Scenario_list!$B$2:$B$5,0),'H2 1-1-1 goal'!M55,'H2 1-1-1 goal'!M66,M76,M86)</f>
        <v>-45902.327340160598</v>
      </c>
      <c r="N44" s="135">
        <f>CHOOSE(MATCH($B$36,Scenario_list!$B$2:$B$5,0),'H2 1-1-1 goal'!N55,'H2 1-1-1 goal'!N66,N76,N86)</f>
        <v>-44670.296421285188</v>
      </c>
    </row>
    <row r="45" spans="2:14" s="13" customFormat="1">
      <c r="B45" s="138" t="s">
        <v>240</v>
      </c>
      <c r="C45" s="139"/>
      <c r="D45" s="140"/>
      <c r="E45" s="141"/>
      <c r="F45" s="141"/>
      <c r="G45" s="141"/>
      <c r="H45" s="141"/>
      <c r="I45" s="141"/>
      <c r="J45" s="141"/>
      <c r="K45" s="141"/>
      <c r="L45" s="141"/>
      <c r="M45" s="141"/>
      <c r="N45" s="141"/>
    </row>
    <row r="46" spans="2:14" s="13" customFormat="1">
      <c r="B46" s="117" t="s">
        <v>241</v>
      </c>
      <c r="C46" s="82"/>
      <c r="E46" s="23"/>
      <c r="F46" s="23"/>
      <c r="G46" s="23"/>
      <c r="H46" s="23"/>
      <c r="I46" s="23"/>
      <c r="J46" s="23"/>
      <c r="K46" s="23"/>
      <c r="L46" s="23"/>
      <c r="M46" s="23"/>
      <c r="N46" s="23"/>
    </row>
    <row r="47" spans="2:14">
      <c r="B47" s="15" t="s">
        <v>238</v>
      </c>
    </row>
    <row r="48" spans="2:14">
      <c r="B48" t="s">
        <v>151</v>
      </c>
      <c r="C48" t="s">
        <v>171</v>
      </c>
      <c r="D48" s="189">
        <v>16.20235074188761</v>
      </c>
    </row>
    <row r="49" spans="2:14" s="13" customFormat="1">
      <c r="B49" s="13" t="s">
        <v>194</v>
      </c>
      <c r="C49" s="13" t="s">
        <v>174</v>
      </c>
      <c r="D49" s="73"/>
      <c r="E49" s="120">
        <f>-E50*E51</f>
        <v>-60345.469800000006</v>
      </c>
      <c r="F49" s="120">
        <f t="shared" ref="F49:N49" si="7">-F50*F51</f>
        <v>-58836.833055000003</v>
      </c>
      <c r="G49" s="120">
        <f t="shared" si="7"/>
        <v>-57365.912228625006</v>
      </c>
      <c r="H49" s="120">
        <f t="shared" si="7"/>
        <v>-55931.764422909378</v>
      </c>
      <c r="I49" s="120">
        <f t="shared" si="7"/>
        <v>-54533.470312336634</v>
      </c>
      <c r="J49" s="120">
        <f t="shared" si="7"/>
        <v>-53170.133554528227</v>
      </c>
      <c r="K49" s="120">
        <f t="shared" si="7"/>
        <v>-51840.88021566502</v>
      </c>
      <c r="L49" s="120">
        <f t="shared" si="7"/>
        <v>-50544.858210273385</v>
      </c>
      <c r="M49" s="120">
        <f t="shared" si="7"/>
        <v>-49281.236755016551</v>
      </c>
      <c r="N49" s="120">
        <f t="shared" si="7"/>
        <v>-48049.20583614114</v>
      </c>
    </row>
    <row r="50" spans="2:14">
      <c r="B50" s="54" t="s">
        <v>237</v>
      </c>
      <c r="C50" t="s">
        <v>196</v>
      </c>
      <c r="E50" s="121">
        <f>'Grid + solar + CAISO'!$A$21</f>
        <v>138.22</v>
      </c>
      <c r="F50" s="122">
        <f>E50</f>
        <v>138.22</v>
      </c>
      <c r="G50" s="122">
        <f>F50</f>
        <v>138.22</v>
      </c>
      <c r="H50" s="122">
        <f t="shared" ref="H50:N50" si="8">G50</f>
        <v>138.22</v>
      </c>
      <c r="I50" s="122">
        <f t="shared" si="8"/>
        <v>138.22</v>
      </c>
      <c r="J50" s="122">
        <f t="shared" si="8"/>
        <v>138.22</v>
      </c>
      <c r="K50" s="122">
        <f t="shared" si="8"/>
        <v>138.22</v>
      </c>
      <c r="L50" s="122">
        <f t="shared" si="8"/>
        <v>138.22</v>
      </c>
      <c r="M50" s="122">
        <f t="shared" si="8"/>
        <v>138.22</v>
      </c>
      <c r="N50" s="122">
        <f t="shared" si="8"/>
        <v>138.22</v>
      </c>
    </row>
    <row r="51" spans="2:14">
      <c r="B51" s="54" t="s">
        <v>197</v>
      </c>
      <c r="C51" t="s">
        <v>170</v>
      </c>
      <c r="E51" s="118">
        <f>'Model Initial - Battery Lazard'!E38</f>
        <v>436.59000000000003</v>
      </c>
      <c r="F51" s="123">
        <f>'Model Initial - Battery Lazard'!F38</f>
        <v>425.67525000000001</v>
      </c>
      <c r="G51" s="123">
        <f>'Model Initial - Battery Lazard'!G38</f>
        <v>415.03336875000002</v>
      </c>
      <c r="H51" s="123">
        <f>'Model Initial - Battery Lazard'!H38</f>
        <v>404.65753453125001</v>
      </c>
      <c r="I51" s="123">
        <f>'Model Initial - Battery Lazard'!I38</f>
        <v>394.5410961679687</v>
      </c>
      <c r="J51" s="123">
        <f>'Model Initial - Battery Lazard'!J38</f>
        <v>384.67756876376956</v>
      </c>
      <c r="K51" s="123">
        <f>'Model Initial - Battery Lazard'!K38</f>
        <v>375.06062954467529</v>
      </c>
      <c r="L51" s="123">
        <f>'Model Initial - Battery Lazard'!L38</f>
        <v>365.68411380605835</v>
      </c>
      <c r="M51" s="123">
        <f>'Model Initial - Battery Lazard'!M38</f>
        <v>356.54201096090691</v>
      </c>
      <c r="N51" s="123">
        <f>'Model Initial - Battery Lazard'!N38</f>
        <v>347.62846068688424</v>
      </c>
    </row>
    <row r="52" spans="2:14" s="13" customFormat="1">
      <c r="B52" s="13" t="s">
        <v>195</v>
      </c>
      <c r="C52" s="13" t="s">
        <v>174</v>
      </c>
      <c r="E52" s="124">
        <f>- E53*E54</f>
        <v>-29285.029680789467</v>
      </c>
      <c r="F52" s="124">
        <f t="shared" ref="F52:N52" si="9">- F53*F54</f>
        <v>-29285.029680789467</v>
      </c>
      <c r="G52" s="124">
        <f t="shared" si="9"/>
        <v>-29285.029680789467</v>
      </c>
      <c r="H52" s="124">
        <f t="shared" si="9"/>
        <v>-29285.029680789467</v>
      </c>
      <c r="I52" s="124">
        <f t="shared" si="9"/>
        <v>-29285.029680789467</v>
      </c>
      <c r="J52" s="124">
        <f t="shared" si="9"/>
        <v>-29285.029680789467</v>
      </c>
      <c r="K52" s="124">
        <f t="shared" si="9"/>
        <v>-29285.029680789467</v>
      </c>
      <c r="L52" s="124">
        <f t="shared" si="9"/>
        <v>-29285.029680789467</v>
      </c>
      <c r="M52" s="124">
        <f t="shared" si="9"/>
        <v>-29285.029680789467</v>
      </c>
      <c r="N52" s="124">
        <f t="shared" si="9"/>
        <v>-29285.029680789467</v>
      </c>
    </row>
    <row r="53" spans="2:14">
      <c r="B53" s="54" t="s">
        <v>236</v>
      </c>
      <c r="C53" t="s">
        <v>196</v>
      </c>
      <c r="E53" s="121">
        <f>'Grid + solar + CAISO'!$A$21</f>
        <v>138.22</v>
      </c>
      <c r="F53" s="122">
        <f>E53</f>
        <v>138.22</v>
      </c>
      <c r="G53" s="122">
        <f t="shared" ref="G53:N53" si="10">F53</f>
        <v>138.22</v>
      </c>
      <c r="H53" s="122">
        <f t="shared" si="10"/>
        <v>138.22</v>
      </c>
      <c r="I53" s="122">
        <f t="shared" si="10"/>
        <v>138.22</v>
      </c>
      <c r="J53" s="122">
        <f t="shared" si="10"/>
        <v>138.22</v>
      </c>
      <c r="K53" s="122">
        <f t="shared" si="10"/>
        <v>138.22</v>
      </c>
      <c r="L53" s="122">
        <f t="shared" si="10"/>
        <v>138.22</v>
      </c>
      <c r="M53" s="122">
        <f t="shared" si="10"/>
        <v>138.22</v>
      </c>
      <c r="N53" s="122">
        <f t="shared" si="10"/>
        <v>138.22</v>
      </c>
    </row>
    <row r="54" spans="2:14">
      <c r="B54" s="54" t="s">
        <v>198</v>
      </c>
      <c r="C54" t="s">
        <v>170</v>
      </c>
      <c r="E54" s="121">
        <f>'LCOS Solar + Degradation'!E9</f>
        <v>211.8725921052631</v>
      </c>
      <c r="F54" s="122">
        <f>'LCOS Solar + Degradation'!F9</f>
        <v>211.8725921052631</v>
      </c>
      <c r="G54" s="122">
        <f>'LCOS Solar + Degradation'!G9</f>
        <v>211.8725921052631</v>
      </c>
      <c r="H54" s="122">
        <f>'LCOS Solar + Degradation'!H9</f>
        <v>211.8725921052631</v>
      </c>
      <c r="I54" s="122">
        <f>'LCOS Solar + Degradation'!I9</f>
        <v>211.8725921052631</v>
      </c>
      <c r="J54" s="122">
        <f>'LCOS Solar + Degradation'!J9</f>
        <v>211.8725921052631</v>
      </c>
      <c r="K54" s="122">
        <f>'LCOS Solar + Degradation'!K9</f>
        <v>211.8725921052631</v>
      </c>
      <c r="L54" s="122">
        <f>'LCOS Solar + Degradation'!L9</f>
        <v>211.8725921052631</v>
      </c>
      <c r="M54" s="122">
        <f>'LCOS Solar + Degradation'!M9</f>
        <v>211.8725921052631</v>
      </c>
      <c r="N54" s="122">
        <f>'LCOS Solar + Degradation'!N9</f>
        <v>211.8725921052631</v>
      </c>
    </row>
    <row r="55" spans="2:14" s="13" customFormat="1">
      <c r="B55" s="13" t="s">
        <v>185</v>
      </c>
      <c r="C55" s="13" t="s">
        <v>174</v>
      </c>
      <c r="D55" s="116"/>
      <c r="E55" s="120">
        <f t="shared" ref="E55:N55" si="11">$D$48 * E7 / 10^3   + E49 + E52</f>
        <v>-56966.560385144054</v>
      </c>
      <c r="F55" s="120">
        <f t="shared" si="11"/>
        <v>-55457.92364014405</v>
      </c>
      <c r="G55" s="120">
        <f t="shared" si="11"/>
        <v>-53987.002813769053</v>
      </c>
      <c r="H55" s="120">
        <f t="shared" si="11"/>
        <v>-52552.855008053426</v>
      </c>
      <c r="I55" s="120">
        <f t="shared" si="11"/>
        <v>-51154.560897480682</v>
      </c>
      <c r="J55" s="120">
        <f t="shared" si="11"/>
        <v>-49791.224139672275</v>
      </c>
      <c r="K55" s="120">
        <f t="shared" si="11"/>
        <v>-48461.970800809067</v>
      </c>
      <c r="L55" s="120">
        <f t="shared" si="11"/>
        <v>-47165.948795417433</v>
      </c>
      <c r="M55" s="120">
        <f t="shared" si="11"/>
        <v>-45902.327340160598</v>
      </c>
      <c r="N55" s="120">
        <f t="shared" si="11"/>
        <v>-44670.296421285188</v>
      </c>
    </row>
    <row r="56" spans="2:14" s="13" customFormat="1">
      <c r="B56" s="13" t="s">
        <v>240</v>
      </c>
      <c r="D56" s="116"/>
      <c r="E56" s="23"/>
      <c r="F56" s="23"/>
      <c r="G56" s="23"/>
      <c r="H56" s="23"/>
      <c r="I56" s="23"/>
      <c r="J56" s="23"/>
      <c r="K56" s="23"/>
      <c r="L56" s="23"/>
      <c r="M56" s="23"/>
      <c r="N56" s="23"/>
    </row>
    <row r="58" spans="2:14">
      <c r="B58" s="15" t="s">
        <v>239</v>
      </c>
    </row>
    <row r="59" spans="2:14">
      <c r="B59" s="112" t="s">
        <v>151</v>
      </c>
      <c r="C59" s="112" t="s">
        <v>171</v>
      </c>
      <c r="D59" s="85">
        <f>D48</f>
        <v>16.20235074188761</v>
      </c>
    </row>
    <row r="60" spans="2:14" s="13" customFormat="1">
      <c r="B60" s="13" t="s">
        <v>194</v>
      </c>
      <c r="C60" s="113" t="s">
        <v>174</v>
      </c>
      <c r="E60" s="164">
        <v>0</v>
      </c>
      <c r="F60" s="164">
        <v>0</v>
      </c>
      <c r="G60" s="164">
        <v>0</v>
      </c>
      <c r="H60" s="164">
        <v>0</v>
      </c>
      <c r="I60" s="164">
        <v>0</v>
      </c>
      <c r="J60" s="164">
        <v>0</v>
      </c>
      <c r="K60" s="164">
        <v>0</v>
      </c>
      <c r="L60" s="164">
        <v>0</v>
      </c>
      <c r="M60" s="164">
        <v>0</v>
      </c>
      <c r="N60" s="164">
        <v>0</v>
      </c>
    </row>
    <row r="61" spans="2:14">
      <c r="B61" s="114" t="s">
        <v>237</v>
      </c>
      <c r="C61" s="112" t="s">
        <v>196</v>
      </c>
      <c r="E61" s="123">
        <f>E50</f>
        <v>138.22</v>
      </c>
      <c r="F61" s="123">
        <f t="shared" ref="F61:N61" si="12">F50</f>
        <v>138.22</v>
      </c>
      <c r="G61" s="123">
        <f t="shared" si="12"/>
        <v>138.22</v>
      </c>
      <c r="H61" s="123">
        <f t="shared" si="12"/>
        <v>138.22</v>
      </c>
      <c r="I61" s="123">
        <f t="shared" si="12"/>
        <v>138.22</v>
      </c>
      <c r="J61" s="123">
        <f t="shared" si="12"/>
        <v>138.22</v>
      </c>
      <c r="K61" s="123">
        <f t="shared" si="12"/>
        <v>138.22</v>
      </c>
      <c r="L61" s="123">
        <f t="shared" si="12"/>
        <v>138.22</v>
      </c>
      <c r="M61" s="123">
        <f t="shared" si="12"/>
        <v>138.22</v>
      </c>
      <c r="N61" s="123">
        <f t="shared" si="12"/>
        <v>138.22</v>
      </c>
    </row>
    <row r="62" spans="2:14">
      <c r="B62" s="114" t="s">
        <v>197</v>
      </c>
      <c r="C62" s="112" t="s">
        <v>170</v>
      </c>
      <c r="E62" s="123">
        <f>'Model Initial - Battery Lazard'!E38</f>
        <v>436.59000000000003</v>
      </c>
      <c r="F62" s="123">
        <f>'Model Initial - Battery Lazard'!F38</f>
        <v>425.67525000000001</v>
      </c>
      <c r="G62" s="123">
        <f>'Model Initial - Battery Lazard'!G38</f>
        <v>415.03336875000002</v>
      </c>
      <c r="H62" s="123">
        <f>'Model Initial - Battery Lazard'!H38</f>
        <v>404.65753453125001</v>
      </c>
      <c r="I62" s="123">
        <f>'Model Initial - Battery Lazard'!I38</f>
        <v>394.5410961679687</v>
      </c>
      <c r="J62" s="123">
        <f>'Model Initial - Battery Lazard'!J38</f>
        <v>384.67756876376956</v>
      </c>
      <c r="K62" s="123">
        <f>'Model Initial - Battery Lazard'!K38</f>
        <v>375.06062954467529</v>
      </c>
      <c r="L62" s="123">
        <f>'Model Initial - Battery Lazard'!L38</f>
        <v>365.68411380605835</v>
      </c>
      <c r="M62" s="123">
        <f>'Model Initial - Battery Lazard'!M38</f>
        <v>356.54201096090691</v>
      </c>
      <c r="N62" s="123">
        <f>'Model Initial - Battery Lazard'!N38</f>
        <v>347.62846068688424</v>
      </c>
    </row>
    <row r="63" spans="2:14" s="13" customFormat="1">
      <c r="B63" s="13" t="s">
        <v>195</v>
      </c>
      <c r="C63" s="113" t="s">
        <v>174</v>
      </c>
      <c r="E63" s="164">
        <v>0</v>
      </c>
      <c r="F63" s="164">
        <v>0</v>
      </c>
      <c r="G63" s="164">
        <v>0</v>
      </c>
      <c r="H63" s="164">
        <v>0</v>
      </c>
      <c r="I63" s="164">
        <v>0</v>
      </c>
      <c r="J63" s="164">
        <v>0</v>
      </c>
      <c r="K63" s="164">
        <v>0</v>
      </c>
      <c r="L63" s="164">
        <v>0</v>
      </c>
      <c r="M63" s="164">
        <v>0</v>
      </c>
      <c r="N63" s="164">
        <v>0</v>
      </c>
    </row>
    <row r="64" spans="2:14">
      <c r="B64" s="114" t="s">
        <v>236</v>
      </c>
      <c r="C64" s="112" t="s">
        <v>196</v>
      </c>
      <c r="E64" s="122">
        <f>E53</f>
        <v>138.22</v>
      </c>
      <c r="F64" s="122">
        <f t="shared" ref="F64:N64" si="13">F53</f>
        <v>138.22</v>
      </c>
      <c r="G64" s="122">
        <f t="shared" si="13"/>
        <v>138.22</v>
      </c>
      <c r="H64" s="122">
        <f t="shared" si="13"/>
        <v>138.22</v>
      </c>
      <c r="I64" s="122">
        <f t="shared" si="13"/>
        <v>138.22</v>
      </c>
      <c r="J64" s="122">
        <f t="shared" si="13"/>
        <v>138.22</v>
      </c>
      <c r="K64" s="122">
        <f t="shared" si="13"/>
        <v>138.22</v>
      </c>
      <c r="L64" s="122">
        <f t="shared" si="13"/>
        <v>138.22</v>
      </c>
      <c r="M64" s="122">
        <f t="shared" si="13"/>
        <v>138.22</v>
      </c>
      <c r="N64" s="122">
        <f t="shared" si="13"/>
        <v>138.22</v>
      </c>
    </row>
    <row r="65" spans="2:14">
      <c r="B65" s="114" t="s">
        <v>198</v>
      </c>
      <c r="C65" s="112" t="s">
        <v>170</v>
      </c>
      <c r="E65" s="123">
        <f>'LCOS Solar + Degradation'!E9</f>
        <v>211.8725921052631</v>
      </c>
      <c r="F65" s="123">
        <f>'LCOS Solar + Degradation'!F9</f>
        <v>211.8725921052631</v>
      </c>
      <c r="G65" s="123">
        <f>'LCOS Solar + Degradation'!G9</f>
        <v>211.8725921052631</v>
      </c>
      <c r="H65" s="123">
        <f>'LCOS Solar + Degradation'!H9</f>
        <v>211.8725921052631</v>
      </c>
      <c r="I65" s="123">
        <f>'LCOS Solar + Degradation'!I9</f>
        <v>211.8725921052631</v>
      </c>
      <c r="J65" s="123">
        <f>'LCOS Solar + Degradation'!J9</f>
        <v>211.8725921052631</v>
      </c>
      <c r="K65" s="123">
        <f>'LCOS Solar + Degradation'!K9</f>
        <v>211.8725921052631</v>
      </c>
      <c r="L65" s="123">
        <f>'LCOS Solar + Degradation'!L9</f>
        <v>211.8725921052631</v>
      </c>
      <c r="M65" s="123">
        <f>'LCOS Solar + Degradation'!M9</f>
        <v>211.8725921052631</v>
      </c>
      <c r="N65" s="123">
        <f>'LCOS Solar + Degradation'!N9</f>
        <v>211.8725921052631</v>
      </c>
    </row>
    <row r="66" spans="2:14">
      <c r="B66" s="113" t="s">
        <v>185</v>
      </c>
      <c r="C66" s="113" t="s">
        <v>174</v>
      </c>
      <c r="D66" s="83"/>
      <c r="E66" s="120">
        <f t="shared" ref="E66:N66" si="14">(E7 / 10^3 - E65 - E62) * $D$59</f>
        <v>22157.320735362351</v>
      </c>
      <c r="F66" s="120">
        <f t="shared" si="14"/>
        <v>22334.165343122368</v>
      </c>
      <c r="G66" s="120">
        <f t="shared" si="14"/>
        <v>22506.588835688388</v>
      </c>
      <c r="H66" s="120">
        <f t="shared" si="14"/>
        <v>22674.701740940251</v>
      </c>
      <c r="I66" s="120">
        <f t="shared" si="14"/>
        <v>22838.611823560823</v>
      </c>
      <c r="J66" s="120">
        <f t="shared" si="14"/>
        <v>22998.424154115877</v>
      </c>
      <c r="K66" s="120">
        <f t="shared" si="14"/>
        <v>23154.241176407057</v>
      </c>
      <c r="L66" s="120">
        <f t="shared" si="14"/>
        <v>23306.162773140961</v>
      </c>
      <c r="M66" s="120">
        <f t="shared" si="14"/>
        <v>23454.286329956511</v>
      </c>
      <c r="N66" s="120">
        <f t="shared" si="14"/>
        <v>23598.706797851675</v>
      </c>
    </row>
    <row r="67" spans="2:14">
      <c r="B67" s="113"/>
      <c r="C67" s="113"/>
      <c r="D67" s="83"/>
      <c r="E67" s="120"/>
      <c r="F67" s="120"/>
      <c r="G67" s="120"/>
      <c r="H67" s="120"/>
      <c r="I67" s="120"/>
      <c r="J67" s="120"/>
      <c r="K67" s="120"/>
      <c r="L67" s="120"/>
      <c r="M67" s="120"/>
      <c r="N67" s="120"/>
    </row>
    <row r="68" spans="2:14">
      <c r="B68" s="15" t="s">
        <v>270</v>
      </c>
      <c r="E68" s="120"/>
      <c r="F68" s="120"/>
      <c r="G68" s="120"/>
      <c r="H68" s="120"/>
      <c r="I68" s="120"/>
      <c r="J68" s="120"/>
      <c r="K68" s="120"/>
      <c r="L68" s="120"/>
      <c r="M68" s="120"/>
      <c r="N68" s="120"/>
    </row>
    <row r="69" spans="2:14">
      <c r="B69" s="112" t="s">
        <v>151</v>
      </c>
      <c r="C69" s="112" t="s">
        <v>171</v>
      </c>
      <c r="D69" s="85">
        <f>D59</f>
        <v>16.20235074188761</v>
      </c>
      <c r="E69" s="120"/>
      <c r="F69" s="120"/>
      <c r="G69" s="120"/>
      <c r="H69" s="120"/>
      <c r="I69" s="120"/>
      <c r="J69" s="120"/>
      <c r="K69" s="120"/>
      <c r="L69" s="120"/>
      <c r="M69" s="120"/>
      <c r="N69" s="120"/>
    </row>
    <row r="70" spans="2:14">
      <c r="B70" s="13" t="s">
        <v>194</v>
      </c>
      <c r="C70" s="113" t="s">
        <v>174</v>
      </c>
      <c r="D70" s="13"/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</row>
    <row r="71" spans="2:14">
      <c r="B71" s="114" t="s">
        <v>237</v>
      </c>
      <c r="C71" s="112" t="s">
        <v>196</v>
      </c>
      <c r="E71" s="122">
        <f>E61</f>
        <v>138.22</v>
      </c>
      <c r="F71" s="122">
        <f t="shared" ref="F71:N71" si="15">F61</f>
        <v>138.22</v>
      </c>
      <c r="G71" s="122">
        <f t="shared" si="15"/>
        <v>138.22</v>
      </c>
      <c r="H71" s="122">
        <f t="shared" si="15"/>
        <v>138.22</v>
      </c>
      <c r="I71" s="122">
        <f t="shared" si="15"/>
        <v>138.22</v>
      </c>
      <c r="J71" s="122">
        <f t="shared" si="15"/>
        <v>138.22</v>
      </c>
      <c r="K71" s="122">
        <f t="shared" si="15"/>
        <v>138.22</v>
      </c>
      <c r="L71" s="122">
        <f t="shared" si="15"/>
        <v>138.22</v>
      </c>
      <c r="M71" s="122">
        <f t="shared" si="15"/>
        <v>138.22</v>
      </c>
      <c r="N71" s="122">
        <f t="shared" si="15"/>
        <v>138.22</v>
      </c>
    </row>
    <row r="72" spans="2:14">
      <c r="B72" s="114" t="s">
        <v>197</v>
      </c>
      <c r="C72" s="112" t="s">
        <v>170</v>
      </c>
      <c r="E72" s="122">
        <f>'Model Initial - Battery Lazard'!E38</f>
        <v>436.59000000000003</v>
      </c>
      <c r="F72" s="122">
        <f>'Model Initial - Battery Lazard'!F38</f>
        <v>425.67525000000001</v>
      </c>
      <c r="G72" s="122">
        <f>'Model Initial - Battery Lazard'!G38</f>
        <v>415.03336875000002</v>
      </c>
      <c r="H72" s="122">
        <f>'Model Initial - Battery Lazard'!H38</f>
        <v>404.65753453125001</v>
      </c>
      <c r="I72" s="122">
        <f>'Model Initial - Battery Lazard'!I38</f>
        <v>394.5410961679687</v>
      </c>
      <c r="J72" s="122">
        <f>'Model Initial - Battery Lazard'!J38</f>
        <v>384.67756876376956</v>
      </c>
      <c r="K72" s="122">
        <f>'Model Initial - Battery Lazard'!K38</f>
        <v>375.06062954467529</v>
      </c>
      <c r="L72" s="122">
        <f>'Model Initial - Battery Lazard'!L38</f>
        <v>365.68411380605835</v>
      </c>
      <c r="M72" s="122">
        <f>'Model Initial - Battery Lazard'!M38</f>
        <v>356.54201096090691</v>
      </c>
      <c r="N72" s="122">
        <f>'Model Initial - Battery Lazard'!N38</f>
        <v>347.62846068688424</v>
      </c>
    </row>
    <row r="73" spans="2:14">
      <c r="B73" s="13" t="s">
        <v>195</v>
      </c>
      <c r="C73" s="113" t="s">
        <v>174</v>
      </c>
      <c r="D73" s="13"/>
      <c r="E73" s="120">
        <f>-E74*E75</f>
        <v>-29285.029680789467</v>
      </c>
      <c r="F73" s="120">
        <f t="shared" ref="F73:N73" si="16">-F74*F75</f>
        <v>-29285.029680789467</v>
      </c>
      <c r="G73" s="120">
        <f t="shared" si="16"/>
        <v>-29285.029680789467</v>
      </c>
      <c r="H73" s="120">
        <f t="shared" si="16"/>
        <v>-29285.029680789467</v>
      </c>
      <c r="I73" s="120">
        <f t="shared" si="16"/>
        <v>-29285.029680789467</v>
      </c>
      <c r="J73" s="120">
        <f t="shared" si="16"/>
        <v>-29285.029680789467</v>
      </c>
      <c r="K73" s="120">
        <f t="shared" si="16"/>
        <v>-29285.029680789467</v>
      </c>
      <c r="L73" s="120">
        <f t="shared" si="16"/>
        <v>-29285.029680789467</v>
      </c>
      <c r="M73" s="120">
        <f t="shared" si="16"/>
        <v>-29285.029680789467</v>
      </c>
      <c r="N73" s="120">
        <f t="shared" si="16"/>
        <v>-29285.029680789467</v>
      </c>
    </row>
    <row r="74" spans="2:14">
      <c r="B74" s="114" t="s">
        <v>236</v>
      </c>
      <c r="C74" s="112" t="s">
        <v>196</v>
      </c>
      <c r="E74" s="122">
        <f>E64</f>
        <v>138.22</v>
      </c>
      <c r="F74" s="122">
        <f t="shared" ref="F74:N74" si="17">F64</f>
        <v>138.22</v>
      </c>
      <c r="G74" s="122">
        <f t="shared" si="17"/>
        <v>138.22</v>
      </c>
      <c r="H74" s="122">
        <f t="shared" si="17"/>
        <v>138.22</v>
      </c>
      <c r="I74" s="122">
        <f t="shared" si="17"/>
        <v>138.22</v>
      </c>
      <c r="J74" s="122">
        <f t="shared" si="17"/>
        <v>138.22</v>
      </c>
      <c r="K74" s="122">
        <f t="shared" si="17"/>
        <v>138.22</v>
      </c>
      <c r="L74" s="122">
        <f t="shared" si="17"/>
        <v>138.22</v>
      </c>
      <c r="M74" s="122">
        <f t="shared" si="17"/>
        <v>138.22</v>
      </c>
      <c r="N74" s="122">
        <f t="shared" si="17"/>
        <v>138.22</v>
      </c>
    </row>
    <row r="75" spans="2:14">
      <c r="B75" s="114" t="s">
        <v>198</v>
      </c>
      <c r="C75" s="112" t="s">
        <v>170</v>
      </c>
      <c r="E75" s="122">
        <f>'LCOS Solar + Degradation'!E9</f>
        <v>211.8725921052631</v>
      </c>
      <c r="F75" s="122">
        <f>'LCOS Solar + Degradation'!F9</f>
        <v>211.8725921052631</v>
      </c>
      <c r="G75" s="122">
        <f>'LCOS Solar + Degradation'!G9</f>
        <v>211.8725921052631</v>
      </c>
      <c r="H75" s="122">
        <f>'LCOS Solar + Degradation'!H9</f>
        <v>211.8725921052631</v>
      </c>
      <c r="I75" s="122">
        <f>'LCOS Solar + Degradation'!I9</f>
        <v>211.8725921052631</v>
      </c>
      <c r="J75" s="122">
        <f>'LCOS Solar + Degradation'!J9</f>
        <v>211.8725921052631</v>
      </c>
      <c r="K75" s="122">
        <f>'LCOS Solar + Degradation'!K9</f>
        <v>211.8725921052631</v>
      </c>
      <c r="L75" s="122">
        <f>'LCOS Solar + Degradation'!L9</f>
        <v>211.8725921052631</v>
      </c>
      <c r="M75" s="122">
        <f>'LCOS Solar + Degradation'!M9</f>
        <v>211.8725921052631</v>
      </c>
      <c r="N75" s="122">
        <f>'LCOS Solar + Degradation'!N9</f>
        <v>211.8725921052631</v>
      </c>
    </row>
    <row r="76" spans="2:14">
      <c r="B76" s="113" t="s">
        <v>185</v>
      </c>
      <c r="C76" s="113" t="s">
        <v>174</v>
      </c>
      <c r="D76" s="83"/>
      <c r="E76" s="120">
        <f t="shared" ref="E76:N76" si="18">(E7 / 10^3 - E72 ) * $D$69 + E73</f>
        <v>-3694.8748955447591</v>
      </c>
      <c r="F76" s="120">
        <f t="shared" si="18"/>
        <v>-3518.0302877847389</v>
      </c>
      <c r="G76" s="120">
        <f t="shared" si="18"/>
        <v>-3345.6067952187223</v>
      </c>
      <c r="H76" s="120">
        <f t="shared" si="18"/>
        <v>-3177.4938899668523</v>
      </c>
      <c r="I76" s="120">
        <f t="shared" si="18"/>
        <v>-3013.5838073462801</v>
      </c>
      <c r="J76" s="120">
        <f t="shared" si="18"/>
        <v>-2853.7714767912294</v>
      </c>
      <c r="K76" s="120">
        <f t="shared" si="18"/>
        <v>-2697.9544545000499</v>
      </c>
      <c r="L76" s="120">
        <f t="shared" si="18"/>
        <v>-2546.0328577661458</v>
      </c>
      <c r="M76" s="120">
        <f t="shared" si="18"/>
        <v>-2397.9093009505959</v>
      </c>
      <c r="N76" s="120">
        <f t="shared" si="18"/>
        <v>-2253.4888330554313</v>
      </c>
    </row>
    <row r="77" spans="2:14">
      <c r="B77" s="113"/>
      <c r="C77" s="113"/>
      <c r="D77" s="83"/>
      <c r="E77" s="120"/>
      <c r="F77" s="120"/>
      <c r="G77" s="120"/>
      <c r="H77" s="120"/>
      <c r="I77" s="120"/>
      <c r="J77" s="120"/>
      <c r="K77" s="120"/>
      <c r="L77" s="120"/>
      <c r="M77" s="120"/>
      <c r="N77" s="120"/>
    </row>
    <row r="78" spans="2:14">
      <c r="B78" s="15" t="s">
        <v>271</v>
      </c>
      <c r="E78" s="120"/>
      <c r="F78" s="120"/>
      <c r="G78" s="120"/>
      <c r="H78" s="120"/>
      <c r="I78" s="120"/>
      <c r="J78" s="120"/>
      <c r="K78" s="120"/>
      <c r="L78" s="120"/>
      <c r="M78" s="120"/>
      <c r="N78" s="120"/>
    </row>
    <row r="79" spans="2:14">
      <c r="B79" s="112" t="s">
        <v>151</v>
      </c>
      <c r="C79" s="112" t="s">
        <v>171</v>
      </c>
      <c r="D79" s="85">
        <f>D69</f>
        <v>16.20235074188761</v>
      </c>
      <c r="E79" s="120"/>
      <c r="F79" s="120"/>
      <c r="G79" s="120"/>
      <c r="H79" s="120"/>
      <c r="I79" s="120"/>
      <c r="J79" s="120"/>
      <c r="K79" s="120"/>
      <c r="L79" s="120"/>
      <c r="M79" s="120"/>
      <c r="N79" s="120"/>
    </row>
    <row r="80" spans="2:14">
      <c r="B80" s="13" t="s">
        <v>194</v>
      </c>
      <c r="C80" s="113" t="s">
        <v>174</v>
      </c>
      <c r="D80" s="13"/>
      <c r="E80" s="120">
        <f>-E81 * E82</f>
        <v>-60345.469800000006</v>
      </c>
      <c r="F80" s="120">
        <f t="shared" ref="F80:N80" si="19">-F81 * F82</f>
        <v>-58836.833055000003</v>
      </c>
      <c r="G80" s="120">
        <f t="shared" si="19"/>
        <v>-57365.912228625006</v>
      </c>
      <c r="H80" s="120">
        <f t="shared" si="19"/>
        <v>-55931.764422909378</v>
      </c>
      <c r="I80" s="120">
        <f t="shared" si="19"/>
        <v>-54533.470312336634</v>
      </c>
      <c r="J80" s="120">
        <f t="shared" si="19"/>
        <v>-53170.133554528227</v>
      </c>
      <c r="K80" s="120">
        <f t="shared" si="19"/>
        <v>-51840.88021566502</v>
      </c>
      <c r="L80" s="120">
        <f t="shared" si="19"/>
        <v>-50544.858210273385</v>
      </c>
      <c r="M80" s="120">
        <f t="shared" si="19"/>
        <v>-49281.236755016551</v>
      </c>
      <c r="N80" s="120">
        <f t="shared" si="19"/>
        <v>-48049.20583614114</v>
      </c>
    </row>
    <row r="81" spans="2:14">
      <c r="B81" s="114" t="s">
        <v>237</v>
      </c>
      <c r="C81" s="112" t="s">
        <v>196</v>
      </c>
      <c r="E81" s="122">
        <f>E71</f>
        <v>138.22</v>
      </c>
      <c r="F81" s="122">
        <f t="shared" ref="F81:N81" si="20">F71</f>
        <v>138.22</v>
      </c>
      <c r="G81" s="122">
        <f t="shared" si="20"/>
        <v>138.22</v>
      </c>
      <c r="H81" s="122">
        <f t="shared" si="20"/>
        <v>138.22</v>
      </c>
      <c r="I81" s="122">
        <f t="shared" si="20"/>
        <v>138.22</v>
      </c>
      <c r="J81" s="122">
        <f t="shared" si="20"/>
        <v>138.22</v>
      </c>
      <c r="K81" s="122">
        <f t="shared" si="20"/>
        <v>138.22</v>
      </c>
      <c r="L81" s="122">
        <f t="shared" si="20"/>
        <v>138.22</v>
      </c>
      <c r="M81" s="122">
        <f t="shared" si="20"/>
        <v>138.22</v>
      </c>
      <c r="N81" s="122">
        <f t="shared" si="20"/>
        <v>138.22</v>
      </c>
    </row>
    <row r="82" spans="2:14">
      <c r="B82" s="114" t="s">
        <v>197</v>
      </c>
      <c r="C82" s="112" t="s">
        <v>170</v>
      </c>
      <c r="E82" s="122">
        <f>'Model Initial - Battery Lazard'!E38</f>
        <v>436.59000000000003</v>
      </c>
      <c r="F82" s="122">
        <f>'Model Initial - Battery Lazard'!F38</f>
        <v>425.67525000000001</v>
      </c>
      <c r="G82" s="122">
        <f>'Model Initial - Battery Lazard'!G38</f>
        <v>415.03336875000002</v>
      </c>
      <c r="H82" s="122">
        <f>'Model Initial - Battery Lazard'!H38</f>
        <v>404.65753453125001</v>
      </c>
      <c r="I82" s="122">
        <f>'Model Initial - Battery Lazard'!I38</f>
        <v>394.5410961679687</v>
      </c>
      <c r="J82" s="122">
        <f>'Model Initial - Battery Lazard'!J38</f>
        <v>384.67756876376956</v>
      </c>
      <c r="K82" s="122">
        <f>'Model Initial - Battery Lazard'!K38</f>
        <v>375.06062954467529</v>
      </c>
      <c r="L82" s="122">
        <f>'Model Initial - Battery Lazard'!L38</f>
        <v>365.68411380605835</v>
      </c>
      <c r="M82" s="122">
        <f>'Model Initial - Battery Lazard'!M38</f>
        <v>356.54201096090691</v>
      </c>
      <c r="N82" s="122">
        <f>'Model Initial - Battery Lazard'!N38</f>
        <v>347.62846068688424</v>
      </c>
    </row>
    <row r="83" spans="2:14">
      <c r="B83" s="13" t="s">
        <v>195</v>
      </c>
      <c r="C83" s="113" t="s">
        <v>174</v>
      </c>
      <c r="D83" s="13"/>
      <c r="E83" s="167">
        <v>0</v>
      </c>
      <c r="F83" s="167">
        <v>0</v>
      </c>
      <c r="G83" s="167">
        <v>0</v>
      </c>
      <c r="H83" s="167">
        <v>0</v>
      </c>
      <c r="I83" s="167">
        <v>0</v>
      </c>
      <c r="J83" s="167">
        <v>0</v>
      </c>
      <c r="K83" s="167">
        <v>0</v>
      </c>
      <c r="L83" s="167">
        <v>0</v>
      </c>
      <c r="M83" s="167">
        <v>0</v>
      </c>
      <c r="N83" s="167">
        <v>0</v>
      </c>
    </row>
    <row r="84" spans="2:14">
      <c r="B84" s="114" t="s">
        <v>236</v>
      </c>
      <c r="C84" s="112" t="s">
        <v>196</v>
      </c>
      <c r="E84" s="122">
        <f>E74</f>
        <v>138.22</v>
      </c>
      <c r="F84" s="122">
        <f t="shared" ref="F84:N84" si="21">F74</f>
        <v>138.22</v>
      </c>
      <c r="G84" s="122">
        <f t="shared" si="21"/>
        <v>138.22</v>
      </c>
      <c r="H84" s="122">
        <f t="shared" si="21"/>
        <v>138.22</v>
      </c>
      <c r="I84" s="122">
        <f t="shared" si="21"/>
        <v>138.22</v>
      </c>
      <c r="J84" s="122">
        <f t="shared" si="21"/>
        <v>138.22</v>
      </c>
      <c r="K84" s="122">
        <f t="shared" si="21"/>
        <v>138.22</v>
      </c>
      <c r="L84" s="122">
        <f t="shared" si="21"/>
        <v>138.22</v>
      </c>
      <c r="M84" s="122">
        <f t="shared" si="21"/>
        <v>138.22</v>
      </c>
      <c r="N84" s="122">
        <f t="shared" si="21"/>
        <v>138.22</v>
      </c>
    </row>
    <row r="85" spans="2:14">
      <c r="B85" s="114" t="s">
        <v>198</v>
      </c>
      <c r="C85" s="112" t="s">
        <v>170</v>
      </c>
      <c r="E85" s="122">
        <f>'LCOS Solar + Degradation'!E9</f>
        <v>211.8725921052631</v>
      </c>
      <c r="F85" s="122">
        <f>'LCOS Solar + Degradation'!F9</f>
        <v>211.8725921052631</v>
      </c>
      <c r="G85" s="122">
        <f>'LCOS Solar + Degradation'!G9</f>
        <v>211.8725921052631</v>
      </c>
      <c r="H85" s="122">
        <f>'LCOS Solar + Degradation'!H9</f>
        <v>211.8725921052631</v>
      </c>
      <c r="I85" s="122">
        <f>'LCOS Solar + Degradation'!I9</f>
        <v>211.8725921052631</v>
      </c>
      <c r="J85" s="122">
        <f>'LCOS Solar + Degradation'!J9</f>
        <v>211.8725921052631</v>
      </c>
      <c r="K85" s="122">
        <f>'LCOS Solar + Degradation'!K9</f>
        <v>211.8725921052631</v>
      </c>
      <c r="L85" s="122">
        <f>'LCOS Solar + Degradation'!L9</f>
        <v>211.8725921052631</v>
      </c>
      <c r="M85" s="122">
        <f>'LCOS Solar + Degradation'!M9</f>
        <v>211.8725921052631</v>
      </c>
      <c r="N85" s="122">
        <f>'LCOS Solar + Degradation'!N9</f>
        <v>211.8725921052631</v>
      </c>
    </row>
    <row r="86" spans="2:14">
      <c r="B86" s="113" t="s">
        <v>185</v>
      </c>
      <c r="C86" s="113" t="s">
        <v>174</v>
      </c>
      <c r="D86" s="83"/>
      <c r="E86" s="120">
        <f t="shared" ref="E86:N86" si="22">(E7 / 10^3 - E85 ) * $D$79 +  E80</f>
        <v>-31114.364754236944</v>
      </c>
      <c r="F86" s="120">
        <f t="shared" si="22"/>
        <v>-29605.72800923694</v>
      </c>
      <c r="G86" s="120">
        <f t="shared" si="22"/>
        <v>-28134.807182861943</v>
      </c>
      <c r="H86" s="120">
        <f t="shared" si="22"/>
        <v>-26700.659377146316</v>
      </c>
      <c r="I86" s="120">
        <f t="shared" si="22"/>
        <v>-25302.365266573572</v>
      </c>
      <c r="J86" s="120">
        <f t="shared" si="22"/>
        <v>-23939.028508765165</v>
      </c>
      <c r="K86" s="120">
        <f t="shared" si="22"/>
        <v>-22609.775169901957</v>
      </c>
      <c r="L86" s="120">
        <f t="shared" si="22"/>
        <v>-21313.753164510323</v>
      </c>
      <c r="M86" s="120">
        <f t="shared" si="22"/>
        <v>-20050.131709253488</v>
      </c>
      <c r="N86" s="120">
        <f t="shared" si="22"/>
        <v>-18818.100790378077</v>
      </c>
    </row>
    <row r="87" spans="2:14">
      <c r="B87" s="13"/>
      <c r="E87" s="23"/>
      <c r="F87" s="23"/>
      <c r="G87" s="23"/>
      <c r="H87" s="23"/>
      <c r="I87" s="23"/>
      <c r="J87" s="23"/>
      <c r="K87" s="23"/>
      <c r="L87" s="23"/>
      <c r="M87" s="23"/>
      <c r="N87" s="23"/>
    </row>
    <row r="88" spans="2:14" s="13" customFormat="1">
      <c r="B88" s="13" t="s">
        <v>152</v>
      </c>
      <c r="C88" s="13" t="s">
        <v>167</v>
      </c>
      <c r="D88" s="86">
        <v>0.01</v>
      </c>
      <c r="E88" s="87">
        <f>$D$88 * $D$134 * (1+$D$89)</f>
        <v>5504.5</v>
      </c>
      <c r="F88" s="87">
        <f>E88 * (1+$D$89)</f>
        <v>5559.5450000000001</v>
      </c>
      <c r="G88" s="87">
        <f t="shared" ref="G88:N88" si="23">F88 * (1+$D$89)</f>
        <v>5615.1404499999999</v>
      </c>
      <c r="H88" s="87">
        <f t="shared" si="23"/>
        <v>5671.2918545000002</v>
      </c>
      <c r="I88" s="87">
        <f t="shared" si="23"/>
        <v>5728.0047730450005</v>
      </c>
      <c r="J88" s="87">
        <f t="shared" si="23"/>
        <v>5785.2848207754505</v>
      </c>
      <c r="K88" s="87">
        <f t="shared" si="23"/>
        <v>5843.137668983205</v>
      </c>
      <c r="L88" s="87">
        <f t="shared" si="23"/>
        <v>5901.5690456730372</v>
      </c>
      <c r="M88" s="87">
        <f t="shared" si="23"/>
        <v>5960.5847361297674</v>
      </c>
      <c r="N88" s="87">
        <f t="shared" si="23"/>
        <v>6020.1905834910649</v>
      </c>
    </row>
    <row r="89" spans="2:14">
      <c r="B89" t="s">
        <v>153</v>
      </c>
      <c r="C89" t="s">
        <v>167</v>
      </c>
      <c r="D89" s="80">
        <v>0.01</v>
      </c>
    </row>
    <row r="90" spans="2:14" s="13" customFormat="1">
      <c r="B90" s="13" t="s">
        <v>154</v>
      </c>
      <c r="C90" s="13" t="s">
        <v>167</v>
      </c>
      <c r="D90" s="86">
        <v>1.4999999999999999E-2</v>
      </c>
      <c r="E90" s="83">
        <f>$D$90 * $D$134 * (1+$D$91)</f>
        <v>8358.9375</v>
      </c>
      <c r="F90" s="83">
        <f>E90 * (1+$D$91)</f>
        <v>8547.0135937499999</v>
      </c>
      <c r="G90" s="83">
        <f t="shared" ref="G90:N90" si="24">F90 * (1+$D$91)</f>
        <v>8739.3213996093746</v>
      </c>
      <c r="H90" s="83">
        <f t="shared" si="24"/>
        <v>8935.9561311005855</v>
      </c>
      <c r="I90" s="83">
        <f t="shared" si="24"/>
        <v>9137.0151440503487</v>
      </c>
      <c r="J90" s="83">
        <f t="shared" si="24"/>
        <v>9342.5979847914805</v>
      </c>
      <c r="K90" s="83">
        <f t="shared" si="24"/>
        <v>9552.8064394492885</v>
      </c>
      <c r="L90" s="83">
        <f t="shared" si="24"/>
        <v>9767.7445843368969</v>
      </c>
      <c r="M90" s="83">
        <f t="shared" si="24"/>
        <v>9987.5188374844765</v>
      </c>
      <c r="N90" s="83">
        <f t="shared" si="24"/>
        <v>10212.238011327878</v>
      </c>
    </row>
    <row r="91" spans="2:14">
      <c r="B91" t="s">
        <v>155</v>
      </c>
      <c r="C91" t="s">
        <v>167</v>
      </c>
      <c r="D91" s="80">
        <v>2.2499999999999999E-2</v>
      </c>
    </row>
    <row r="92" spans="2:14" s="13" customFormat="1" ht="17" thickBot="1">
      <c r="B92" s="11" t="s">
        <v>187</v>
      </c>
      <c r="C92" s="11"/>
      <c r="D92" s="143"/>
      <c r="E92" s="146">
        <f>E33+E44+E88+E90-'Model Initial - Battery Lazard'!E42-'Model Initial - Battery Lazard'!E43+'LCOS Solar + Degradation'!E22</f>
        <v>-42180.216677644057</v>
      </c>
      <c r="F92" s="146">
        <f>F33+F44+F88+F90-'Model Initial - Battery Lazard'!F42-'Model Initial - Battery Lazard'!F43+'LCOS Solar + Degradation'!F22</f>
        <v>-40499.806154511236</v>
      </c>
      <c r="G92" s="146">
        <f>G33+G44+G88+G90-'Model Initial - Battery Lazard'!G42-'Model Initial - Battery Lazard'!G43+'LCOS Solar + Degradation'!G22</f>
        <v>-38854.519468893042</v>
      </c>
      <c r="H92" s="146">
        <f>H33+H44+H88+H90-'Model Initial - Battery Lazard'!H42-'Model Initial - Battery Lazard'!H43+'LCOS Solar + Degradation'!H22</f>
        <v>-37243.379138092292</v>
      </c>
      <c r="I92" s="146">
        <f>I33+I44+I88+I90-'Model Initial - Battery Lazard'!I42-'Model Initial - Battery Lazard'!I43+'LCOS Solar + Degradation'!I22</f>
        <v>-35665.43099161228</v>
      </c>
      <c r="J92" s="146">
        <f>J33+J44+J88+J90-'Model Initial - Battery Lazard'!J42-'Model Initial - Battery Lazard'!J43+'LCOS Solar + Degradation'!J22</f>
        <v>-34119.743588615529</v>
      </c>
      <c r="K92" s="146">
        <f>K33+K44+K88+K90-'Model Initial - Battery Lazard'!K42-'Model Initial - Battery Lazard'!K43+'LCOS Solar + Degradation'!K22</f>
        <v>-32605.407650590463</v>
      </c>
      <c r="L92" s="146">
        <f>L33+L44+L88+L90-'Model Initial - Battery Lazard'!L42-'Model Initial - Battery Lazard'!L43+'LCOS Solar + Degradation'!L22</f>
        <v>-31121.53550887735</v>
      </c>
      <c r="M92" s="146">
        <f>M33+M44+M88+M90-'Model Initial - Battery Lazard'!M42-'Model Initial - Battery Lazard'!M43+'LCOS Solar + Degradation'!M22</f>
        <v>-29667.260566713605</v>
      </c>
      <c r="N92" s="146">
        <f>N33+N44+N88+N90-'Model Initial - Battery Lazard'!N42-'Model Initial - Battery Lazard'!N43+'LCOS Solar + Degradation'!N22</f>
        <v>-28241.736775469068</v>
      </c>
    </row>
    <row r="93" spans="2:14" s="13" customFormat="1" ht="18" thickTop="1" thickBot="1">
      <c r="B93" s="11" t="s">
        <v>244</v>
      </c>
      <c r="C93" s="11"/>
      <c r="D93" s="143"/>
      <c r="E93" s="18">
        <f t="shared" ref="E93:N93" si="25">E30-E92</f>
        <v>82517.016677644046</v>
      </c>
      <c r="F93" s="18">
        <f t="shared" si="25"/>
        <v>80013.40615451122</v>
      </c>
      <c r="G93" s="18">
        <f t="shared" si="25"/>
        <v>77544.919468893029</v>
      </c>
      <c r="H93" s="18">
        <f t="shared" si="25"/>
        <v>75110.579138092275</v>
      </c>
      <c r="I93" s="18">
        <f t="shared" si="25"/>
        <v>72709.430991612258</v>
      </c>
      <c r="J93" s="18">
        <f t="shared" si="25"/>
        <v>70340.543588615517</v>
      </c>
      <c r="K93" s="18">
        <f t="shared" si="25"/>
        <v>68003.007650590444</v>
      </c>
      <c r="L93" s="18">
        <f t="shared" si="25"/>
        <v>65695.93550887733</v>
      </c>
      <c r="M93" s="18">
        <f t="shared" si="25"/>
        <v>63418.460566713591</v>
      </c>
      <c r="N93" s="18">
        <f t="shared" si="25"/>
        <v>61169.736775469049</v>
      </c>
    </row>
    <row r="94" spans="2:14" s="13" customFormat="1" ht="17" thickTop="1">
      <c r="B94" s="15" t="s">
        <v>246</v>
      </c>
      <c r="C94" s="13" t="s">
        <v>167</v>
      </c>
      <c r="D94" s="86"/>
      <c r="E94" s="115">
        <f t="shared" ref="E94:N94" si="26">E93 / E30</f>
        <v>2.0457006177397332</v>
      </c>
      <c r="F94" s="115">
        <f t="shared" si="26"/>
        <v>2.0249586510596669</v>
      </c>
      <c r="G94" s="115">
        <f t="shared" si="26"/>
        <v>2.0042418653953709</v>
      </c>
      <c r="H94" s="115">
        <f t="shared" si="26"/>
        <v>1.9835260895469511</v>
      </c>
      <c r="I94" s="115">
        <f t="shared" si="26"/>
        <v>1.9627856330745137</v>
      </c>
      <c r="J94" s="115">
        <f t="shared" si="26"/>
        <v>1.9419930975741988</v>
      </c>
      <c r="K94" s="115">
        <f t="shared" si="26"/>
        <v>1.9211191620502654</v>
      </c>
      <c r="L94" s="115">
        <f t="shared" si="26"/>
        <v>1.9001323380558262</v>
      </c>
      <c r="M94" s="115">
        <f t="shared" si="26"/>
        <v>1.8789986894307054</v>
      </c>
      <c r="N94" s="115">
        <f t="shared" si="26"/>
        <v>1.8576815104309121</v>
      </c>
    </row>
    <row r="95" spans="2:14" s="13" customFormat="1">
      <c r="B95" s="15" t="s">
        <v>247</v>
      </c>
      <c r="C95" s="13" t="s">
        <v>167</v>
      </c>
      <c r="D95" s="86"/>
      <c r="E95" s="145">
        <f t="shared" ref="E95:N95" si="27">(E30 - $D$48 * E7/10^3 - E33 - E88 -E90) / E30</f>
        <v>-0.17499717914275381</v>
      </c>
      <c r="F95" s="145">
        <f t="shared" si="27"/>
        <v>-0.20571882049206952</v>
      </c>
      <c r="G95" s="145">
        <f t="shared" si="27"/>
        <v>-0.23786192065841422</v>
      </c>
      <c r="H95" s="145">
        <f t="shared" si="27"/>
        <v>-0.27152130219755888</v>
      </c>
      <c r="I95" s="145">
        <f t="shared" si="27"/>
        <v>-0.30680025416654555</v>
      </c>
      <c r="J95" s="145">
        <f t="shared" si="27"/>
        <v>-0.34381149482680889</v>
      </c>
      <c r="K95" s="145">
        <f t="shared" si="27"/>
        <v>-0.38267826868468202</v>
      </c>
      <c r="L95" s="145">
        <f t="shared" si="27"/>
        <v>-0.42353560025881509</v>
      </c>
      <c r="M95" s="145">
        <f t="shared" si="27"/>
        <v>-0.46653173133272119</v>
      </c>
      <c r="N95" s="145">
        <f t="shared" si="27"/>
        <v>-0.51182977380228478</v>
      </c>
    </row>
    <row r="96" spans="2:14" s="13" customFormat="1">
      <c r="B96" t="s">
        <v>145</v>
      </c>
      <c r="C96" t="s">
        <v>174</v>
      </c>
      <c r="D96" s="86"/>
      <c r="E96" s="123">
        <f>IF(E1&lt;=6,-$D$117*AVERAGE('Model and Assumptions'!B$82:B$87),0)</f>
        <v>-123540.00000000001</v>
      </c>
      <c r="F96" s="123">
        <f>IF(F1&lt;=6,-$D$117*AVERAGE('Model and Assumptions'!C$82:C$87),0)</f>
        <v>-197664.00000000003</v>
      </c>
      <c r="G96" s="123">
        <f>IF(G1&lt;=6,-$D$117*AVERAGE('Model and Assumptions'!D$82:D$87),0)</f>
        <v>-118598.40000000001</v>
      </c>
      <c r="H96" s="123">
        <f>IF(H1&lt;=6,-$D$117*AVERAGE('Model and Assumptions'!E$82:E$87),0)</f>
        <v>-71035.500000000015</v>
      </c>
      <c r="I96" s="123">
        <f>IF(I1&lt;=6,-$D$117*AVERAGE('Model and Assumptions'!F$82:F$87),0)</f>
        <v>-71035.500000000015</v>
      </c>
      <c r="J96" s="123">
        <f>IF(J1&lt;=6,-$D$117*AVERAGE('Model and Assumptions'!G$82:G$87),0)</f>
        <v>-35826.600000000006</v>
      </c>
      <c r="K96" s="2">
        <f>IF(K1&lt;=6,-$D$117*AVERAGE('Model and Assumptions'!I$52:I$58),0)</f>
        <v>0</v>
      </c>
      <c r="L96" s="2">
        <f>IF(L1&lt;=6,-$D$117*AVERAGE('Model and Assumptions'!J$53:J$58),0)</f>
        <v>0</v>
      </c>
      <c r="M96" s="2">
        <f>IF(M1&lt;=6,-$D$117*AVERAGE('Model and Assumptions'!F$59:F$60),0)</f>
        <v>0</v>
      </c>
      <c r="N96" s="2">
        <f>IF(N1&lt;=6,-$D$117*AVERAGE('Model and Assumptions'!G$60:G$60),0)</f>
        <v>0</v>
      </c>
    </row>
    <row r="97" spans="2:14" s="13" customFormat="1">
      <c r="B97" t="s">
        <v>253</v>
      </c>
      <c r="C97" s="13" t="s">
        <v>174</v>
      </c>
      <c r="D97" s="86"/>
      <c r="E97" s="123">
        <f>'Debt rolling'!E8</f>
        <v>-19364.895000000004</v>
      </c>
      <c r="F97" s="123">
        <f>'Debt rolling'!F8</f>
        <v>-17326.485000000004</v>
      </c>
      <c r="G97" s="123">
        <f>'Debt rolling'!G8</f>
        <v>-15288.075000000004</v>
      </c>
      <c r="H97" s="123">
        <f>'Debt rolling'!H8</f>
        <v>-13249.665000000005</v>
      </c>
      <c r="I97" s="123">
        <f>'Debt rolling'!I8</f>
        <v>-11211.255000000005</v>
      </c>
      <c r="J97" s="123">
        <f>'Debt rolling'!J8</f>
        <v>-9172.8450000000048</v>
      </c>
      <c r="K97" s="123">
        <f>'Debt rolling'!K8</f>
        <v>-7134.435000000004</v>
      </c>
      <c r="L97" s="123">
        <f>'Debt rolling'!L8</f>
        <v>-5096.0250000000042</v>
      </c>
      <c r="M97" s="123">
        <f>'Debt rolling'!M8</f>
        <v>-3057.615000000003</v>
      </c>
      <c r="N97" s="123">
        <f>'Debt rolling'!N8</f>
        <v>-1019.2050000000027</v>
      </c>
    </row>
    <row r="98" spans="2:14" s="13" customFormat="1">
      <c r="B98" t="s">
        <v>249</v>
      </c>
      <c r="C98" t="s">
        <v>174</v>
      </c>
      <c r="D98" s="86"/>
      <c r="E98" s="73">
        <f>IF(SUM(E93,E96,E97)&gt;0,-SUM(E93,E96,E97)*$D$112,0)</f>
        <v>0</v>
      </c>
      <c r="F98" s="73">
        <f t="shared" ref="F98:N98" si="28">IF(SUM(F93,F96,F97)&gt;0,-SUM(F93,F96,F97)*$D$112,0)</f>
        <v>0</v>
      </c>
      <c r="G98" s="73">
        <f t="shared" si="28"/>
        <v>0</v>
      </c>
      <c r="H98" s="73">
        <f t="shared" si="28"/>
        <v>0</v>
      </c>
      <c r="I98" s="73">
        <f t="shared" si="28"/>
        <v>0</v>
      </c>
      <c r="J98" s="73">
        <f t="shared" si="28"/>
        <v>-5321.6307036092567</v>
      </c>
      <c r="K98" s="73">
        <f t="shared" si="28"/>
        <v>-12782.400256623992</v>
      </c>
      <c r="L98" s="73">
        <f t="shared" si="28"/>
        <v>-12725.981206864239</v>
      </c>
      <c r="M98" s="73">
        <f t="shared" si="28"/>
        <v>-12675.777569009853</v>
      </c>
      <c r="N98" s="73">
        <f t="shared" si="28"/>
        <v>-12631.611672848499</v>
      </c>
    </row>
    <row r="99" spans="2:14" s="13" customFormat="1" ht="17" thickBot="1">
      <c r="B99" s="11" t="s">
        <v>248</v>
      </c>
      <c r="C99" s="11" t="s">
        <v>174</v>
      </c>
      <c r="D99" s="143"/>
      <c r="E99" s="146">
        <f t="shared" ref="E99:N99" si="29">E93+E96+E97+E98</f>
        <v>-60387.878322355973</v>
      </c>
      <c r="F99" s="146">
        <f t="shared" si="29"/>
        <v>-134977.07884548881</v>
      </c>
      <c r="G99" s="146">
        <f t="shared" si="29"/>
        <v>-56341.555531106984</v>
      </c>
      <c r="H99" s="146">
        <f t="shared" si="29"/>
        <v>-9174.5858619077444</v>
      </c>
      <c r="I99" s="146">
        <f t="shared" si="29"/>
        <v>-9537.3240083877608</v>
      </c>
      <c r="J99" s="146">
        <f t="shared" si="29"/>
        <v>20019.467885006248</v>
      </c>
      <c r="K99" s="146">
        <f t="shared" si="29"/>
        <v>48086.172393966444</v>
      </c>
      <c r="L99" s="146">
        <f t="shared" si="29"/>
        <v>47873.929302013086</v>
      </c>
      <c r="M99" s="146">
        <f t="shared" si="29"/>
        <v>47685.067997703736</v>
      </c>
      <c r="N99" s="146">
        <f t="shared" si="29"/>
        <v>47518.920102620548</v>
      </c>
    </row>
    <row r="100" spans="2:14" s="13" customFormat="1" ht="17" thickTop="1">
      <c r="B100" s="15" t="s">
        <v>311</v>
      </c>
      <c r="C100" s="15" t="s">
        <v>174</v>
      </c>
      <c r="D100" s="86"/>
      <c r="E100" s="208">
        <f>-'Debt rolling'!E5</f>
        <v>-61770.000000000015</v>
      </c>
      <c r="F100" s="208">
        <f>-'Debt rolling'!F5</f>
        <v>-61770.000000000015</v>
      </c>
      <c r="G100" s="208">
        <f>-'Debt rolling'!G5</f>
        <v>-61770.000000000015</v>
      </c>
      <c r="H100" s="208">
        <f>-'Debt rolling'!H5</f>
        <v>-61770.000000000015</v>
      </c>
      <c r="I100" s="208">
        <f>-'Debt rolling'!I5</f>
        <v>-61770.000000000015</v>
      </c>
      <c r="J100" s="208">
        <f>-'Debt rolling'!J5</f>
        <v>-61770.000000000015</v>
      </c>
      <c r="K100" s="208">
        <f>-'Debt rolling'!K5</f>
        <v>-61770.000000000015</v>
      </c>
      <c r="L100" s="208">
        <f>-'Debt rolling'!L5</f>
        <v>-61770.000000000015</v>
      </c>
      <c r="M100" s="208">
        <f>-'Debt rolling'!M5</f>
        <v>-61770.000000000015</v>
      </c>
      <c r="N100" s="208">
        <f>-'Debt rolling'!N5</f>
        <v>-61770.000000000015</v>
      </c>
    </row>
    <row r="101" spans="2:14" s="13" customFormat="1">
      <c r="B101" s="15" t="s">
        <v>17</v>
      </c>
      <c r="C101" s="15" t="s">
        <v>174</v>
      </c>
      <c r="D101" s="86"/>
      <c r="E101" s="151">
        <f t="shared" ref="E101:N101" si="30">-E96 * $D$112</f>
        <v>25943.4</v>
      </c>
      <c r="F101" s="151">
        <f t="shared" si="30"/>
        <v>41509.440000000002</v>
      </c>
      <c r="G101" s="151">
        <f t="shared" si="30"/>
        <v>24905.664000000001</v>
      </c>
      <c r="H101" s="151">
        <f t="shared" si="30"/>
        <v>14917.455000000002</v>
      </c>
      <c r="I101" s="151">
        <f t="shared" si="30"/>
        <v>14917.455000000002</v>
      </c>
      <c r="J101" s="151">
        <f t="shared" si="30"/>
        <v>7523.5860000000011</v>
      </c>
      <c r="K101" s="151">
        <f t="shared" si="30"/>
        <v>0</v>
      </c>
      <c r="L101" s="151">
        <f t="shared" si="30"/>
        <v>0</v>
      </c>
      <c r="M101" s="151">
        <f t="shared" si="30"/>
        <v>0</v>
      </c>
      <c r="N101" s="151">
        <f t="shared" si="30"/>
        <v>0</v>
      </c>
    </row>
    <row r="102" spans="2:14" s="13" customFormat="1" ht="17" thickBot="1">
      <c r="B102" s="11" t="s">
        <v>260</v>
      </c>
      <c r="C102" s="11"/>
      <c r="D102" s="143"/>
      <c r="E102" s="18">
        <f>E99-E96</f>
        <v>63152.121677644041</v>
      </c>
      <c r="F102" s="18">
        <f t="shared" ref="F102:N102" si="31">F99-F96</f>
        <v>62686.921154511219</v>
      </c>
      <c r="G102" s="18">
        <f t="shared" si="31"/>
        <v>62256.844468893025</v>
      </c>
      <c r="H102" s="18">
        <f t="shared" si="31"/>
        <v>61860.914138092267</v>
      </c>
      <c r="I102" s="18">
        <f t="shared" si="31"/>
        <v>61498.175991612254</v>
      </c>
      <c r="J102" s="18">
        <f t="shared" si="31"/>
        <v>55846.067885006254</v>
      </c>
      <c r="K102" s="18">
        <f t="shared" si="31"/>
        <v>48086.172393966444</v>
      </c>
      <c r="L102" s="18">
        <f t="shared" si="31"/>
        <v>47873.929302013086</v>
      </c>
      <c r="M102" s="18">
        <f t="shared" si="31"/>
        <v>47685.067997703736</v>
      </c>
      <c r="N102" s="18">
        <f t="shared" si="31"/>
        <v>47518.920102620548</v>
      </c>
    </row>
    <row r="103" spans="2:14" s="13" customFormat="1" ht="17" thickTop="1">
      <c r="D103" s="86"/>
      <c r="E103" s="23"/>
      <c r="F103" s="23"/>
      <c r="G103" s="23"/>
      <c r="H103" s="23"/>
      <c r="I103" s="23"/>
      <c r="J103" s="23"/>
      <c r="K103" s="23"/>
      <c r="L103" s="23"/>
      <c r="M103" s="23"/>
      <c r="N103" s="23"/>
    </row>
    <row r="104" spans="2:14" s="13" customFormat="1">
      <c r="B104" s="13" t="s">
        <v>250</v>
      </c>
      <c r="C104" s="13" t="s">
        <v>174</v>
      </c>
      <c r="D104" s="124">
        <f>SUM(E104:N104)</f>
        <v>-382416.10130640527</v>
      </c>
      <c r="E104" s="120">
        <f t="shared" ref="E104:N104" si="32">SUM(E99:E101) / (1+$D$113)^E$1</f>
        <v>-85905.784216389264</v>
      </c>
      <c r="F104" s="120">
        <f t="shared" si="32"/>
        <v>-123754.49525310013</v>
      </c>
      <c r="G104" s="120">
        <f t="shared" si="32"/>
        <v>-66342.112571681238</v>
      </c>
      <c r="H104" s="120">
        <f t="shared" si="32"/>
        <v>-35606.254543895629</v>
      </c>
      <c r="I104" s="120">
        <f t="shared" si="32"/>
        <v>-31997.126065813158</v>
      </c>
      <c r="J104" s="120">
        <f t="shared" si="32"/>
        <v>-17340.436084715031</v>
      </c>
      <c r="K104" s="120">
        <f t="shared" si="32"/>
        <v>-6189.8686803946066</v>
      </c>
      <c r="L104" s="120">
        <f t="shared" si="32"/>
        <v>-5612.3898897324852</v>
      </c>
      <c r="M104" s="120">
        <f t="shared" si="32"/>
        <v>-5079.1676812119103</v>
      </c>
      <c r="N104" s="120">
        <f t="shared" si="32"/>
        <v>-4588.4663194718705</v>
      </c>
    </row>
    <row r="105" spans="2:14" s="13" customFormat="1">
      <c r="B105" s="13" t="s">
        <v>258</v>
      </c>
      <c r="C105" s="13" t="s">
        <v>174</v>
      </c>
      <c r="D105" s="124">
        <f>SUM(E105:N105)</f>
        <v>73482.664670581406</v>
      </c>
      <c r="E105" s="120">
        <f t="shared" ref="E105:N105" si="33">SUM(E100:E102) / (1+$D$113)^E$1</f>
        <v>24397.787212182167</v>
      </c>
      <c r="F105" s="120">
        <f t="shared" si="33"/>
        <v>33822.035359144771</v>
      </c>
      <c r="G105" s="120">
        <f t="shared" si="33"/>
        <v>18073.885970592804</v>
      </c>
      <c r="H105" s="120">
        <f t="shared" si="33"/>
        <v>9538.089914630762</v>
      </c>
      <c r="I105" s="120">
        <f t="shared" si="33"/>
        <v>8310.3243435854038</v>
      </c>
      <c r="J105" s="120">
        <f t="shared" si="33"/>
        <v>810.43444125636938</v>
      </c>
      <c r="K105" s="120">
        <f t="shared" si="33"/>
        <v>-6189.8686803946066</v>
      </c>
      <c r="L105" s="120">
        <f t="shared" si="33"/>
        <v>-5612.3898897324852</v>
      </c>
      <c r="M105" s="120">
        <f t="shared" si="33"/>
        <v>-5079.1676812119103</v>
      </c>
      <c r="N105" s="120">
        <f t="shared" si="33"/>
        <v>-4588.4663194718705</v>
      </c>
    </row>
    <row r="106" spans="2:14" s="13" customFormat="1">
      <c r="D106" s="86"/>
      <c r="E106" s="23"/>
      <c r="F106" s="23"/>
      <c r="G106" s="23"/>
      <c r="H106" s="23"/>
      <c r="I106" s="23"/>
      <c r="J106" s="23"/>
      <c r="K106" s="23"/>
      <c r="L106" s="23"/>
      <c r="M106" s="23"/>
      <c r="N106" s="23"/>
    </row>
    <row r="107" spans="2:14">
      <c r="B107" s="19" t="s">
        <v>156</v>
      </c>
      <c r="C107" s="19"/>
    </row>
    <row r="108" spans="2:14">
      <c r="B108" t="s">
        <v>157</v>
      </c>
      <c r="C108" t="s">
        <v>167</v>
      </c>
      <c r="D108" s="100">
        <v>0</v>
      </c>
    </row>
    <row r="109" spans="2:14">
      <c r="B109" t="s">
        <v>158</v>
      </c>
      <c r="C109" t="s">
        <v>167</v>
      </c>
      <c r="D109" s="29">
        <v>0</v>
      </c>
    </row>
    <row r="110" spans="2:14">
      <c r="B110" t="s">
        <v>35</v>
      </c>
      <c r="C110" t="s">
        <v>167</v>
      </c>
      <c r="D110" s="100">
        <f>IF(D108=0,1,1-D108)</f>
        <v>1</v>
      </c>
    </row>
    <row r="111" spans="2:14">
      <c r="B111" t="s">
        <v>37</v>
      </c>
      <c r="C111" t="s">
        <v>167</v>
      </c>
      <c r="D111" s="100">
        <v>0.12</v>
      </c>
    </row>
    <row r="112" spans="2:14">
      <c r="B112" t="s">
        <v>39</v>
      </c>
      <c r="C112" t="s">
        <v>167</v>
      </c>
      <c r="D112" s="100">
        <v>0.21</v>
      </c>
    </row>
    <row r="113" spans="2:14">
      <c r="B113" s="13" t="s">
        <v>38</v>
      </c>
      <c r="C113" t="s">
        <v>167</v>
      </c>
      <c r="D113" s="80">
        <f>D108 * (1 - D112) * D109 + D110 * D111</f>
        <v>0.12</v>
      </c>
    </row>
    <row r="114" spans="2:14">
      <c r="B114" s="13"/>
      <c r="D114" s="80"/>
    </row>
    <row r="115" spans="2:14">
      <c r="B115" s="13" t="s">
        <v>275</v>
      </c>
      <c r="D115" s="80">
        <v>3.3000000000000002E-2</v>
      </c>
      <c r="E115" s="198" t="s">
        <v>306</v>
      </c>
    </row>
    <row r="117" spans="2:14">
      <c r="B117" s="13" t="s">
        <v>146</v>
      </c>
      <c r="C117" s="13"/>
      <c r="D117" s="23">
        <f>D142</f>
        <v>617700.00000000012</v>
      </c>
      <c r="E117" s="5"/>
    </row>
    <row r="118" spans="2:14">
      <c r="B118" s="13" t="s">
        <v>232</v>
      </c>
      <c r="C118" s="13"/>
      <c r="D118" s="23">
        <f>D140</f>
        <v>2059000</v>
      </c>
    </row>
    <row r="119" spans="2:14">
      <c r="B119" s="13" t="s">
        <v>302</v>
      </c>
      <c r="C119" s="13"/>
      <c r="D119" s="23">
        <f>-SUM(E119:N119)</f>
        <v>417144.11487540934</v>
      </c>
      <c r="E119" s="123">
        <f t="shared" ref="E119:N119" si="34">(E97+E100) / (1 + $D$113) ^ E1</f>
        <v>-72441.87053571429</v>
      </c>
      <c r="F119" s="123">
        <f t="shared" si="34"/>
        <v>-63055.233577806124</v>
      </c>
      <c r="G119" s="123">
        <f t="shared" si="34"/>
        <v>-54848.415719524412</v>
      </c>
      <c r="H119" s="123">
        <f t="shared" si="34"/>
        <v>-47676.353343374183</v>
      </c>
      <c r="I119" s="123">
        <f t="shared" si="34"/>
        <v>-41411.524051047309</v>
      </c>
      <c r="J119" s="123">
        <f t="shared" si="34"/>
        <v>-35941.853101858884</v>
      </c>
      <c r="K119" s="123">
        <f t="shared" si="34"/>
        <v>-31168.867105481982</v>
      </c>
      <c r="L119" s="123">
        <f t="shared" si="34"/>
        <v>-27006.066019149206</v>
      </c>
      <c r="M119" s="123">
        <f t="shared" si="34"/>
        <v>-23377.487864646228</v>
      </c>
      <c r="N119" s="123">
        <f t="shared" si="34"/>
        <v>-20216.443556806717</v>
      </c>
    </row>
    <row r="120" spans="2:14">
      <c r="B120" s="13" t="s">
        <v>189</v>
      </c>
      <c r="C120" s="13"/>
      <c r="D120" s="101">
        <f>SUM(E120:N120)</f>
        <v>-205905.36456778285</v>
      </c>
      <c r="E120" s="102">
        <f t="shared" ref="E120:N120" si="35">E$92 / (1+$D$113)^E$1</f>
        <v>-37660.907747896475</v>
      </c>
      <c r="F120" s="102">
        <f t="shared" si="35"/>
        <v>-32286.19750837949</v>
      </c>
      <c r="G120" s="102">
        <f t="shared" si="35"/>
        <v>-27655.879496239686</v>
      </c>
      <c r="H120" s="102">
        <f t="shared" si="35"/>
        <v>-23668.840743142991</v>
      </c>
      <c r="I120" s="102">
        <f t="shared" si="35"/>
        <v>-20237.523365419238</v>
      </c>
      <c r="J120" s="102">
        <f t="shared" si="35"/>
        <v>-17286.123948582983</v>
      </c>
      <c r="K120" s="102">
        <f t="shared" si="35"/>
        <v>-14749.030566484138</v>
      </c>
      <c r="L120" s="102">
        <f t="shared" si="35"/>
        <v>-12569.466220999942</v>
      </c>
      <c r="M120" s="102">
        <f t="shared" si="35"/>
        <v>-10698.311574097623</v>
      </c>
      <c r="N120" s="102">
        <f t="shared" si="35"/>
        <v>-9093.0833965402617</v>
      </c>
    </row>
    <row r="121" spans="2:14">
      <c r="B121" s="13" t="s">
        <v>188</v>
      </c>
      <c r="D121" s="101">
        <f>SUM(E121:N121)</f>
        <v>366323.99999999994</v>
      </c>
      <c r="E121" s="102">
        <f t="shared" ref="E121:N121" si="36">E28</f>
        <v>40336.799999999996</v>
      </c>
      <c r="F121" s="102">
        <f t="shared" si="36"/>
        <v>39513.599999999991</v>
      </c>
      <c r="G121" s="102">
        <f t="shared" si="36"/>
        <v>38690.399999999994</v>
      </c>
      <c r="H121" s="102">
        <f t="shared" si="36"/>
        <v>37867.19999999999</v>
      </c>
      <c r="I121" s="102">
        <f t="shared" si="36"/>
        <v>37043.999999999993</v>
      </c>
      <c r="J121" s="102">
        <f t="shared" si="36"/>
        <v>36220.799999999996</v>
      </c>
      <c r="K121" s="102">
        <f t="shared" si="36"/>
        <v>35397.599999999991</v>
      </c>
      <c r="L121" s="102">
        <f t="shared" si="36"/>
        <v>34574.399999999994</v>
      </c>
      <c r="M121" s="102">
        <f t="shared" si="36"/>
        <v>33751.19999999999</v>
      </c>
      <c r="N121" s="102">
        <f t="shared" si="36"/>
        <v>32927.999999999993</v>
      </c>
    </row>
    <row r="122" spans="2:14">
      <c r="B122" s="13" t="s">
        <v>261</v>
      </c>
      <c r="D122" s="101">
        <f>SUM(E122:N122)</f>
        <v>211238.75030762653</v>
      </c>
      <c r="E122" s="102">
        <f t="shared" ref="E122:N122" si="37">E121 / (1+$D$113)^E1</f>
        <v>36014.999999999993</v>
      </c>
      <c r="F122" s="102">
        <f t="shared" si="37"/>
        <v>31499.999999999989</v>
      </c>
      <c r="G122" s="102">
        <f t="shared" si="37"/>
        <v>27539.062499999989</v>
      </c>
      <c r="H122" s="102">
        <f t="shared" si="37"/>
        <v>24065.290178571417</v>
      </c>
      <c r="I122" s="102">
        <f t="shared" si="37"/>
        <v>21019.760443239786</v>
      </c>
      <c r="J122" s="102">
        <f t="shared" si="37"/>
        <v>18350.584513939495</v>
      </c>
      <c r="K122" s="102">
        <f t="shared" si="37"/>
        <v>16012.076584809216</v>
      </c>
      <c r="L122" s="102">
        <f t="shared" si="37"/>
        <v>13964.020277449898</v>
      </c>
      <c r="M122" s="102">
        <f t="shared" si="37"/>
        <v>12171.021075158284</v>
      </c>
      <c r="N122" s="102">
        <f t="shared" si="37"/>
        <v>10601.934734458435</v>
      </c>
    </row>
    <row r="123" spans="2:14">
      <c r="B123" s="13" t="s">
        <v>202</v>
      </c>
      <c r="D123" s="14">
        <f>($D$120+ D119) / D121</f>
        <v>0.57664458323131029</v>
      </c>
      <c r="F123" s="70"/>
    </row>
    <row r="124" spans="2:14">
      <c r="B124" t="s">
        <v>269</v>
      </c>
      <c r="D124" s="85">
        <f>($D$120+D119) / D122</f>
        <v>0.99999999999999989</v>
      </c>
      <c r="E124" s="70" t="s">
        <v>307</v>
      </c>
    </row>
    <row r="126" spans="2:14">
      <c r="B126" s="13" t="s">
        <v>293</v>
      </c>
      <c r="C126" s="13" t="s">
        <v>174</v>
      </c>
      <c r="D126" s="101">
        <f>+ 'Model Initial - Battery Lazard'!D59</f>
        <v>520000</v>
      </c>
    </row>
    <row r="127" spans="2:14">
      <c r="B127" s="13" t="s">
        <v>294</v>
      </c>
      <c r="C127" s="13" t="s">
        <v>167</v>
      </c>
      <c r="D127" s="206">
        <v>1</v>
      </c>
    </row>
    <row r="128" spans="2:14">
      <c r="B128" s="13" t="s">
        <v>295</v>
      </c>
      <c r="C128" s="13" t="s">
        <v>174</v>
      </c>
      <c r="D128" s="101">
        <f>D126 * (1 - D127)</f>
        <v>0</v>
      </c>
    </row>
    <row r="129" spans="2:4">
      <c r="B129" s="13"/>
      <c r="D129" s="14"/>
    </row>
    <row r="130" spans="2:4">
      <c r="B130" s="13" t="s">
        <v>296</v>
      </c>
      <c r="C130" s="13" t="s">
        <v>174</v>
      </c>
      <c r="D130" s="101">
        <f>'LCOS Solar + Degradation'!D43</f>
        <v>510000</v>
      </c>
    </row>
    <row r="131" spans="2:4">
      <c r="B131" s="13" t="s">
        <v>297</v>
      </c>
      <c r="C131" s="13" t="s">
        <v>167</v>
      </c>
      <c r="D131" s="108">
        <v>1</v>
      </c>
    </row>
    <row r="132" spans="2:4">
      <c r="B132" s="13" t="s">
        <v>298</v>
      </c>
      <c r="C132" s="13" t="s">
        <v>174</v>
      </c>
      <c r="D132" s="101">
        <f>D130 * (1 - D131)</f>
        <v>0</v>
      </c>
    </row>
    <row r="134" spans="2:4">
      <c r="B134" s="13" t="s">
        <v>299</v>
      </c>
      <c r="C134" s="13" t="s">
        <v>174</v>
      </c>
      <c r="D134" s="101">
        <f>SUM(D11:D12)</f>
        <v>545000</v>
      </c>
    </row>
    <row r="135" spans="2:4">
      <c r="B135" s="13" t="s">
        <v>300</v>
      </c>
      <c r="C135" s="13" t="s">
        <v>167</v>
      </c>
      <c r="D135" s="108">
        <v>0</v>
      </c>
    </row>
    <row r="136" spans="2:4">
      <c r="B136" s="13" t="s">
        <v>301</v>
      </c>
      <c r="C136" s="13" t="s">
        <v>174</v>
      </c>
      <c r="D136" s="101">
        <f>D134 * (1 - D135)</f>
        <v>545000</v>
      </c>
    </row>
    <row r="137" spans="2:4">
      <c r="B137" s="13"/>
      <c r="C137" s="13"/>
      <c r="D137" s="101"/>
    </row>
    <row r="138" spans="2:4">
      <c r="B138" s="224" t="s">
        <v>323</v>
      </c>
      <c r="C138" s="223" t="s">
        <v>174</v>
      </c>
      <c r="D138" s="225">
        <f>INDEX('H3 Project Proposal'!$D$45:$D$54,MATCH(B138,'H3 Project Proposal'!B45:B54,0))* D9  * D5 / 1000</f>
        <v>484000.00000000006</v>
      </c>
    </row>
    <row r="140" spans="2:4">
      <c r="B140" s="13" t="s">
        <v>303</v>
      </c>
      <c r="C140" s="13" t="s">
        <v>174</v>
      </c>
      <c r="D140" s="101">
        <f>D126 + D130 + D134 + D138</f>
        <v>2059000</v>
      </c>
    </row>
    <row r="141" spans="2:4">
      <c r="B141" s="13" t="s">
        <v>304</v>
      </c>
      <c r="C141" s="13" t="s">
        <v>174</v>
      </c>
      <c r="D141" s="207">
        <v>0.7</v>
      </c>
    </row>
    <row r="142" spans="2:4">
      <c r="B142" s="13" t="s">
        <v>305</v>
      </c>
      <c r="C142" s="13" t="s">
        <v>174</v>
      </c>
      <c r="D142" s="102">
        <f>D140*(1-D141)</f>
        <v>617700.00000000012</v>
      </c>
    </row>
  </sheetData>
  <pageMargins left="0.7" right="0.7" top="0.75" bottom="0.75" header="0.3" footer="0.3"/>
  <pageSetup paperSize="9" orientation="portrait" horizontalDpi="0" verticalDpi="0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542D3AF-4A6B-9742-B3BF-4610801DAA93}">
          <x14:formula1>
            <xm:f>'H3 Project Proposal'!$B$32:$B$41</xm:f>
          </x14:formula1>
          <xm:sqref>B12</xm:sqref>
        </x14:dataValidation>
        <x14:dataValidation type="list" allowBlank="1" showInputMessage="1" showErrorMessage="1" xr:uid="{E989C1D6-EFB6-3E46-A2E2-9B02EA866856}">
          <x14:formula1>
            <xm:f>'H3 Project Proposal'!$B$45:$B$54</xm:f>
          </x14:formula1>
          <xm:sqref>B138</xm:sqref>
        </x14:dataValidation>
      </x14:dataValidations>
    </ext>
  </extLst>
</worksheet>
</file>

<file path=xl/worksheets/sheet2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31BD8-160D-204F-B24B-BB6E6654842E}">
  <sheetPr>
    <outlinePr summaryBelow="0" summaryRight="0"/>
  </sheetPr>
  <dimension ref="A1:N29"/>
  <sheetViews>
    <sheetView showGridLines="0" workbookViewId="0">
      <selection activeCell="B18" sqref="B18"/>
    </sheetView>
  </sheetViews>
  <sheetFormatPr baseColWidth="10" defaultColWidth="12.6640625" defaultRowHeight="15.75" customHeight="1"/>
  <cols>
    <col min="1" max="1" width="21.5" style="193" bestFit="1" customWidth="1"/>
    <col min="2" max="3" width="12.6640625" style="193"/>
    <col min="4" max="4" width="14.6640625" style="193" customWidth="1"/>
    <col min="5" max="5" width="12.6640625" style="193"/>
    <col min="6" max="6" width="13.5" style="193" customWidth="1"/>
    <col min="7" max="16384" width="12.6640625" style="193"/>
  </cols>
  <sheetData>
    <row r="1" spans="1:7" ht="16">
      <c r="A1" s="190" t="s">
        <v>924</v>
      </c>
      <c r="B1" s="190" t="s">
        <v>102</v>
      </c>
      <c r="C1" s="191" t="s">
        <v>280</v>
      </c>
      <c r="D1" s="191" t="s">
        <v>222</v>
      </c>
      <c r="E1" s="192" t="s">
        <v>281</v>
      </c>
    </row>
    <row r="2" spans="1:7" ht="16">
      <c r="A2" s="190">
        <v>22.52</v>
      </c>
      <c r="B2" s="190">
        <f>A2/2</f>
        <v>11.26</v>
      </c>
      <c r="C2" s="191">
        <v>0.05</v>
      </c>
      <c r="D2" s="191">
        <f t="shared" ref="D2:D29" si="0">C2*24</f>
        <v>1.2000000000000002</v>
      </c>
      <c r="E2" s="192">
        <f>ROUND(1/((24-D2)*12),1)</f>
        <v>0</v>
      </c>
    </row>
    <row r="3" spans="1:7" ht="16">
      <c r="A3" s="190">
        <v>39.96</v>
      </c>
      <c r="B3" s="190">
        <f t="shared" ref="B3:B29" si="1">A3/2</f>
        <v>19.98</v>
      </c>
      <c r="C3" s="191">
        <v>0.1</v>
      </c>
      <c r="D3" s="191">
        <f t="shared" si="0"/>
        <v>2.4000000000000004</v>
      </c>
      <c r="E3" s="192">
        <f>ROUND(1/((24-D3)*12),1)</f>
        <v>0</v>
      </c>
    </row>
    <row r="4" spans="1:7" ht="16">
      <c r="A4" s="190">
        <v>47.72</v>
      </c>
      <c r="B4" s="190">
        <f t="shared" si="1"/>
        <v>23.86</v>
      </c>
      <c r="C4" s="191">
        <v>0.15</v>
      </c>
      <c r="D4" s="191">
        <f t="shared" si="0"/>
        <v>3.5999999999999996</v>
      </c>
      <c r="E4" s="192">
        <f>ROUND(1/((24-D4)*12),1)</f>
        <v>0</v>
      </c>
    </row>
    <row r="5" spans="1:7" ht="16">
      <c r="A5" s="191">
        <v>54.82</v>
      </c>
      <c r="B5" s="190">
        <f t="shared" si="1"/>
        <v>27.41</v>
      </c>
      <c r="C5" s="191">
        <v>0.2</v>
      </c>
      <c r="D5" s="191">
        <f t="shared" si="0"/>
        <v>4.8000000000000007</v>
      </c>
      <c r="E5" s="192">
        <f>ROUND(1/((24-D5)*12),1)</f>
        <v>0</v>
      </c>
    </row>
    <row r="6" spans="1:7" ht="16">
      <c r="A6" s="199">
        <v>59.5</v>
      </c>
      <c r="B6" s="288">
        <f t="shared" si="1"/>
        <v>29.75</v>
      </c>
      <c r="C6" s="199">
        <v>0.25</v>
      </c>
      <c r="D6" s="199">
        <f t="shared" si="0"/>
        <v>6</v>
      </c>
      <c r="E6" s="200">
        <f>ROUND(1/((24-D6)*12),1)</f>
        <v>0</v>
      </c>
      <c r="F6" s="201"/>
      <c r="G6" s="202" t="s">
        <v>291</v>
      </c>
    </row>
    <row r="7" spans="1:7" ht="16">
      <c r="A7" s="190">
        <v>62.23</v>
      </c>
      <c r="B7" s="190">
        <f t="shared" si="1"/>
        <v>31.114999999999998</v>
      </c>
      <c r="C7" s="191">
        <v>0.3</v>
      </c>
      <c r="D7" s="191">
        <f t="shared" si="0"/>
        <v>7.1999999999999993</v>
      </c>
      <c r="E7" s="192">
        <f t="shared" ref="E7:E24" si="2">ROUND(1/((24-D7)*12),2)</f>
        <v>0</v>
      </c>
    </row>
    <row r="8" spans="1:7" ht="16">
      <c r="A8" s="190">
        <v>64.53</v>
      </c>
      <c r="B8" s="190">
        <f t="shared" si="1"/>
        <v>32.265000000000001</v>
      </c>
      <c r="C8" s="191">
        <v>0.35</v>
      </c>
      <c r="D8" s="191">
        <f t="shared" si="0"/>
        <v>8.3999999999999986</v>
      </c>
      <c r="E8" s="192">
        <f t="shared" si="2"/>
        <v>0.01</v>
      </c>
    </row>
    <row r="9" spans="1:7" ht="16">
      <c r="A9" s="191">
        <v>66.69</v>
      </c>
      <c r="B9" s="190">
        <f t="shared" si="1"/>
        <v>33.344999999999999</v>
      </c>
      <c r="C9" s="191">
        <v>0.4</v>
      </c>
      <c r="D9" s="191">
        <f t="shared" si="0"/>
        <v>9.6000000000000014</v>
      </c>
      <c r="E9" s="192">
        <f t="shared" si="2"/>
        <v>0.01</v>
      </c>
    </row>
    <row r="10" spans="1:7" ht="16">
      <c r="A10" s="191">
        <v>69.19</v>
      </c>
      <c r="B10" s="190">
        <f t="shared" si="1"/>
        <v>34.594999999999999</v>
      </c>
      <c r="C10" s="191">
        <v>0.45</v>
      </c>
      <c r="D10" s="191">
        <f t="shared" si="0"/>
        <v>10.8</v>
      </c>
      <c r="E10" s="192">
        <f t="shared" si="2"/>
        <v>0.01</v>
      </c>
    </row>
    <row r="11" spans="1:7" ht="16">
      <c r="A11" s="191">
        <v>71.569999999999993</v>
      </c>
      <c r="B11" s="190">
        <f t="shared" si="1"/>
        <v>35.784999999999997</v>
      </c>
      <c r="C11" s="191">
        <v>0.5</v>
      </c>
      <c r="D11" s="191">
        <f t="shared" si="0"/>
        <v>12</v>
      </c>
      <c r="E11" s="192">
        <f t="shared" si="2"/>
        <v>0.01</v>
      </c>
    </row>
    <row r="12" spans="1:7" ht="16">
      <c r="A12" s="191">
        <v>74.27</v>
      </c>
      <c r="B12" s="190">
        <f t="shared" si="1"/>
        <v>37.134999999999998</v>
      </c>
      <c r="C12" s="191">
        <v>0.55000000000000004</v>
      </c>
      <c r="D12" s="191">
        <f t="shared" si="0"/>
        <v>13.200000000000001</v>
      </c>
      <c r="E12" s="192">
        <f t="shared" si="2"/>
        <v>0.01</v>
      </c>
    </row>
    <row r="13" spans="1:7" ht="16">
      <c r="A13" s="191">
        <v>77.040000000000006</v>
      </c>
      <c r="B13" s="190">
        <f t="shared" si="1"/>
        <v>38.520000000000003</v>
      </c>
      <c r="C13" s="191">
        <v>0.6</v>
      </c>
      <c r="D13" s="191">
        <f t="shared" si="0"/>
        <v>14.399999999999999</v>
      </c>
      <c r="E13" s="192">
        <f t="shared" si="2"/>
        <v>0.01</v>
      </c>
    </row>
    <row r="14" spans="1:7" ht="16">
      <c r="A14" s="191">
        <v>80.39</v>
      </c>
      <c r="B14" s="190">
        <f t="shared" si="1"/>
        <v>40.195</v>
      </c>
      <c r="C14" s="191">
        <v>0.65</v>
      </c>
      <c r="D14" s="191">
        <f t="shared" si="0"/>
        <v>15.600000000000001</v>
      </c>
      <c r="E14" s="192">
        <f t="shared" si="2"/>
        <v>0.01</v>
      </c>
    </row>
    <row r="15" spans="1:7" ht="16">
      <c r="A15" s="191">
        <v>84.08</v>
      </c>
      <c r="B15" s="190">
        <f t="shared" si="1"/>
        <v>42.04</v>
      </c>
      <c r="C15" s="191">
        <v>0.7</v>
      </c>
      <c r="D15" s="191">
        <f t="shared" si="0"/>
        <v>16.799999999999997</v>
      </c>
      <c r="E15" s="192">
        <f t="shared" si="2"/>
        <v>0.01</v>
      </c>
    </row>
    <row r="16" spans="1:7" ht="16">
      <c r="A16" s="191">
        <v>88.48</v>
      </c>
      <c r="B16" s="190">
        <f t="shared" si="1"/>
        <v>44.24</v>
      </c>
      <c r="C16" s="191">
        <v>0.75</v>
      </c>
      <c r="D16" s="191">
        <f t="shared" si="0"/>
        <v>18</v>
      </c>
      <c r="E16" s="192">
        <f t="shared" si="2"/>
        <v>0.01</v>
      </c>
    </row>
    <row r="17" spans="1:14" ht="16">
      <c r="A17" s="191">
        <v>93.26</v>
      </c>
      <c r="B17" s="190">
        <f t="shared" si="1"/>
        <v>46.63</v>
      </c>
      <c r="C17" s="191">
        <v>0.8</v>
      </c>
      <c r="D17" s="191">
        <f t="shared" si="0"/>
        <v>19.200000000000003</v>
      </c>
      <c r="E17" s="192">
        <f t="shared" si="2"/>
        <v>0.02</v>
      </c>
    </row>
    <row r="18" spans="1:14" ht="16">
      <c r="A18" s="191">
        <v>99.74</v>
      </c>
      <c r="B18" s="190">
        <f t="shared" si="1"/>
        <v>49.87</v>
      </c>
      <c r="C18" s="191">
        <v>0.85</v>
      </c>
      <c r="D18" s="191">
        <f t="shared" si="0"/>
        <v>20.399999999999999</v>
      </c>
      <c r="E18" s="192">
        <f t="shared" si="2"/>
        <v>0.02</v>
      </c>
      <c r="F18" s="192" t="s">
        <v>282</v>
      </c>
    </row>
    <row r="19" spans="1:14" ht="16">
      <c r="A19" s="191">
        <v>110.02</v>
      </c>
      <c r="B19" s="190">
        <f t="shared" si="1"/>
        <v>55.01</v>
      </c>
      <c r="C19" s="191">
        <v>0.9</v>
      </c>
      <c r="D19" s="191">
        <f t="shared" si="0"/>
        <v>21.6</v>
      </c>
      <c r="E19" s="192">
        <f t="shared" si="2"/>
        <v>0.03</v>
      </c>
    </row>
    <row r="20" spans="1:14" ht="16">
      <c r="A20" s="191">
        <v>130.76</v>
      </c>
      <c r="B20" s="190">
        <f t="shared" si="1"/>
        <v>65.38</v>
      </c>
      <c r="C20" s="191">
        <v>0.95</v>
      </c>
      <c r="D20" s="191">
        <f t="shared" si="0"/>
        <v>22.799999999999997</v>
      </c>
      <c r="E20" s="192">
        <f t="shared" si="2"/>
        <v>7.0000000000000007E-2</v>
      </c>
    </row>
    <row r="21" spans="1:14" s="197" customFormat="1" ht="16">
      <c r="A21" s="194">
        <v>138.22</v>
      </c>
      <c r="B21" s="194">
        <f t="shared" si="1"/>
        <v>69.11</v>
      </c>
      <c r="C21" s="195">
        <v>0.96</v>
      </c>
      <c r="D21" s="195">
        <f t="shared" si="0"/>
        <v>23.04</v>
      </c>
      <c r="E21" s="196">
        <f t="shared" si="2"/>
        <v>0.09</v>
      </c>
      <c r="F21" s="196" t="s">
        <v>283</v>
      </c>
    </row>
    <row r="22" spans="1:14" ht="16">
      <c r="A22" s="190">
        <v>151.41</v>
      </c>
      <c r="B22" s="190">
        <f t="shared" si="1"/>
        <v>75.704999999999998</v>
      </c>
      <c r="C22" s="191">
        <v>0.97</v>
      </c>
      <c r="D22" s="191">
        <f t="shared" si="0"/>
        <v>23.28</v>
      </c>
      <c r="E22" s="192">
        <f t="shared" si="2"/>
        <v>0.12</v>
      </c>
      <c r="F22" s="192" t="s">
        <v>284</v>
      </c>
    </row>
    <row r="23" spans="1:14" ht="16">
      <c r="A23" s="190">
        <v>166.79</v>
      </c>
      <c r="B23" s="190">
        <f t="shared" si="1"/>
        <v>83.394999999999996</v>
      </c>
      <c r="C23" s="191">
        <v>0.98</v>
      </c>
      <c r="D23" s="191">
        <f t="shared" si="0"/>
        <v>23.52</v>
      </c>
      <c r="E23" s="192">
        <f t="shared" si="2"/>
        <v>0.17</v>
      </c>
      <c r="F23" s="192" t="s">
        <v>285</v>
      </c>
      <c r="N23" s="190"/>
    </row>
    <row r="24" spans="1:14" ht="16">
      <c r="A24" s="190">
        <v>212.19</v>
      </c>
      <c r="B24" s="190">
        <f t="shared" si="1"/>
        <v>106.095</v>
      </c>
      <c r="C24" s="191">
        <v>0.99</v>
      </c>
      <c r="D24" s="191">
        <f t="shared" si="0"/>
        <v>23.759999999999998</v>
      </c>
      <c r="E24" s="192">
        <f t="shared" si="2"/>
        <v>0.35</v>
      </c>
    </row>
    <row r="25" spans="1:14" ht="16">
      <c r="A25" s="190">
        <v>268.26</v>
      </c>
      <c r="B25" s="190">
        <f t="shared" si="1"/>
        <v>134.13</v>
      </c>
      <c r="C25" s="191">
        <v>0.995</v>
      </c>
      <c r="D25" s="191">
        <f t="shared" si="0"/>
        <v>23.88</v>
      </c>
      <c r="E25" s="192">
        <f>ROUND(MAX(1,1/((24-D25)*12)),1)</f>
        <v>1</v>
      </c>
      <c r="F25" s="192" t="s">
        <v>286</v>
      </c>
    </row>
    <row r="26" spans="1:14" ht="16">
      <c r="A26" s="190">
        <v>492.12</v>
      </c>
      <c r="B26" s="190">
        <f t="shared" si="1"/>
        <v>246.06</v>
      </c>
      <c r="C26" s="191">
        <v>0.999</v>
      </c>
      <c r="D26" s="191">
        <f t="shared" si="0"/>
        <v>23.975999999999999</v>
      </c>
      <c r="E26" s="192">
        <f>ROUND(MAX(1,1/((24-D26)*12)),1)</f>
        <v>3.5</v>
      </c>
      <c r="F26" s="192" t="s">
        <v>287</v>
      </c>
    </row>
    <row r="27" spans="1:14" ht="16">
      <c r="A27" s="190">
        <v>556.32000000000005</v>
      </c>
      <c r="B27" s="190">
        <f t="shared" si="1"/>
        <v>278.16000000000003</v>
      </c>
      <c r="C27" s="191">
        <v>0.99950000000000006</v>
      </c>
      <c r="D27" s="191">
        <f t="shared" si="0"/>
        <v>23.988</v>
      </c>
      <c r="E27" s="192">
        <f>ROUND(MAX(1,1/((24-D27)*12)),1)</f>
        <v>6.9</v>
      </c>
      <c r="F27" s="192" t="s">
        <v>288</v>
      </c>
    </row>
    <row r="28" spans="1:14" ht="16">
      <c r="A28" s="190">
        <v>2000.96</v>
      </c>
      <c r="B28" s="190">
        <f t="shared" si="1"/>
        <v>1000.48</v>
      </c>
      <c r="C28" s="191">
        <v>0.99990000000000001</v>
      </c>
      <c r="D28" s="191">
        <f t="shared" si="0"/>
        <v>23.997599999999998</v>
      </c>
      <c r="E28" s="192">
        <f>ROUND(MAX(1,1/((24-D28)*12)),1)</f>
        <v>34.700000000000003</v>
      </c>
      <c r="F28" s="192" t="s">
        <v>289</v>
      </c>
    </row>
    <row r="29" spans="1:14" ht="16">
      <c r="A29" s="190">
        <v>2335.21</v>
      </c>
      <c r="B29" s="190">
        <f t="shared" si="1"/>
        <v>1167.605</v>
      </c>
      <c r="C29" s="190">
        <v>0.99999000000000005</v>
      </c>
      <c r="D29" s="191">
        <f t="shared" si="0"/>
        <v>23.999760000000002</v>
      </c>
      <c r="E29" s="192">
        <f>ROUND(MAX(1,1/((24-D29)*12)),1)</f>
        <v>347.2</v>
      </c>
      <c r="F29" s="192" t="s">
        <v>290</v>
      </c>
    </row>
  </sheetData>
  <pageMargins left="0.7" right="0.7" top="0.75" bottom="0.75" header="0.3" footer="0.3"/>
  <drawing r:id="rId1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1</vt:i4>
      </vt:variant>
    </vt:vector>
  </HeadingPairs>
  <TitlesOfParts>
    <vt:vector size="25" baseType="lpstr">
      <vt:lpstr>Scenario_list</vt:lpstr>
      <vt:lpstr>Overall comments</vt:lpstr>
      <vt:lpstr>Model and Assumptions</vt:lpstr>
      <vt:lpstr>Model</vt:lpstr>
      <vt:lpstr>Final Numerics</vt:lpstr>
      <vt:lpstr>Electricity Rates</vt:lpstr>
      <vt:lpstr>CapEx</vt:lpstr>
      <vt:lpstr>LCOE -- Battery</vt:lpstr>
      <vt:lpstr>LCOE -- Grid</vt:lpstr>
      <vt:lpstr>LCOE -- Electrolyser</vt:lpstr>
      <vt:lpstr>LCOE -- Solar</vt:lpstr>
      <vt:lpstr>Batteries</vt:lpstr>
      <vt:lpstr>20Y</vt:lpstr>
      <vt:lpstr>LCOS Solar + Degradation</vt:lpstr>
      <vt:lpstr>Model Initial - Battery Lazard</vt:lpstr>
      <vt:lpstr>LCOS - Battery</vt:lpstr>
      <vt:lpstr>H3 Project Proposal</vt:lpstr>
      <vt:lpstr>PEM Electrolyser</vt:lpstr>
      <vt:lpstr>10Y&gt;&gt;</vt:lpstr>
      <vt:lpstr>H2 break-even point(NPV=0)</vt:lpstr>
      <vt:lpstr>Debt rolling</vt:lpstr>
      <vt:lpstr>Base model + 100% Subs + PW&gt;&gt; </vt:lpstr>
      <vt:lpstr>H2 1-1-1 goal</vt:lpstr>
      <vt:lpstr>Grid + solar + CAISO</vt:lpstr>
      <vt:lpstr>IRR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dcterms:created xsi:type="dcterms:W3CDTF">2022-08-08T09:25:01Z</dcterms:created>
  <dcterms:modified xsi:type="dcterms:W3CDTF">2023-01-22T04:09:44Z</dcterms:modified>
  <cp:category/>
</cp:coreProperties>
</file>