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yusuf\Desktop\Kensington Financial Analysis\"/>
    </mc:Choice>
  </mc:AlternateContent>
  <xr:revisionPtr revIDLastSave="0" documentId="13_ncr:1_{462516C1-5256-4C1C-86E7-89FDF96E486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Inputs" sheetId="1" r:id="rId1"/>
    <sheet name="Main" sheetId="5" r:id="rId2"/>
    <sheet name="Calculations" sheetId="2" r:id="rId3"/>
    <sheet name="Projections" sheetId="3" r:id="rId4"/>
    <sheet name="Valu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O37" i="5"/>
  <c r="M37" i="5"/>
  <c r="M28" i="5"/>
  <c r="N28" i="5" s="1"/>
  <c r="M15" i="5"/>
  <c r="S15" i="5" s="1"/>
  <c r="S16" i="5"/>
  <c r="S14" i="5"/>
  <c r="S13" i="5"/>
  <c r="B37" i="5"/>
  <c r="C37" i="5" s="1"/>
  <c r="C15" i="1"/>
  <c r="D15" i="1"/>
  <c r="B13" i="1"/>
  <c r="H16" i="5"/>
  <c r="H15" i="5"/>
  <c r="H14" i="5"/>
  <c r="H13" i="5"/>
  <c r="I52" i="1"/>
  <c r="I51" i="1"/>
  <c r="I50" i="1"/>
  <c r="H51" i="1"/>
  <c r="H50" i="1"/>
  <c r="H52" i="1"/>
  <c r="H49" i="1"/>
  <c r="I24" i="1"/>
  <c r="I23" i="1"/>
  <c r="H23" i="1"/>
  <c r="H22" i="1"/>
  <c r="H24" i="1"/>
  <c r="H4" i="1"/>
  <c r="H3" i="1"/>
  <c r="H5" i="1"/>
  <c r="H2" i="1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T14" i="5" l="1"/>
  <c r="N37" i="5"/>
  <c r="P37" i="5" s="1"/>
  <c r="T16" i="5"/>
  <c r="T15" i="5"/>
  <c r="E37" i="5"/>
  <c r="I14" i="5"/>
  <c r="I16" i="5"/>
  <c r="I15" i="5"/>
  <c r="I4" i="1"/>
  <c r="I5" i="1"/>
  <c r="I11" i="1" s="1"/>
  <c r="H2" i="2"/>
  <c r="H3" i="2"/>
  <c r="H4" i="2"/>
  <c r="H5" i="2"/>
  <c r="B14" i="1" l="1"/>
  <c r="C13" i="1"/>
  <c r="B15" i="1" l="1"/>
  <c r="C14" i="1"/>
  <c r="E15" i="1" l="1"/>
  <c r="F15" i="1" l="1"/>
  <c r="G15" i="1" s="1"/>
</calcChain>
</file>

<file path=xl/sharedStrings.xml><?xml version="1.0" encoding="utf-8"?>
<sst xmlns="http://schemas.openxmlformats.org/spreadsheetml/2006/main" count="138" uniqueCount="48">
  <si>
    <t>Year</t>
  </si>
  <si>
    <t>Profit Before Tax</t>
  </si>
  <si>
    <t>Depreciation (PPE)</t>
  </si>
  <si>
    <t>Amortisation (Intangibles)</t>
  </si>
  <si>
    <t>One-off Adjustments</t>
  </si>
  <si>
    <t>Capital Expenditure</t>
  </si>
  <si>
    <t>Net Mortgage Cash Flows</t>
  </si>
  <si>
    <t>Depreciation</t>
  </si>
  <si>
    <t>Amortisation</t>
  </si>
  <si>
    <t>Adjustments</t>
  </si>
  <si>
    <t>Capex</t>
  </si>
  <si>
    <t>Mortgage CF</t>
  </si>
  <si>
    <t>Free Cash Flow</t>
  </si>
  <si>
    <t>Projected FCF</t>
  </si>
  <si>
    <t>PV of FCF</t>
  </si>
  <si>
    <t>Item</t>
  </si>
  <si>
    <t>Value (£m)</t>
  </si>
  <si>
    <t>PV of FCFs (2025–2029)</t>
  </si>
  <si>
    <t>PV of Terminal Value</t>
  </si>
  <si>
    <t>Enterprise Value</t>
  </si>
  <si>
    <t>Net Debt</t>
  </si>
  <si>
    <t>Equity Value</t>
  </si>
  <si>
    <t>Shares Outstanding</t>
  </si>
  <si>
    <t>Price per Share</t>
  </si>
  <si>
    <t>-</t>
  </si>
  <si>
    <t>Free Cash Flow (FCF)</t>
  </si>
  <si>
    <t>FCF Growth Rate</t>
  </si>
  <si>
    <t>Average FCF Growth Rate</t>
  </si>
  <si>
    <t>Assumed Discount Rate (WACC)</t>
  </si>
  <si>
    <t>Terminal Value</t>
  </si>
  <si>
    <t>PV of TV</t>
  </si>
  <si>
    <t>Enterprise Value (EV)</t>
  </si>
  <si>
    <t>2023 (£’000)</t>
  </si>
  <si>
    <t>2024 (£’000)</t>
  </si>
  <si>
    <t>Loans and borrowings</t>
  </si>
  <si>
    <t>Value per Share</t>
  </si>
  <si>
    <t>Terminal Growth Rate, g</t>
  </si>
  <si>
    <t>Discount rate (WACC)</t>
  </si>
  <si>
    <t>Terminal Value (TV)</t>
  </si>
  <si>
    <t xml:space="preserve">Present Value of Terminal Value </t>
  </si>
  <si>
    <t>Value per share</t>
  </si>
  <si>
    <t>Number of shares</t>
  </si>
  <si>
    <t>Free Cash Flow (FCF) with M&amp;A</t>
  </si>
  <si>
    <t>Free Cash Flow (FCF) without M&amp;A</t>
  </si>
  <si>
    <t>With M&amp;A</t>
  </si>
  <si>
    <t>Without M&amp;A</t>
  </si>
  <si>
    <t xml:space="preserve">With Acquisiton </t>
  </si>
  <si>
    <t>Without Acquisiton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</si>
</sst>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MU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0" fontId="3" fillId="0" borderId="0" xfId="0" applyFont="1" applyAlignment="1">
      <alignment horizontal="center" vertical="top"/>
    </xf>
    <xf numFmtId="3" fontId="4" fillId="0" borderId="0" xfId="0" applyNumberFormat="1" applyFon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en-GB"/>
              <a:t>Free Cash Flow (FCF)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Main!$B$46</c:f>
              <c:strCache>
                <c:ptCount val="1"/>
                <c:pt idx="0">
                  <c:v>Free Cash Flow (FCF) with M&amp;A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Main!$A$47:$A$50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Main!$B$47:$B$50</c:f>
              <c:numCache>
                <c:formatCode>#,##0</c:formatCode>
                <c:ptCount val="4"/>
                <c:pt idx="0">
                  <c:v>-1045500</c:v>
                </c:pt>
                <c:pt idx="1">
                  <c:v>5913750</c:v>
                </c:pt>
                <c:pt idx="2">
                  <c:v>-14774000</c:v>
                </c:pt>
                <c:pt idx="3">
                  <c:v>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4-4569-9E11-40970F770834}"/>
            </c:ext>
          </c:extLst>
        </c:ser>
        <c:ser>
          <c:idx val="1"/>
          <c:order val="1"/>
          <c:tx>
            <c:strRef>
              <c:f>Main!$C$46</c:f>
              <c:strCache>
                <c:ptCount val="1"/>
                <c:pt idx="0">
                  <c:v>Free Cash Flow (FCF) without M&amp;A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Main!$A$47:$A$50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Main!$C$47:$C$50</c:f>
              <c:numCache>
                <c:formatCode>#,##0</c:formatCode>
                <c:ptCount val="4"/>
                <c:pt idx="0">
                  <c:v>-1045500</c:v>
                </c:pt>
                <c:pt idx="1">
                  <c:v>5913750</c:v>
                </c:pt>
                <c:pt idx="2">
                  <c:v>4030375</c:v>
                </c:pt>
                <c:pt idx="3">
                  <c:v>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4-4569-9E11-40970F77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863"/>
        <c:axId val="12360303"/>
      </c:areaChart>
      <c:catAx>
        <c:axId val="123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2360303"/>
        <c:crosses val="autoZero"/>
        <c:auto val="1"/>
        <c:lblAlgn val="ctr"/>
        <c:lblOffset val="100"/>
        <c:noMultiLvlLbl val="0"/>
      </c:catAx>
      <c:valAx>
        <c:axId val="123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2358863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CMU Serif" panose="02000603000000000000" pitchFamily="2" charset="0"/>
              </a:rPr>
              <a:t>Short Term Equity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Main!$B$66</c:f>
              <c:strCache>
                <c:ptCount val="1"/>
                <c:pt idx="0">
                  <c:v>With Acquisiton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Main!$A$67:$A$70</c15:sqref>
                  </c15:fullRef>
                </c:ext>
              </c:extLst>
              <c:f>Main!$A$69</c:f>
              <c:strCache>
                <c:ptCount val="1"/>
                <c:pt idx="0">
                  <c:v>Equity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Main!$B$67:$B$70</c15:sqref>
                  </c15:fullRef>
                </c:ext>
              </c:extLst>
              <c:f>Main!$B$69</c:f>
              <c:numCache>
                <c:formatCode>General</c:formatCode>
                <c:ptCount val="1"/>
                <c:pt idx="0">
                  <c:v>107554826.11748193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3-42F8-801E-9E3E61A35743}"/>
            </c:ext>
          </c:extLst>
        </c:ser>
        <c:ser>
          <c:idx val="1"/>
          <c:order val="1"/>
          <c:tx>
            <c:strRef>
              <c:f>Main!$C$66</c:f>
              <c:strCache>
                <c:ptCount val="1"/>
                <c:pt idx="0">
                  <c:v>Without Acquisiton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Main!$A$67:$A$70</c15:sqref>
                  </c15:fullRef>
                </c:ext>
              </c:extLst>
              <c:f>Main!$A$69</c:f>
              <c:strCache>
                <c:ptCount val="1"/>
                <c:pt idx="0">
                  <c:v>Equity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Main!$C$67:$C$70</c15:sqref>
                  </c15:fullRef>
                </c:ext>
              </c:extLst>
              <c:f>Main!$C$69</c:f>
              <c:numCache>
                <c:formatCode>General</c:formatCode>
                <c:ptCount val="1"/>
                <c:pt idx="0">
                  <c:v>122701173.22631115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3-42F8-801E-9E3E61A35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80"/>
        <c:axId val="539322719"/>
        <c:axId val="539322239"/>
      </c:barChart>
      <c:catAx>
        <c:axId val="53932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539322239"/>
        <c:crosses val="autoZero"/>
        <c:auto val="1"/>
        <c:lblAlgn val="ctr"/>
        <c:lblOffset val="100"/>
        <c:noMultiLvlLbl val="0"/>
      </c:catAx>
      <c:valAx>
        <c:axId val="5393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539322719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47378701538042445"/>
                <c:y val="0.7828421575260606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CMU Serif" panose="02000603000000000000" pitchFamily="2" charset="0"/>
              </a:rPr>
              <a:t>Value Per Share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Main!$B$66</c:f>
              <c:strCache>
                <c:ptCount val="1"/>
                <c:pt idx="0">
                  <c:v>With Acquisiton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Main!$A$67:$A$70</c15:sqref>
                  </c15:fullRef>
                </c:ext>
              </c:extLst>
              <c:f>Main!$A$70</c:f>
              <c:strCache>
                <c:ptCount val="1"/>
                <c:pt idx="0">
                  <c:v>Value per share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Main!$B$67:$B$70</c15:sqref>
                  </c15:fullRef>
                </c:ext>
              </c:extLst>
              <c:f>Main!$B$70</c:f>
              <c:numCache>
                <c:formatCode>General</c:formatCode>
                <c:ptCount val="1"/>
                <c:pt idx="0">
                  <c:v>107.55482611748194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4-4776-A090-22B7A0FF3D02}"/>
            </c:ext>
          </c:extLst>
        </c:ser>
        <c:ser>
          <c:idx val="1"/>
          <c:order val="1"/>
          <c:tx>
            <c:strRef>
              <c:f>Main!$C$66</c:f>
              <c:strCache>
                <c:ptCount val="1"/>
                <c:pt idx="0">
                  <c:v>Without Acquisiton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Main!$A$67:$A$70</c15:sqref>
                  </c15:fullRef>
                </c:ext>
              </c:extLst>
              <c:f>Main!$A$70</c:f>
              <c:strCache>
                <c:ptCount val="1"/>
                <c:pt idx="0">
                  <c:v>Value per share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Main!$C$67:$C$70</c15:sqref>
                  </c15:fullRef>
                </c:ext>
              </c:extLst>
              <c:f>Main!$C$70</c:f>
              <c:numCache>
                <c:formatCode>General</c:formatCode>
                <c:ptCount val="1"/>
                <c:pt idx="0">
                  <c:v>122.70117322631114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4-4776-A090-22B7A0FF3D0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33"/>
        <c:axId val="541317935"/>
        <c:axId val="541318415"/>
      </c:barChart>
      <c:catAx>
        <c:axId val="5413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541318415"/>
        <c:crosses val="autoZero"/>
        <c:auto val="1"/>
        <c:lblAlgn val="ctr"/>
        <c:lblOffset val="100"/>
        <c:noMultiLvlLbl val="0"/>
      </c:catAx>
      <c:valAx>
        <c:axId val="5413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  <a:latin typeface="CMU Serif" panose="02000603000000000000" pitchFamily="2" charset="0"/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607593</xdr:colOff>
      <xdr:row>7</xdr:row>
      <xdr:rowOff>140369</xdr:rowOff>
    </xdr:from>
    <xdr:to>
      <xdr:col>6</xdr:col>
      <xdr:colOff>834190</xdr:colOff>
      <xdr:row>9</xdr:row>
      <xdr:rowOff>48127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ADD1F-3D6C-569E-1B95-9A813253E132}"/>
            </a:ext>
          </a:extLst>
        </xdr:cNvPr>
        <xdr:cNvSpPr txBox="1"/>
      </xdr:nvSpPr>
      <xdr:spPr>
        <a:xfrm>
          <a:off x="1995235" y="1431758"/>
          <a:ext cx="5500439" cy="276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FCF = Profit Before Tax + Depreciation + Amortisation – Capex – Net Mortgage CF</a:t>
          </a:r>
        </a:p>
        <a:p>
          <a:endParaRPr lang="en-GB" sz="1100"/>
        </a:p>
      </xdr:txBody>
    </xdr:sp>
    <xdr:clientData/>
  </xdr:twoCellAnchor>
  <xdr:twoCellAnchor>
    <xdr:from>
      <xdr:col>2</xdr:col>
      <xdr:colOff>759993</xdr:colOff>
      <xdr:row>26</xdr:row>
      <xdr:rowOff>168361</xdr:rowOff>
    </xdr:from>
    <xdr:to>
      <xdr:col>6</xdr:col>
      <xdr:colOff>986590</xdr:colOff>
      <xdr:row>28</xdr:row>
      <xdr:rowOff>76118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5896CC-F359-908F-4448-C73CCCA28F26}"/>
            </a:ext>
          </a:extLst>
        </xdr:cNvPr>
        <xdr:cNvSpPr txBox="1"/>
      </xdr:nvSpPr>
      <xdr:spPr>
        <a:xfrm>
          <a:off x="1957422" y="5756361"/>
          <a:ext cx="5529495" cy="280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FCF = Profit Before Tax + Depreciation + Amortisation – Capex – Net Mortgage CF</a:t>
          </a:r>
        </a:p>
        <a:p>
          <a:endParaRPr lang="en-GB" sz="1100"/>
        </a:p>
      </xdr:txBody>
    </xdr:sp>
    <xdr:clientData/>
  </xdr:twoCellAnchor>
  <xdr:twoCellAnchor>
    <xdr:from>
      <xdr:col>6</xdr:col>
      <xdr:colOff>462658</xdr:colOff>
      <xdr:row>35</xdr:row>
      <xdr:rowOff>101284</xdr:rowOff>
    </xdr:from>
    <xdr:to>
      <xdr:col>8</xdr:col>
      <xdr:colOff>541450</xdr:colOff>
      <xdr:row>37</xdr:row>
      <xdr:rowOff>6423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93B48D-A532-FCE4-9905-23887DB3C850}"/>
            </a:ext>
          </a:extLst>
        </xdr:cNvPr>
        <xdr:cNvSpPr txBox="1"/>
      </xdr:nvSpPr>
      <xdr:spPr>
        <a:xfrm>
          <a:off x="6964321" y="7202511"/>
          <a:ext cx="2923535" cy="27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NOPAT=PBT×(1−Tax Rate)</a:t>
          </a:r>
          <a:endParaRPr lang="en-GB" sz="1100"/>
        </a:p>
      </xdr:txBody>
    </xdr:sp>
    <xdr:clientData/>
  </xdr:twoCellAnchor>
  <xdr:twoCellAnchor>
    <xdr:from>
      <xdr:col>6</xdr:col>
      <xdr:colOff>442962</xdr:colOff>
      <xdr:row>37</xdr:row>
      <xdr:rowOff>82106</xdr:rowOff>
    </xdr:from>
    <xdr:to>
      <xdr:col>8</xdr:col>
      <xdr:colOff>578774</xdr:colOff>
      <xdr:row>39</xdr:row>
      <xdr:rowOff>64999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DBA639-A074-F8BE-2D65-A91F36EA7EB2}"/>
            </a:ext>
          </a:extLst>
        </xdr:cNvPr>
        <xdr:cNvSpPr txBox="1"/>
      </xdr:nvSpPr>
      <xdr:spPr>
        <a:xfrm>
          <a:off x="6944625" y="7557530"/>
          <a:ext cx="2980555" cy="357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FCF=NOPAT+Depreciation+Amortisation−CapEx </a:t>
          </a:r>
          <a:endParaRPr lang="en-GB" sz="1100"/>
        </a:p>
      </xdr:txBody>
    </xdr:sp>
    <xdr:clientData/>
  </xdr:twoCellAnchor>
  <xdr:twoCellAnchor>
    <xdr:from>
      <xdr:col>4</xdr:col>
      <xdr:colOff>130304</xdr:colOff>
      <xdr:row>35</xdr:row>
      <xdr:rowOff>126117</xdr:rowOff>
    </xdr:from>
    <xdr:to>
      <xdr:col>5</xdr:col>
      <xdr:colOff>769654</xdr:colOff>
      <xdr:row>37</xdr:row>
      <xdr:rowOff>31256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BB758D-6C92-F2EA-D54A-E370EEEFA79A}"/>
            </a:ext>
          </a:extLst>
        </xdr:cNvPr>
        <xdr:cNvSpPr txBox="1"/>
      </xdr:nvSpPr>
      <xdr:spPr>
        <a:xfrm>
          <a:off x="4106141" y="7227344"/>
          <a:ext cx="1940533" cy="27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Simple</a:t>
          </a:r>
          <a:r>
            <a:rPr lang="en-GB" sz="1100" baseline="0"/>
            <a:t> DCF Cash Flow Analysis</a:t>
          </a:r>
          <a:endParaRPr lang="en-GB" sz="1100"/>
        </a:p>
      </xdr:txBody>
    </xdr:sp>
    <xdr:clientData/>
  </xdr:twoCellAnchor>
  <xdr:twoCellAnchor>
    <xdr:from>
      <xdr:col>4</xdr:col>
      <xdr:colOff>146632</xdr:colOff>
      <xdr:row>37</xdr:row>
      <xdr:rowOff>99923</xdr:rowOff>
    </xdr:from>
    <xdr:to>
      <xdr:col>6</xdr:col>
      <xdr:colOff>182846</xdr:colOff>
      <xdr:row>38</xdr:row>
      <xdr:rowOff>178593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CB39FD-9BCF-7DF7-A17C-DE16406F375F}"/>
            </a:ext>
          </a:extLst>
        </xdr:cNvPr>
        <xdr:cNvSpPr txBox="1"/>
      </xdr:nvSpPr>
      <xdr:spPr>
        <a:xfrm>
          <a:off x="4122469" y="7575347"/>
          <a:ext cx="2562040" cy="265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Scenario</a:t>
          </a:r>
          <a:r>
            <a:rPr lang="en-GB" sz="1100" baseline="0"/>
            <a:t> #1: Inc. Barclays Bank Aquisition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786166</xdr:colOff>
      <xdr:row>4</xdr:row>
      <xdr:rowOff>169985</xdr:rowOff>
    </xdr:from>
    <xdr:to>
      <xdr:col>6</xdr:col>
      <xdr:colOff>1118287</xdr:colOff>
      <xdr:row>6</xdr:row>
      <xdr:rowOff>80803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0BDCB-A735-4102-96D1-5ED07A0578F5}"/>
            </a:ext>
          </a:extLst>
        </xdr:cNvPr>
        <xdr:cNvSpPr txBox="1"/>
      </xdr:nvSpPr>
      <xdr:spPr>
        <a:xfrm>
          <a:off x="4912689" y="896816"/>
          <a:ext cx="2829136" cy="2742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NOPAT=PBT×(1−Tax Rate)</a:t>
          </a:r>
          <a:endParaRPr lang="en-GB" sz="1100"/>
        </a:p>
      </xdr:txBody>
    </xdr:sp>
    <xdr:clientData/>
  </xdr:twoCellAnchor>
  <xdr:twoCellAnchor>
    <xdr:from>
      <xdr:col>4</xdr:col>
      <xdr:colOff>766470</xdr:colOff>
      <xdr:row>6</xdr:row>
      <xdr:rowOff>156486</xdr:rowOff>
    </xdr:from>
    <xdr:to>
      <xdr:col>6</xdr:col>
      <xdr:colOff>1155611</xdr:colOff>
      <xdr:row>8</xdr:row>
      <xdr:rowOff>145056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9A7DFB-EBF6-453D-AAFA-BCAFD2F33885}"/>
            </a:ext>
          </a:extLst>
        </xdr:cNvPr>
        <xdr:cNvSpPr txBox="1"/>
      </xdr:nvSpPr>
      <xdr:spPr>
        <a:xfrm>
          <a:off x="4892993" y="1246732"/>
          <a:ext cx="2886156" cy="351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FCF=NOPAT+Depreciation+Amortisation−CapEx </a:t>
          </a:r>
          <a:endParaRPr lang="en-GB" sz="1100"/>
        </a:p>
      </xdr:txBody>
    </xdr:sp>
    <xdr:clientData/>
  </xdr:twoCellAnchor>
  <xdr:twoCellAnchor>
    <xdr:from>
      <xdr:col>2</xdr:col>
      <xdr:colOff>128954</xdr:colOff>
      <xdr:row>0</xdr:row>
      <xdr:rowOff>136202</xdr:rowOff>
    </xdr:from>
    <xdr:to>
      <xdr:col>3</xdr:col>
      <xdr:colOff>1232262</xdr:colOff>
      <xdr:row>2</xdr:row>
      <xdr:rowOff>47020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01F396-0861-46A1-847B-4A35C7B2940F}"/>
            </a:ext>
          </a:extLst>
        </xdr:cNvPr>
        <xdr:cNvSpPr txBox="1"/>
      </xdr:nvSpPr>
      <xdr:spPr>
        <a:xfrm>
          <a:off x="1509263" y="136202"/>
          <a:ext cx="2252839" cy="276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Simple</a:t>
          </a:r>
          <a:r>
            <a:rPr lang="en-GB" sz="1100" baseline="0"/>
            <a:t> DCF Cash Flow Analysis</a:t>
          </a:r>
          <a:endParaRPr lang="en-GB" sz="1100"/>
        </a:p>
      </xdr:txBody>
    </xdr:sp>
    <xdr:clientData/>
  </xdr:twoCellAnchor>
  <xdr:twoCellAnchor>
    <xdr:from>
      <xdr:col>2</xdr:col>
      <xdr:colOff>121836</xdr:colOff>
      <xdr:row>2</xdr:row>
      <xdr:rowOff>156719</xdr:rowOff>
    </xdr:from>
    <xdr:to>
      <xdr:col>3</xdr:col>
      <xdr:colOff>1455922</xdr:colOff>
      <xdr:row>5</xdr:row>
      <xdr:rowOff>87086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08746F-70C2-48B1-A79F-95516EA39928}"/>
            </a:ext>
          </a:extLst>
        </xdr:cNvPr>
        <xdr:cNvSpPr txBox="1"/>
      </xdr:nvSpPr>
      <xdr:spPr>
        <a:xfrm>
          <a:off x="1502145" y="522479"/>
          <a:ext cx="2483617" cy="479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Scenario</a:t>
          </a:r>
          <a:r>
            <a:rPr lang="en-GB" sz="1100" baseline="0"/>
            <a:t> #1: Inc. Barclays Bank Aquisition</a:t>
          </a:r>
          <a:endParaRPr lang="en-GB" sz="1100"/>
        </a:p>
      </xdr:txBody>
    </xdr:sp>
    <xdr:clientData/>
  </xdr:twoCellAnchor>
  <xdr:twoCellAnchor>
    <xdr:from>
      <xdr:col>11</xdr:col>
      <xdr:colOff>26043</xdr:colOff>
      <xdr:row>3</xdr:row>
      <xdr:rowOff>30445</xdr:rowOff>
    </xdr:from>
    <xdr:to>
      <xdr:col>15</xdr:col>
      <xdr:colOff>71260</xdr:colOff>
      <xdr:row>5</xdr:row>
      <xdr:rowOff>143692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C1A665-E63C-6213-15E4-D61F5C5F5BCC}"/>
            </a:ext>
          </a:extLst>
        </xdr:cNvPr>
        <xdr:cNvSpPr txBox="1"/>
      </xdr:nvSpPr>
      <xdr:spPr>
        <a:xfrm>
          <a:off x="12879894" y="579085"/>
          <a:ext cx="2483617" cy="479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Scenario</a:t>
          </a:r>
          <a:r>
            <a:rPr lang="en-GB" sz="1100" baseline="0"/>
            <a:t> #2: Exc. Barclays Bank Aquisition</a:t>
          </a:r>
          <a:endParaRPr lang="en-GB" sz="1100"/>
        </a:p>
      </xdr:txBody>
    </xdr:sp>
    <xdr:clientData/>
  </xdr:twoCellAnchor>
  <xdr:twoCellAnchor>
    <xdr:from>
      <xdr:col>0</xdr:col>
      <xdr:colOff>165380</xdr:colOff>
      <xdr:row>17</xdr:row>
      <xdr:rowOff>87052</xdr:rowOff>
    </xdr:from>
    <xdr:to>
      <xdr:col>1</xdr:col>
      <xdr:colOff>1706880</xdr:colOff>
      <xdr:row>19</xdr:row>
      <xdr:rowOff>4356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89AF3E-8347-A8EC-4D0E-1B318B8FE8C2}"/>
            </a:ext>
          </a:extLst>
        </xdr:cNvPr>
        <xdr:cNvSpPr txBox="1"/>
      </xdr:nvSpPr>
      <xdr:spPr>
        <a:xfrm>
          <a:off x="165380" y="3196012"/>
          <a:ext cx="1885489" cy="283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Forecasted</a:t>
          </a:r>
          <a:r>
            <a:rPr lang="en-GB" sz="1100" baseline="0"/>
            <a:t> FCF (2025 - 2027)</a:t>
          </a:r>
          <a:endParaRPr lang="en-GB" sz="1100"/>
        </a:p>
      </xdr:txBody>
    </xdr:sp>
    <xdr:clientData/>
  </xdr:twoCellAnchor>
  <xdr:twoCellAnchor>
    <xdr:from>
      <xdr:col>11</xdr:col>
      <xdr:colOff>29508</xdr:colOff>
      <xdr:row>17</xdr:row>
      <xdr:rowOff>33545</xdr:rowOff>
    </xdr:from>
    <xdr:to>
      <xdr:col>14</xdr:col>
      <xdr:colOff>522418</xdr:colOff>
      <xdr:row>18</xdr:row>
      <xdr:rowOff>131824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953E28-A94C-F93D-A956-1021DA2F3B70}"/>
            </a:ext>
          </a:extLst>
        </xdr:cNvPr>
        <xdr:cNvSpPr txBox="1"/>
      </xdr:nvSpPr>
      <xdr:spPr>
        <a:xfrm>
          <a:off x="17107273" y="3081545"/>
          <a:ext cx="3020957" cy="277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Forecasted</a:t>
          </a:r>
          <a:r>
            <a:rPr lang="en-GB" sz="1100" baseline="0"/>
            <a:t> FCF (2025 - 2027)</a:t>
          </a:r>
          <a:endParaRPr lang="en-GB" sz="1100"/>
        </a:p>
      </xdr:txBody>
    </xdr:sp>
    <xdr:clientData/>
  </xdr:twoCellAnchor>
  <xdr:twoCellAnchor>
    <xdr:from>
      <xdr:col>3</xdr:col>
      <xdr:colOff>797901</xdr:colOff>
      <xdr:row>40</xdr:row>
      <xdr:rowOff>140311</xdr:rowOff>
    </xdr:from>
    <xdr:to>
      <xdr:col>9</xdr:col>
      <xdr:colOff>238539</xdr:colOff>
      <xdr:row>62</xdr:row>
      <xdr:rowOff>11723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B97DB2-909C-0C20-8577-0FB7BA2A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291603</xdr:colOff>
      <xdr:row>63</xdr:row>
      <xdr:rowOff>160193</xdr:rowOff>
    </xdr:from>
    <xdr:to>
      <xdr:col>12</xdr:col>
      <xdr:colOff>943744</xdr:colOff>
      <xdr:row>78</xdr:row>
      <xdr:rowOff>142607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820224-2502-0D3B-83B9-0F5484DA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589268</xdr:colOff>
      <xdr:row>40</xdr:row>
      <xdr:rowOff>167145</xdr:rowOff>
    </xdr:from>
    <xdr:to>
      <xdr:col>15</xdr:col>
      <xdr:colOff>100337</xdr:colOff>
      <xdr:row>61</xdr:row>
      <xdr:rowOff>32658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1E6D93-36B9-647D-C100-0CBCE1B46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128" zoomScaleNormal="190" workbookViewId="0">
      <selection activeCell="G17" sqref="G17"/>
    </sheetView>
  </sheetViews>
  <sheetFormatPr defaultRowHeight="14.4" x14ac:dyDescent="0.3"/>
  <cols>
    <col min="1" max="1" width="4.88671875" bestFit="1" customWidth="1"/>
    <col min="2" max="2" width="12.109375" bestFit="1" customWidth="1"/>
    <col min="3" max="3" width="16.44140625" bestFit="1" customWidth="1"/>
    <col min="4" max="4" width="22.77734375" bestFit="1" customWidth="1"/>
    <col min="5" max="5" width="18.33203125" bestFit="1" customWidth="1"/>
    <col min="6" max="6" width="17.33203125" bestFit="1" customWidth="1"/>
    <col min="7" max="7" width="22.109375" bestFit="1" customWidth="1"/>
    <col min="8" max="8" width="18" bestFit="1" customWidth="1"/>
    <col min="9" max="9" width="21.88671875" bestFit="1" customWidth="1"/>
    <col min="10" max="10" width="2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25</v>
      </c>
      <c r="I1" s="3" t="s">
        <v>26</v>
      </c>
      <c r="J1" s="3" t="s">
        <v>20</v>
      </c>
    </row>
    <row r="2" spans="1:15" x14ac:dyDescent="0.3">
      <c r="A2">
        <v>2021</v>
      </c>
      <c r="B2" s="2">
        <v>506000</v>
      </c>
      <c r="C2" s="2">
        <v>876000</v>
      </c>
      <c r="D2" s="2">
        <v>2101000</v>
      </c>
      <c r="E2" t="s">
        <v>24</v>
      </c>
      <c r="F2" s="2">
        <v>4402000</v>
      </c>
      <c r="G2" t="s">
        <v>24</v>
      </c>
      <c r="H2" s="2" t="e">
        <f>B2+C2+D2-F2-G2</f>
        <v>#VALUE!</v>
      </c>
    </row>
    <row r="3" spans="1:15" x14ac:dyDescent="0.3">
      <c r="A3">
        <v>2022</v>
      </c>
      <c r="B3" s="2">
        <v>7537000</v>
      </c>
      <c r="C3" s="2">
        <v>1037000</v>
      </c>
      <c r="D3" s="2">
        <v>2692000</v>
      </c>
      <c r="E3" t="s">
        <v>24</v>
      </c>
      <c r="F3" s="2">
        <v>3468000</v>
      </c>
      <c r="G3" s="2">
        <v>-52386000</v>
      </c>
      <c r="H3" s="2">
        <f t="shared" ref="H3:H5" si="0">B3+C3+D3-F3-G3</f>
        <v>60184000</v>
      </c>
    </row>
    <row r="4" spans="1:15" x14ac:dyDescent="0.3">
      <c r="A4">
        <v>2023</v>
      </c>
      <c r="B4" s="2">
        <v>-21000000</v>
      </c>
      <c r="C4" s="2">
        <v>1038000</v>
      </c>
      <c r="D4" s="2">
        <v>2699000</v>
      </c>
      <c r="E4" t="s">
        <v>24</v>
      </c>
      <c r="F4" s="2">
        <v>2761000</v>
      </c>
      <c r="G4" s="2">
        <v>50490000</v>
      </c>
      <c r="H4" s="2">
        <f>B4+C4+D4-F4-G4</f>
        <v>-70514000</v>
      </c>
      <c r="I4">
        <f>(H4-H3)/H3</f>
        <v>-2.1716403030705838</v>
      </c>
      <c r="J4" s="2">
        <v>-105133</v>
      </c>
    </row>
    <row r="5" spans="1:15" x14ac:dyDescent="0.3">
      <c r="A5">
        <v>2024</v>
      </c>
      <c r="B5" s="2">
        <v>608000</v>
      </c>
      <c r="C5" s="2">
        <v>1531000</v>
      </c>
      <c r="D5" s="2">
        <v>3708000</v>
      </c>
      <c r="E5" s="2">
        <v>754000</v>
      </c>
      <c r="F5" s="2">
        <v>5166000</v>
      </c>
      <c r="G5" s="2">
        <v>50490000</v>
      </c>
      <c r="H5" s="2">
        <f t="shared" si="0"/>
        <v>-49809000</v>
      </c>
      <c r="I5">
        <f>(H5-H4)/H4</f>
        <v>-0.29362963383157953</v>
      </c>
      <c r="J5" s="2">
        <v>-91231</v>
      </c>
    </row>
    <row r="10" spans="1:15" ht="28.8" x14ac:dyDescent="0.3">
      <c r="I10" t="s">
        <v>27</v>
      </c>
      <c r="J10" t="s">
        <v>28</v>
      </c>
      <c r="M10" s="4" t="s">
        <v>15</v>
      </c>
      <c r="N10" s="4" t="s">
        <v>32</v>
      </c>
      <c r="O10" s="4" t="s">
        <v>33</v>
      </c>
    </row>
    <row r="11" spans="1:15" ht="57.6" x14ac:dyDescent="0.3">
      <c r="I11">
        <f>(I4+I5/2)</f>
        <v>-2.3184551199863734</v>
      </c>
      <c r="J11">
        <v>0.09</v>
      </c>
      <c r="M11" s="5" t="s">
        <v>34</v>
      </c>
      <c r="N11" s="6">
        <v>45006</v>
      </c>
      <c r="O11" s="6">
        <v>200086</v>
      </c>
    </row>
    <row r="12" spans="1:15" x14ac:dyDescent="0.3">
      <c r="A12" t="s">
        <v>0</v>
      </c>
      <c r="B12" t="s">
        <v>13</v>
      </c>
      <c r="C12" t="s">
        <v>14</v>
      </c>
      <c r="D12" t="s">
        <v>29</v>
      </c>
      <c r="E12" t="s">
        <v>30</v>
      </c>
      <c r="F12" t="s">
        <v>31</v>
      </c>
      <c r="G12" t="s">
        <v>21</v>
      </c>
      <c r="H12" t="s">
        <v>35</v>
      </c>
    </row>
    <row r="13" spans="1:15" x14ac:dyDescent="0.3">
      <c r="A13">
        <v>2025</v>
      </c>
      <c r="B13">
        <f>H5 * (1 + (I11 / 100))</f>
        <v>-48654200.689285986</v>
      </c>
      <c r="C13">
        <f>B13 / (1 + 0.09)^1</f>
        <v>-44636881.366317414</v>
      </c>
    </row>
    <row r="14" spans="1:15" x14ac:dyDescent="0.3">
      <c r="A14">
        <v>2026</v>
      </c>
      <c r="B14">
        <f>B13*(1-(I11/100))</f>
        <v>-49782226.496255174</v>
      </c>
      <c r="C14">
        <f>B14 / (1 + 0.09)^2</f>
        <v>-41900704.062162414</v>
      </c>
    </row>
    <row r="15" spans="1:15" x14ac:dyDescent="0.3">
      <c r="A15">
        <v>2027</v>
      </c>
      <c r="B15">
        <f>B14*(1-(I11/100))</f>
        <v>-50936405.075300813</v>
      </c>
      <c r="C15">
        <f>B15 / (1 + 0.09)^2</f>
        <v>-42872153.080801956</v>
      </c>
      <c r="D15">
        <f>(B15*(1+0.025))/(J11-0.025)</f>
        <v>-803227926.18743575</v>
      </c>
      <c r="E15">
        <f>(D15)/(1+J11)^3</f>
        <v>-620239335.32564569</v>
      </c>
      <c r="F15">
        <f>C13+C14+C15+E15</f>
        <v>-749649073.83492744</v>
      </c>
      <c r="G15" s="2">
        <f>F15-J5</f>
        <v>-749557842.83492744</v>
      </c>
      <c r="H15">
        <v>-18.690000000000001</v>
      </c>
    </row>
    <row r="21" spans="1:10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3" t="s">
        <v>25</v>
      </c>
      <c r="I21" s="3" t="s">
        <v>26</v>
      </c>
      <c r="J21" s="3" t="s">
        <v>20</v>
      </c>
    </row>
    <row r="22" spans="1:10" x14ac:dyDescent="0.3">
      <c r="A22">
        <v>2021</v>
      </c>
      <c r="B22" s="2">
        <v>506000</v>
      </c>
      <c r="C22" s="2">
        <v>876000</v>
      </c>
      <c r="D22" s="2">
        <v>2101000</v>
      </c>
      <c r="E22" t="s">
        <v>24</v>
      </c>
      <c r="F22" s="2">
        <v>4402000</v>
      </c>
      <c r="G22" t="s">
        <v>24</v>
      </c>
      <c r="H22" s="2">
        <f>(B22*(1-0.25))+C22+D22-F22</f>
        <v>-1045500</v>
      </c>
    </row>
    <row r="23" spans="1:10" x14ac:dyDescent="0.3">
      <c r="A23">
        <v>2022</v>
      </c>
      <c r="B23" s="2">
        <v>7537000</v>
      </c>
      <c r="C23" s="2">
        <v>1037000</v>
      </c>
      <c r="D23" s="2">
        <v>2692000</v>
      </c>
      <c r="E23" t="s">
        <v>24</v>
      </c>
      <c r="F23" s="2">
        <v>3468000</v>
      </c>
      <c r="G23" s="2">
        <v>-52386000</v>
      </c>
      <c r="H23" s="2">
        <f>(B23*(1-0.25))+C23+D23-F23</f>
        <v>5913750</v>
      </c>
      <c r="I23">
        <f>(H23-H22)/H22</f>
        <v>-6.6563845050215207</v>
      </c>
    </row>
    <row r="24" spans="1:10" x14ac:dyDescent="0.3">
      <c r="A24">
        <v>2024</v>
      </c>
      <c r="B24" s="2">
        <v>608000</v>
      </c>
      <c r="C24" s="2">
        <v>1531000</v>
      </c>
      <c r="D24" s="2">
        <v>3708000</v>
      </c>
      <c r="E24" s="2">
        <v>754000</v>
      </c>
      <c r="F24" s="2">
        <v>5166000</v>
      </c>
      <c r="G24" s="2">
        <v>50490000</v>
      </c>
      <c r="H24" s="2">
        <f>(B24*(1-0.25))+C24+D24-F24</f>
        <v>529000</v>
      </c>
      <c r="I24">
        <f>(H24-H23)/H23</f>
        <v>-0.9105474529697738</v>
      </c>
      <c r="J24" s="2">
        <v>-91231</v>
      </c>
    </row>
    <row r="48" spans="1:10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3" t="s">
        <v>25</v>
      </c>
      <c r="I48" s="3" t="s">
        <v>26</v>
      </c>
      <c r="J48" s="3" t="s">
        <v>20</v>
      </c>
    </row>
    <row r="49" spans="1:10" x14ac:dyDescent="0.3">
      <c r="A49">
        <v>2021</v>
      </c>
      <c r="B49" s="2">
        <v>506000</v>
      </c>
      <c r="C49" s="2">
        <v>876000</v>
      </c>
      <c r="D49" s="2">
        <v>2101000</v>
      </c>
      <c r="E49" t="s">
        <v>24</v>
      </c>
      <c r="F49" s="2">
        <v>4402000</v>
      </c>
      <c r="G49" t="s">
        <v>24</v>
      </c>
      <c r="H49" s="2">
        <f>((B49*(1-0.25))+C49+D49-F49)</f>
        <v>-1045500</v>
      </c>
    </row>
    <row r="50" spans="1:10" x14ac:dyDescent="0.3">
      <c r="A50">
        <v>2022</v>
      </c>
      <c r="B50" s="2">
        <v>7537000</v>
      </c>
      <c r="C50" s="2">
        <v>1037000</v>
      </c>
      <c r="D50" s="2">
        <v>2692000</v>
      </c>
      <c r="E50" t="s">
        <v>24</v>
      </c>
      <c r="F50" s="2">
        <v>3468000</v>
      </c>
      <c r="G50" s="2">
        <v>-52386000</v>
      </c>
      <c r="H50" s="2">
        <f t="shared" ref="H50:H52" si="1">((B50*(1-0.25))+C50+D50-F50)</f>
        <v>5913750</v>
      </c>
      <c r="I50">
        <f>(H50-H49)/ABS(H49)</f>
        <v>6.6563845050215207</v>
      </c>
    </row>
    <row r="51" spans="1:10" x14ac:dyDescent="0.3">
      <c r="A51">
        <v>2023</v>
      </c>
      <c r="B51" s="2">
        <v>-21000000</v>
      </c>
      <c r="C51" s="2">
        <v>1038000</v>
      </c>
      <c r="D51" s="2">
        <v>2699000</v>
      </c>
      <c r="E51" t="s">
        <v>24</v>
      </c>
      <c r="F51" s="2">
        <v>2761000</v>
      </c>
      <c r="G51" s="2">
        <v>50490000</v>
      </c>
      <c r="H51" s="2">
        <f>((B51*(1-0.25))+C51+D51-F51)</f>
        <v>-14774000</v>
      </c>
      <c r="I51">
        <f>(H51-H50)/ABS(H50)</f>
        <v>-3.4982456140350879</v>
      </c>
      <c r="J51" s="2">
        <v>-105133</v>
      </c>
    </row>
    <row r="52" spans="1:10" x14ac:dyDescent="0.3">
      <c r="A52">
        <v>2024</v>
      </c>
      <c r="B52" s="2">
        <v>608000</v>
      </c>
      <c r="C52" s="2">
        <v>1531000</v>
      </c>
      <c r="D52" s="2">
        <v>3708000</v>
      </c>
      <c r="E52" s="2">
        <v>754000</v>
      </c>
      <c r="F52" s="2">
        <v>5166000</v>
      </c>
      <c r="G52" s="2">
        <v>50490000</v>
      </c>
      <c r="H52" s="2">
        <f t="shared" si="1"/>
        <v>529000</v>
      </c>
      <c r="I52">
        <f>(H52-H51)/ABS(H51)</f>
        <v>1.0358061459320427</v>
      </c>
      <c r="J52" s="2">
        <v>-91231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DA9-5448-4BE3-9986-850F02977921}">
  <dimension ref="A12:U83"/>
  <sheetViews>
    <sheetView tabSelected="1" topLeftCell="N1" zoomScale="145" zoomScaleNormal="145" workbookViewId="0">
      <selection activeCell="S6" sqref="S6"/>
    </sheetView>
  </sheetViews>
  <sheetFormatPr defaultRowHeight="14.4" x14ac:dyDescent="0.3"/>
  <cols>
    <col min="1" max="2" width="30.109375" style="8" bestFit="1" customWidth="1"/>
    <col min="3" max="3" width="31.88671875" style="8" bestFit="1" customWidth="1"/>
    <col min="4" max="4" width="24.109375" style="8" bestFit="1" customWidth="1"/>
    <col min="5" max="5" width="19.6640625" style="8" bestFit="1" customWidth="1"/>
    <col min="6" max="6" width="18.21875" style="8" bestFit="1" customWidth="1"/>
    <col min="7" max="7" width="23.44140625" style="8" bestFit="1" customWidth="1"/>
    <col min="8" max="8" width="19.109375" style="8" bestFit="1" customWidth="1"/>
    <col min="9" max="9" width="15.77734375" style="8" bestFit="1" customWidth="1"/>
    <col min="10" max="10" width="12.6640625" style="8" bestFit="1" customWidth="1"/>
    <col min="11" max="11" width="8.88671875" style="8"/>
    <col min="12" max="12" width="22.44140625" style="8" bestFit="1" customWidth="1"/>
    <col min="13" max="13" width="30.109375" style="8" bestFit="1" customWidth="1"/>
    <col min="14" max="14" width="19.77734375" style="8" bestFit="1" customWidth="1"/>
    <col min="15" max="15" width="24.109375" style="8" bestFit="1" customWidth="1"/>
    <col min="16" max="16" width="19.6640625" style="8" bestFit="1" customWidth="1"/>
    <col min="17" max="17" width="18.21875" style="8" bestFit="1" customWidth="1"/>
    <col min="18" max="18" width="23.44140625" style="8" bestFit="1" customWidth="1"/>
    <col min="19" max="19" width="19.109375" style="8" bestFit="1" customWidth="1"/>
    <col min="20" max="20" width="15.77734375" style="8" bestFit="1" customWidth="1"/>
    <col min="21" max="21" width="12.6640625" style="8" bestFit="1" customWidth="1"/>
    <col min="22" max="16384" width="8.88671875" style="8"/>
  </cols>
  <sheetData>
    <row r="12" spans="1:21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25</v>
      </c>
      <c r="I12" s="7" t="s">
        <v>26</v>
      </c>
      <c r="J12" s="7" t="s">
        <v>20</v>
      </c>
      <c r="L12" s="7" t="s">
        <v>0</v>
      </c>
      <c r="M12" s="7" t="s">
        <v>1</v>
      </c>
      <c r="N12" s="7" t="s">
        <v>2</v>
      </c>
      <c r="O12" s="7" t="s">
        <v>3</v>
      </c>
      <c r="P12" s="7" t="s">
        <v>4</v>
      </c>
      <c r="Q12" s="7" t="s">
        <v>5</v>
      </c>
      <c r="R12" s="7" t="s">
        <v>6</v>
      </c>
      <c r="S12" s="7" t="s">
        <v>25</v>
      </c>
      <c r="T12" s="7" t="s">
        <v>26</v>
      </c>
      <c r="U12" s="7" t="s">
        <v>20</v>
      </c>
    </row>
    <row r="13" spans="1:21" x14ac:dyDescent="0.3">
      <c r="A13" s="8">
        <v>2021</v>
      </c>
      <c r="B13" s="9">
        <v>506000</v>
      </c>
      <c r="C13" s="9">
        <v>876000</v>
      </c>
      <c r="D13" s="9">
        <v>2101000</v>
      </c>
      <c r="E13" s="8" t="s">
        <v>24</v>
      </c>
      <c r="F13" s="9">
        <v>4402000</v>
      </c>
      <c r="G13" s="8" t="s">
        <v>24</v>
      </c>
      <c r="H13" s="9">
        <f>((B13*(1-0.25))+C13+D13-F13)</f>
        <v>-1045500</v>
      </c>
      <c r="L13" s="8">
        <v>2021</v>
      </c>
      <c r="M13" s="9">
        <v>506000</v>
      </c>
      <c r="N13" s="9">
        <v>876000</v>
      </c>
      <c r="O13" s="9">
        <v>2101000</v>
      </c>
      <c r="P13" s="8" t="s">
        <v>24</v>
      </c>
      <c r="Q13" s="9">
        <v>4402000</v>
      </c>
      <c r="R13" s="8" t="s">
        <v>24</v>
      </c>
      <c r="S13" s="9">
        <f>((M13*(1-0.25))+N13+O13-Q13)</f>
        <v>-1045500</v>
      </c>
    </row>
    <row r="14" spans="1:21" x14ac:dyDescent="0.3">
      <c r="A14" s="8">
        <v>2022</v>
      </c>
      <c r="B14" s="9">
        <v>7537000</v>
      </c>
      <c r="C14" s="9">
        <v>1037000</v>
      </c>
      <c r="D14" s="9">
        <v>2692000</v>
      </c>
      <c r="E14" s="8" t="s">
        <v>24</v>
      </c>
      <c r="F14" s="9">
        <v>3468000</v>
      </c>
      <c r="G14" s="9">
        <v>-52386000</v>
      </c>
      <c r="H14" s="9">
        <f t="shared" ref="H14:H16" si="0">((B14*(1-0.25))+C14+D14-F14)</f>
        <v>5913750</v>
      </c>
      <c r="I14" s="8">
        <f>(H14-H13)/ABS(H13)</f>
        <v>6.6563845050215207</v>
      </c>
      <c r="L14" s="8">
        <v>2022</v>
      </c>
      <c r="M14" s="9">
        <v>7537000</v>
      </c>
      <c r="N14" s="9">
        <v>1037000</v>
      </c>
      <c r="O14" s="9">
        <v>2692000</v>
      </c>
      <c r="P14" s="8" t="s">
        <v>24</v>
      </c>
      <c r="Q14" s="9">
        <v>3468000</v>
      </c>
      <c r="R14" s="9">
        <v>-52386000</v>
      </c>
      <c r="S14" s="9">
        <f t="shared" ref="S14" si="1">((M14*(1-0.25))+N14+O14-Q14)</f>
        <v>5913750</v>
      </c>
      <c r="T14" s="8">
        <f>(S14-S13)/ABS(S13)</f>
        <v>6.6563845050215207</v>
      </c>
    </row>
    <row r="15" spans="1:21" x14ac:dyDescent="0.3">
      <c r="A15" s="8">
        <v>2023</v>
      </c>
      <c r="B15" s="9">
        <v>-21000000</v>
      </c>
      <c r="C15" s="9">
        <v>1038000</v>
      </c>
      <c r="D15" s="9">
        <v>2699000</v>
      </c>
      <c r="E15" s="8" t="s">
        <v>24</v>
      </c>
      <c r="F15" s="9">
        <v>2761000</v>
      </c>
      <c r="G15" s="9">
        <v>50490000</v>
      </c>
      <c r="H15" s="9">
        <f>((B15*(1-0.25))+C15+D15-F15)</f>
        <v>-14774000</v>
      </c>
      <c r="I15" s="8">
        <f>(H15-H14)/ABS(H14)</f>
        <v>-3.4982456140350879</v>
      </c>
      <c r="J15" s="9">
        <v>-91231000</v>
      </c>
      <c r="L15" s="8">
        <v>2023</v>
      </c>
      <c r="M15" s="9">
        <f>(M14+M16)/2</f>
        <v>4072500</v>
      </c>
      <c r="N15" s="9">
        <v>1038000</v>
      </c>
      <c r="O15" s="9">
        <v>2699000</v>
      </c>
      <c r="P15" s="8" t="s">
        <v>24</v>
      </c>
      <c r="Q15" s="9">
        <v>2761000</v>
      </c>
      <c r="R15" s="9">
        <v>50490000</v>
      </c>
      <c r="S15" s="9">
        <f>((M15*(1-0.25))+N15+O15-Q15)</f>
        <v>4030375</v>
      </c>
      <c r="T15" s="8">
        <f>(S15-S14)/ABS(S14)</f>
        <v>-0.3184738955823293</v>
      </c>
      <c r="U15" s="9">
        <v>-91231000</v>
      </c>
    </row>
    <row r="16" spans="1:21" x14ac:dyDescent="0.3">
      <c r="A16" s="8">
        <v>2024</v>
      </c>
      <c r="B16" s="9">
        <v>608000</v>
      </c>
      <c r="C16" s="9">
        <v>1531000</v>
      </c>
      <c r="D16" s="9">
        <v>3708000</v>
      </c>
      <c r="E16" s="9">
        <v>754000</v>
      </c>
      <c r="F16" s="9">
        <v>5166000</v>
      </c>
      <c r="G16" s="9">
        <v>50490000</v>
      </c>
      <c r="H16" s="9">
        <f t="shared" si="0"/>
        <v>529000</v>
      </c>
      <c r="I16" s="8">
        <f>(H16-H15)/ABS(H15)</f>
        <v>1.0358061459320427</v>
      </c>
      <c r="J16" s="9">
        <v>-105133000</v>
      </c>
      <c r="L16" s="8">
        <v>2024</v>
      </c>
      <c r="M16" s="9">
        <v>608000</v>
      </c>
      <c r="N16" s="9">
        <v>1531000</v>
      </c>
      <c r="O16" s="9">
        <v>3708000</v>
      </c>
      <c r="P16" s="9">
        <v>754000</v>
      </c>
      <c r="Q16" s="9">
        <v>5166000</v>
      </c>
      <c r="R16" s="9">
        <v>50490000</v>
      </c>
      <c r="S16" s="9">
        <f t="shared" ref="S16" si="2">((M16*(1-0.25))+N16+O16-Q16)</f>
        <v>529000</v>
      </c>
      <c r="T16" s="8">
        <f>(S16-S15)/ABS(S15)</f>
        <v>-0.86874670471110005</v>
      </c>
      <c r="U16" s="9">
        <v>-105133000</v>
      </c>
    </row>
    <row r="19" spans="1:15" x14ac:dyDescent="0.3">
      <c r="E19" s="10"/>
      <c r="F19" s="10"/>
    </row>
    <row r="21" spans="1:15" x14ac:dyDescent="0.3">
      <c r="A21" s="10" t="s">
        <v>36</v>
      </c>
      <c r="B21" s="10" t="s">
        <v>37</v>
      </c>
      <c r="C21" s="10" t="s">
        <v>41</v>
      </c>
      <c r="G21" s="10"/>
      <c r="H21" s="10"/>
      <c r="L21" s="10" t="s">
        <v>36</v>
      </c>
      <c r="M21" s="10" t="s">
        <v>37</v>
      </c>
      <c r="N21" s="10" t="s">
        <v>41</v>
      </c>
    </row>
    <row r="22" spans="1:15" x14ac:dyDescent="0.3">
      <c r="A22" s="8">
        <v>2.5000000000000001E-2</v>
      </c>
      <c r="B22" s="8">
        <v>0.09</v>
      </c>
      <c r="C22" s="8">
        <v>1000000</v>
      </c>
      <c r="L22" s="8">
        <v>2.5000000000000001E-2</v>
      </c>
      <c r="M22" s="8">
        <v>0.09</v>
      </c>
      <c r="N22" s="8">
        <v>1000000</v>
      </c>
    </row>
    <row r="25" spans="1:15" x14ac:dyDescent="0.3">
      <c r="A25" s="7" t="s">
        <v>0</v>
      </c>
      <c r="B25" s="10" t="s">
        <v>25</v>
      </c>
      <c r="C25" s="10" t="s">
        <v>14</v>
      </c>
      <c r="D25" s="10" t="s">
        <v>38</v>
      </c>
      <c r="G25" s="7"/>
      <c r="H25" s="10"/>
      <c r="I25" s="10"/>
      <c r="J25" s="10"/>
      <c r="L25" s="7" t="s">
        <v>0</v>
      </c>
      <c r="M25" s="10" t="s">
        <v>25</v>
      </c>
      <c r="N25" s="10" t="s">
        <v>14</v>
      </c>
      <c r="O25" s="10" t="s">
        <v>38</v>
      </c>
    </row>
    <row r="26" spans="1:15" x14ac:dyDescent="0.3">
      <c r="A26" s="8">
        <v>2021</v>
      </c>
      <c r="B26" s="8">
        <v>-1045500</v>
      </c>
      <c r="C26" s="8">
        <v>-1045500</v>
      </c>
      <c r="L26" s="8">
        <v>2021</v>
      </c>
      <c r="M26" s="8">
        <v>-1045500</v>
      </c>
      <c r="N26" s="8">
        <v>-1045500</v>
      </c>
    </row>
    <row r="27" spans="1:15" x14ac:dyDescent="0.3">
      <c r="A27" s="8">
        <v>2022</v>
      </c>
      <c r="B27" s="8">
        <v>5913750</v>
      </c>
      <c r="C27" s="8">
        <v>5425458.7155963294</v>
      </c>
      <c r="L27" s="8">
        <v>2022</v>
      </c>
      <c r="M27" s="8">
        <v>5913750</v>
      </c>
      <c r="N27" s="8">
        <v>5425458.7155963294</v>
      </c>
    </row>
    <row r="28" spans="1:15" x14ac:dyDescent="0.3">
      <c r="A28" s="8">
        <v>2023</v>
      </c>
      <c r="B28" s="8">
        <v>-14774000</v>
      </c>
      <c r="C28" s="8">
        <v>-12434980.220520157</v>
      </c>
      <c r="L28" s="8">
        <v>2023</v>
      </c>
      <c r="M28" s="8">
        <f>(M27+M29)/2</f>
        <v>3221375</v>
      </c>
      <c r="N28" s="8">
        <f>(M28)/(1+M22)^2</f>
        <v>2711366.8883090643</v>
      </c>
    </row>
    <row r="29" spans="1:15" x14ac:dyDescent="0.3">
      <c r="A29" s="8">
        <v>2024</v>
      </c>
      <c r="B29" s="8">
        <v>529000</v>
      </c>
      <c r="C29" s="8">
        <v>408485.06095230294</v>
      </c>
      <c r="L29" s="8">
        <v>2024</v>
      </c>
      <c r="M29" s="8">
        <v>529000</v>
      </c>
      <c r="N29" s="8">
        <v>408485.06095230294</v>
      </c>
    </row>
    <row r="30" spans="1:15" x14ac:dyDescent="0.3">
      <c r="A30" s="8">
        <v>2025</v>
      </c>
      <c r="B30" s="8">
        <v>542225</v>
      </c>
      <c r="C30" s="8">
        <v>384125.86006982613</v>
      </c>
      <c r="L30" s="8">
        <v>2025</v>
      </c>
      <c r="M30" s="8">
        <v>542225</v>
      </c>
      <c r="N30" s="8">
        <v>384125.86006982613</v>
      </c>
    </row>
    <row r="31" spans="1:15" x14ac:dyDescent="0.3">
      <c r="A31" s="8">
        <v>2026</v>
      </c>
      <c r="B31" s="8">
        <v>555780.625</v>
      </c>
      <c r="C31" s="8">
        <v>361219.27208401076</v>
      </c>
      <c r="L31" s="8">
        <v>2026</v>
      </c>
      <c r="M31" s="8">
        <v>555780.625</v>
      </c>
      <c r="N31" s="8">
        <v>361219.27208401076</v>
      </c>
    </row>
    <row r="32" spans="1:15" x14ac:dyDescent="0.3">
      <c r="A32" s="8">
        <v>2027</v>
      </c>
      <c r="B32" s="8">
        <v>569675.140625</v>
      </c>
      <c r="C32" s="8">
        <v>339678.67329001013</v>
      </c>
      <c r="D32" s="8">
        <v>8983338.7560096104</v>
      </c>
      <c r="L32" s="8">
        <v>2027</v>
      </c>
      <c r="M32" s="8">
        <v>569675.140625</v>
      </c>
      <c r="N32" s="8">
        <v>339678.67329001013</v>
      </c>
      <c r="O32" s="8">
        <v>8983338.7560096104</v>
      </c>
    </row>
    <row r="33" spans="1:16" x14ac:dyDescent="0.3">
      <c r="A33" s="8">
        <v>2028</v>
      </c>
      <c r="B33" s="8">
        <v>583917.01914062491</v>
      </c>
      <c r="L33" s="8">
        <v>2028</v>
      </c>
      <c r="M33" s="8">
        <v>583917.01914062491</v>
      </c>
    </row>
    <row r="36" spans="1:16" x14ac:dyDescent="0.3">
      <c r="B36" s="10" t="s">
        <v>39</v>
      </c>
      <c r="C36" s="10" t="s">
        <v>31</v>
      </c>
      <c r="D36" s="10" t="s">
        <v>21</v>
      </c>
      <c r="E36" s="10" t="s">
        <v>40</v>
      </c>
      <c r="H36" s="10"/>
      <c r="I36" s="10"/>
      <c r="J36" s="10"/>
      <c r="M36" s="10" t="s">
        <v>39</v>
      </c>
      <c r="N36" s="10" t="s">
        <v>31</v>
      </c>
      <c r="O36" s="10" t="s">
        <v>21</v>
      </c>
      <c r="P36" s="10" t="s">
        <v>40</v>
      </c>
    </row>
    <row r="37" spans="1:16" x14ac:dyDescent="0.3">
      <c r="B37" s="8">
        <f>(D32)/(1+F20)^6</f>
        <v>8983338.7560096104</v>
      </c>
      <c r="C37" s="8">
        <f>C26+C27+C28+C29+C30+C31+C32+B37</f>
        <v>2421826.117481933</v>
      </c>
      <c r="D37" s="9">
        <f>C37-J16</f>
        <v>107554826.11748193</v>
      </c>
      <c r="E37" s="8">
        <f>D37/1000000</f>
        <v>107.55482611748194</v>
      </c>
      <c r="J37" s="9"/>
      <c r="M37" s="8">
        <f>(O32)/(1+Q20)^6</f>
        <v>8983338.7560096104</v>
      </c>
      <c r="N37" s="8">
        <f>N26+N27+N28+N29+N30+N31+N32+M37</f>
        <v>17568173.226311155</v>
      </c>
      <c r="O37" s="9">
        <f>N37-U16</f>
        <v>122701173.22631115</v>
      </c>
      <c r="P37" s="8">
        <f>O37/1000000</f>
        <v>122.70117322631114</v>
      </c>
    </row>
    <row r="46" spans="1:16" x14ac:dyDescent="0.3">
      <c r="A46" s="7" t="s">
        <v>0</v>
      </c>
      <c r="B46" s="7" t="s">
        <v>42</v>
      </c>
      <c r="C46" s="11" t="s">
        <v>43</v>
      </c>
    </row>
    <row r="47" spans="1:16" x14ac:dyDescent="0.3">
      <c r="A47" s="8">
        <v>2021</v>
      </c>
      <c r="B47" s="9">
        <v>-1045500</v>
      </c>
      <c r="C47" s="12">
        <v>-1045500</v>
      </c>
    </row>
    <row r="48" spans="1:16" x14ac:dyDescent="0.3">
      <c r="A48" s="8">
        <v>2022</v>
      </c>
      <c r="B48" s="9">
        <v>5913750</v>
      </c>
      <c r="C48" s="12">
        <v>5913750</v>
      </c>
    </row>
    <row r="49" spans="1:3" x14ac:dyDescent="0.3">
      <c r="A49" s="8">
        <v>2023</v>
      </c>
      <c r="B49" s="9">
        <v>-14774000</v>
      </c>
      <c r="C49" s="12">
        <v>4030375</v>
      </c>
    </row>
    <row r="50" spans="1:3" x14ac:dyDescent="0.3">
      <c r="A50" s="8">
        <v>2024</v>
      </c>
      <c r="B50" s="9">
        <v>529000</v>
      </c>
      <c r="C50" s="12">
        <v>529000</v>
      </c>
    </row>
    <row r="62" spans="1:3" x14ac:dyDescent="0.3">
      <c r="B62" s="8" t="s">
        <v>44</v>
      </c>
    </row>
    <row r="63" spans="1:3" x14ac:dyDescent="0.3">
      <c r="B63" s="8" t="s">
        <v>45</v>
      </c>
    </row>
    <row r="66" spans="1:5" x14ac:dyDescent="0.3">
      <c r="A66" s="10"/>
      <c r="B66" s="10" t="s">
        <v>46</v>
      </c>
      <c r="C66" s="10" t="s">
        <v>47</v>
      </c>
      <c r="D66" s="10"/>
      <c r="E66" s="10"/>
    </row>
    <row r="67" spans="1:5" x14ac:dyDescent="0.3">
      <c r="A67" s="10" t="s">
        <v>39</v>
      </c>
      <c r="B67" s="8">
        <v>8983338.7560096104</v>
      </c>
      <c r="C67" s="8">
        <v>8983338.7560096104</v>
      </c>
    </row>
    <row r="68" spans="1:5" x14ac:dyDescent="0.3">
      <c r="A68" s="10" t="s">
        <v>31</v>
      </c>
      <c r="B68" s="8">
        <v>2421826.117481933</v>
      </c>
      <c r="C68" s="8">
        <v>17568173.226311155</v>
      </c>
    </row>
    <row r="69" spans="1:5" x14ac:dyDescent="0.3">
      <c r="A69" s="10" t="s">
        <v>21</v>
      </c>
      <c r="B69" s="8">
        <v>107554826.11748193</v>
      </c>
      <c r="C69" s="8">
        <v>122701173.22631115</v>
      </c>
    </row>
    <row r="70" spans="1:5" x14ac:dyDescent="0.3">
      <c r="A70" s="10" t="s">
        <v>40</v>
      </c>
      <c r="B70" s="8">
        <v>107.55482611748194</v>
      </c>
      <c r="C70" s="8">
        <v>122.70117322631114</v>
      </c>
    </row>
    <row r="79" spans="1:5" ht="15.6" x14ac:dyDescent="0.4">
      <c r="A79" s="13" t="s">
        <v>0</v>
      </c>
      <c r="B79" s="13" t="s">
        <v>1</v>
      </c>
    </row>
    <row r="80" spans="1:5" ht="15.6" x14ac:dyDescent="0.4">
      <c r="A80" s="13">
        <v>2021</v>
      </c>
      <c r="B80" s="13">
        <v>506000</v>
      </c>
    </row>
    <row r="81" spans="1:2" ht="15.6" x14ac:dyDescent="0.4">
      <c r="A81" s="13">
        <v>2022</v>
      </c>
      <c r="B81" s="13">
        <v>7537000</v>
      </c>
    </row>
    <row r="82" spans="1:2" ht="15.6" x14ac:dyDescent="0.4">
      <c r="A82" s="13">
        <v>2023</v>
      </c>
      <c r="B82" s="13">
        <v>-21000000</v>
      </c>
    </row>
    <row r="83" spans="1:2" ht="15.6" x14ac:dyDescent="0.4">
      <c r="A83" s="13">
        <v>2024</v>
      </c>
      <c r="B83" s="13">
        <v>608000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75" zoomScaleNormal="175" workbookViewId="0">
      <selection activeCell="B6" sqref="B6"/>
    </sheetView>
  </sheetViews>
  <sheetFormatPr defaultRowHeight="14.4" x14ac:dyDescent="0.3"/>
  <cols>
    <col min="1" max="1" width="5" bestFit="1" customWidth="1"/>
    <col min="2" max="2" width="15.109375" bestFit="1" customWidth="1"/>
    <col min="3" max="3" width="11.6640625" bestFit="1" customWidth="1"/>
    <col min="4" max="4" width="11.88671875" bestFit="1" customWidth="1"/>
    <col min="5" max="5" width="11.6640625" bestFit="1" customWidth="1"/>
    <col min="6" max="6" width="6.109375" bestFit="1" customWidth="1"/>
    <col min="7" max="7" width="11.6640625" bestFit="1" customWidth="1"/>
    <col min="8" max="8" width="13.44140625" bestFit="1" customWidth="1"/>
  </cols>
  <sheetData>
    <row r="1" spans="1:8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">
      <c r="A2">
        <v>2021</v>
      </c>
      <c r="B2">
        <f>Inputs!B2</f>
        <v>506000</v>
      </c>
      <c r="C2">
        <f>Inputs!C2</f>
        <v>876000</v>
      </c>
      <c r="D2">
        <f>Inputs!D2</f>
        <v>2101000</v>
      </c>
      <c r="E2" t="str">
        <f>Inputs!E2</f>
        <v>-</v>
      </c>
      <c r="F2">
        <f>Inputs!F2</f>
        <v>4402000</v>
      </c>
      <c r="G2" t="str">
        <f>Inputs!G2</f>
        <v>-</v>
      </c>
      <c r="H2" t="e">
        <f>SUM(B2:E2)-F2-G2</f>
        <v>#VALUE!</v>
      </c>
    </row>
    <row r="3" spans="1:8" x14ac:dyDescent="0.3">
      <c r="A3">
        <v>2022</v>
      </c>
      <c r="B3">
        <f>Inputs!B3</f>
        <v>7537000</v>
      </c>
      <c r="C3">
        <f>Inputs!C3</f>
        <v>1037000</v>
      </c>
      <c r="D3">
        <f>Inputs!D3</f>
        <v>2692000</v>
      </c>
      <c r="E3" t="str">
        <f>Inputs!E3</f>
        <v>-</v>
      </c>
      <c r="F3">
        <f>Inputs!F3</f>
        <v>3468000</v>
      </c>
      <c r="G3">
        <f>Inputs!G3</f>
        <v>-52386000</v>
      </c>
      <c r="H3">
        <f>SUM(B3:E3)-F3-G3</f>
        <v>60184000</v>
      </c>
    </row>
    <row r="4" spans="1:8" x14ac:dyDescent="0.3">
      <c r="A4">
        <v>2023</v>
      </c>
      <c r="B4">
        <f>Inputs!B4</f>
        <v>-21000000</v>
      </c>
      <c r="C4">
        <f>Inputs!C4</f>
        <v>1038000</v>
      </c>
      <c r="D4">
        <f>Inputs!D4</f>
        <v>2699000</v>
      </c>
      <c r="E4" t="str">
        <f>Inputs!E4</f>
        <v>-</v>
      </c>
      <c r="F4">
        <f>Inputs!F4</f>
        <v>2761000</v>
      </c>
      <c r="G4">
        <f>Inputs!G4</f>
        <v>50490000</v>
      </c>
      <c r="H4">
        <f>SUM(B4:E4)-F4-G4</f>
        <v>-70514000</v>
      </c>
    </row>
    <row r="5" spans="1:8" x14ac:dyDescent="0.3">
      <c r="A5">
        <v>2024</v>
      </c>
      <c r="B5">
        <f>Inputs!B5</f>
        <v>608000</v>
      </c>
      <c r="C5">
        <f>Inputs!C5</f>
        <v>1531000</v>
      </c>
      <c r="D5">
        <f>Inputs!D5</f>
        <v>3708000</v>
      </c>
      <c r="E5">
        <f>Inputs!E5</f>
        <v>754000</v>
      </c>
      <c r="F5">
        <f>Inputs!F5</f>
        <v>5166000</v>
      </c>
      <c r="G5">
        <f>Inputs!G5</f>
        <v>50490000</v>
      </c>
      <c r="H5">
        <f>SUM(B5:E5)-F5-G5</f>
        <v>-49055000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250" zoomScaleNormal="250" workbookViewId="0">
      <selection activeCell="G14" sqref="G14"/>
    </sheetView>
  </sheetViews>
  <sheetFormatPr defaultRowHeight="14.4" x14ac:dyDescent="0.3"/>
  <cols>
    <col min="1" max="1" width="5" bestFit="1" customWidth="1"/>
    <col min="2" max="2" width="12.44140625" bestFit="1" customWidth="1"/>
  </cols>
  <sheetData>
    <row r="1" spans="1:3" x14ac:dyDescent="0.3">
      <c r="A1" s="1" t="s">
        <v>0</v>
      </c>
      <c r="B1" s="1" t="s">
        <v>13</v>
      </c>
      <c r="C1" s="1" t="s">
        <v>14</v>
      </c>
    </row>
    <row r="2" spans="1:3" x14ac:dyDescent="0.3">
      <c r="A2">
        <v>2025</v>
      </c>
    </row>
    <row r="3" spans="1:3" x14ac:dyDescent="0.3">
      <c r="A3">
        <v>2026</v>
      </c>
    </row>
    <row r="4" spans="1:3" x14ac:dyDescent="0.3">
      <c r="A4">
        <v>2027</v>
      </c>
    </row>
    <row r="5" spans="1:3" x14ac:dyDescent="0.3">
      <c r="A5">
        <v>2028</v>
      </c>
    </row>
    <row r="6" spans="1:3" x14ac:dyDescent="0.3">
      <c r="A6">
        <v>2029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3" zoomScale="295" zoomScaleNormal="295" workbookViewId="0">
      <selection activeCell="C15" sqref="C15"/>
    </sheetView>
  </sheetViews>
  <sheetFormatPr defaultRowHeight="14.4" x14ac:dyDescent="0.3"/>
  <cols>
    <col min="1" max="1" width="20.21875" bestFit="1" customWidth="1"/>
    <col min="2" max="2" width="10.21875" bestFit="1" customWidth="1"/>
  </cols>
  <sheetData>
    <row r="1" spans="1:2" x14ac:dyDescent="0.3">
      <c r="A1" s="1" t="s">
        <v>15</v>
      </c>
      <c r="B1" s="1" t="s">
        <v>16</v>
      </c>
    </row>
    <row r="2" spans="1:2" x14ac:dyDescent="0.3">
      <c r="A2" t="s">
        <v>17</v>
      </c>
    </row>
    <row r="3" spans="1:2" x14ac:dyDescent="0.3">
      <c r="A3" t="s">
        <v>18</v>
      </c>
    </row>
    <row r="4" spans="1:2" x14ac:dyDescent="0.3">
      <c r="A4" t="s">
        <v>19</v>
      </c>
    </row>
    <row r="5" spans="1:2" x14ac:dyDescent="0.3">
      <c r="A5" t="s">
        <v>20</v>
      </c>
    </row>
    <row r="6" spans="1:2" x14ac:dyDescent="0.3">
      <c r="A6" t="s">
        <v>21</v>
      </c>
    </row>
    <row r="7" spans="1:2" x14ac:dyDescent="0.3">
      <c r="A7" t="s">
        <v>22</v>
      </c>
    </row>
    <row r="8" spans="1:2" x14ac:dyDescent="0.3">
      <c r="A8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Main</vt:lpstr>
      <vt:lpstr>Calculations</vt:lpstr>
      <vt:lpstr>Projections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Yusuf Ahmed</cp:lastModifiedBy>
  <dcterms:created xsi:type="dcterms:W3CDTF">2025-09-03T13:01:46Z</dcterms:created>
  <dcterms:modified xsi:type="dcterms:W3CDTF">2025-09-03T22:30:24Z</dcterms:modified>
</cp:coreProperties>
</file>