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vba_excel_forecasting\"/>
    </mc:Choice>
  </mc:AlternateContent>
  <bookViews>
    <workbookView xWindow="0" yWindow="0" windowWidth="28800" windowHeight="12450" tabRatio="500" firstSheet="2" activeTab="4"/>
  </bookViews>
  <sheets>
    <sheet name="Static Method" sheetId="1" r:id="rId1"/>
    <sheet name="Moving Average Method" sheetId="2" r:id="rId2"/>
    <sheet name="Simple Exponential Smoothing" sheetId="3" r:id="rId3"/>
    <sheet name="Holt Method" sheetId="4" r:id="rId4"/>
    <sheet name="Winters Method" sheetId="5" r:id="rId5"/>
    <sheet name="Regression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5" l="1"/>
  <c r="D17" i="5"/>
  <c r="D16" i="5"/>
  <c r="I18" i="5"/>
  <c r="I17" i="5"/>
  <c r="I16" i="5"/>
  <c r="E14" i="5"/>
  <c r="E13" i="5"/>
  <c r="E12" i="5"/>
  <c r="E11" i="5"/>
  <c r="E10" i="5"/>
  <c r="E9" i="5"/>
  <c r="E8" i="5"/>
  <c r="E7" i="5"/>
  <c r="F6" i="5"/>
  <c r="E6" i="5"/>
  <c r="E5" i="5"/>
  <c r="F5" i="5" s="1"/>
  <c r="F4" i="5"/>
  <c r="E4" i="5"/>
  <c r="E3" i="5"/>
  <c r="F3" i="5" s="1"/>
  <c r="I3" i="5" s="1"/>
  <c r="I4" i="4"/>
  <c r="G4" i="4"/>
  <c r="H4" i="4" s="1"/>
  <c r="L4" i="4" s="1"/>
  <c r="E4" i="4"/>
  <c r="H3" i="4"/>
  <c r="G3" i="4"/>
  <c r="E3" i="4"/>
  <c r="F3" i="4" s="1"/>
  <c r="H3" i="3"/>
  <c r="E2" i="3"/>
  <c r="F3" i="3" s="1"/>
  <c r="G3" i="3" s="1"/>
  <c r="F17" i="2"/>
  <c r="F13" i="2"/>
  <c r="E13" i="2"/>
  <c r="F16" i="2" s="1"/>
  <c r="E12" i="2"/>
  <c r="E11" i="2"/>
  <c r="F12" i="2" s="1"/>
  <c r="E10" i="2"/>
  <c r="F11" i="2" s="1"/>
  <c r="H11" i="2" s="1"/>
  <c r="K11" i="2" s="1"/>
  <c r="E9" i="2"/>
  <c r="F10" i="2" s="1"/>
  <c r="G10" i="2" s="1"/>
  <c r="F8" i="2"/>
  <c r="E8" i="2"/>
  <c r="F9" i="2" s="1"/>
  <c r="E7" i="2"/>
  <c r="E6" i="2"/>
  <c r="F7" i="2" s="1"/>
  <c r="H7" i="2" s="1"/>
  <c r="K7" i="2" s="1"/>
  <c r="E5" i="2"/>
  <c r="F6" i="2" s="1"/>
  <c r="G6" i="2" s="1"/>
  <c r="F13" i="1"/>
  <c r="G13" i="1" s="1"/>
  <c r="F12" i="1"/>
  <c r="G12" i="1" s="1"/>
  <c r="F11" i="1"/>
  <c r="G11" i="1" s="1"/>
  <c r="E11" i="1"/>
  <c r="G10" i="1"/>
  <c r="F10" i="1"/>
  <c r="E10" i="1"/>
  <c r="F9" i="1"/>
  <c r="G9" i="1" s="1"/>
  <c r="E9" i="1"/>
  <c r="F8" i="1"/>
  <c r="G8" i="1" s="1"/>
  <c r="E8" i="1"/>
  <c r="F7" i="1"/>
  <c r="G7" i="1" s="1"/>
  <c r="E7" i="1"/>
  <c r="G6" i="1"/>
  <c r="F6" i="1"/>
  <c r="E6" i="1"/>
  <c r="G5" i="1"/>
  <c r="H5" i="1" s="1"/>
  <c r="F5" i="1"/>
  <c r="E5" i="1"/>
  <c r="G4" i="1"/>
  <c r="H4" i="1" s="1"/>
  <c r="F4" i="1"/>
  <c r="E4" i="1"/>
  <c r="G3" i="1"/>
  <c r="H3" i="1" s="1"/>
  <c r="F3" i="1"/>
  <c r="F2" i="1"/>
  <c r="G2" i="1" s="1"/>
  <c r="H2" i="1" s="1"/>
  <c r="I10" i="1" l="1"/>
  <c r="I2" i="1"/>
  <c r="I14" i="1"/>
  <c r="I6" i="1"/>
  <c r="I17" i="1"/>
  <c r="I9" i="1"/>
  <c r="I5" i="1"/>
  <c r="I13" i="1"/>
  <c r="I8" i="1"/>
  <c r="I16" i="1"/>
  <c r="I12" i="1"/>
  <c r="I4" i="1"/>
  <c r="I15" i="1"/>
  <c r="I11" i="1"/>
  <c r="I3" i="1"/>
  <c r="I7" i="1"/>
  <c r="G7" i="2"/>
  <c r="H13" i="2"/>
  <c r="K13" i="2" s="1"/>
  <c r="G13" i="2"/>
  <c r="J3" i="3"/>
  <c r="M3" i="3" s="1"/>
  <c r="K3" i="3"/>
  <c r="H6" i="2"/>
  <c r="H10" i="2"/>
  <c r="K10" i="2" s="1"/>
  <c r="H9" i="2"/>
  <c r="K9" i="2" s="1"/>
  <c r="G9" i="2"/>
  <c r="I8" i="2"/>
  <c r="I7" i="2"/>
  <c r="I6" i="2"/>
  <c r="H8" i="2"/>
  <c r="K8" i="2" s="1"/>
  <c r="G8" i="2"/>
  <c r="I12" i="2" s="1"/>
  <c r="H12" i="2"/>
  <c r="K12" i="2" s="1"/>
  <c r="G12" i="2"/>
  <c r="I3" i="3"/>
  <c r="J3" i="4"/>
  <c r="L3" i="4"/>
  <c r="J4" i="4"/>
  <c r="I3" i="4"/>
  <c r="G11" i="2"/>
  <c r="F14" i="2"/>
  <c r="E3" i="3"/>
  <c r="F4" i="4"/>
  <c r="E5" i="4" s="1"/>
  <c r="G3" i="5"/>
  <c r="F15" i="2"/>
  <c r="F5" i="4" l="1"/>
  <c r="G6" i="4"/>
  <c r="H6" i="4" s="1"/>
  <c r="E6" i="4"/>
  <c r="J5" i="1"/>
  <c r="K5" i="1"/>
  <c r="N5" i="1" s="1"/>
  <c r="M4" i="4"/>
  <c r="M3" i="4"/>
  <c r="I13" i="2"/>
  <c r="J11" i="2"/>
  <c r="M11" i="2" s="1"/>
  <c r="J13" i="2"/>
  <c r="M13" i="2" s="1"/>
  <c r="J7" i="2"/>
  <c r="M7" i="2" s="1"/>
  <c r="K6" i="2"/>
  <c r="J10" i="2"/>
  <c r="M10" i="2" s="1"/>
  <c r="J6" i="2"/>
  <c r="M6" i="2" s="1"/>
  <c r="J9" i="2"/>
  <c r="M9" i="2" s="1"/>
  <c r="J12" i="2"/>
  <c r="M12" i="2" s="1"/>
  <c r="J8" i="2"/>
  <c r="M8" i="2" s="1"/>
  <c r="J3" i="1"/>
  <c r="K3" i="1"/>
  <c r="N3" i="1" s="1"/>
  <c r="J4" i="1"/>
  <c r="K4" i="1"/>
  <c r="N4" i="1" s="1"/>
  <c r="K13" i="1"/>
  <c r="N13" i="1" s="1"/>
  <c r="J13" i="1"/>
  <c r="K6" i="1"/>
  <c r="N6" i="1" s="1"/>
  <c r="J6" i="1"/>
  <c r="H3" i="5"/>
  <c r="I4" i="5" s="1"/>
  <c r="F7" i="5"/>
  <c r="J12" i="1"/>
  <c r="K12" i="1"/>
  <c r="N12" i="1" s="1"/>
  <c r="G4" i="5"/>
  <c r="I10" i="2"/>
  <c r="G5" i="4"/>
  <c r="H5" i="4" s="1"/>
  <c r="I9" i="2"/>
  <c r="I11" i="2"/>
  <c r="J9" i="1"/>
  <c r="K9" i="1"/>
  <c r="N9" i="1" s="1"/>
  <c r="K2" i="1"/>
  <c r="J2" i="1"/>
  <c r="K4" i="4"/>
  <c r="N4" i="4" s="1"/>
  <c r="K3" i="4"/>
  <c r="N3" i="4" s="1"/>
  <c r="K11" i="1"/>
  <c r="N11" i="1" s="1"/>
  <c r="J11" i="1"/>
  <c r="E4" i="3"/>
  <c r="F4" i="3"/>
  <c r="G4" i="3" s="1"/>
  <c r="L3" i="3"/>
  <c r="K7" i="1"/>
  <c r="N7" i="1" s="1"/>
  <c r="J7" i="1"/>
  <c r="K8" i="1"/>
  <c r="N8" i="1" s="1"/>
  <c r="J8" i="1"/>
  <c r="K10" i="1"/>
  <c r="N10" i="1" s="1"/>
  <c r="J10" i="1"/>
  <c r="E5" i="3" l="1"/>
  <c r="F5" i="3"/>
  <c r="G5" i="3" s="1"/>
  <c r="H5" i="3" s="1"/>
  <c r="K5" i="3" s="1"/>
  <c r="M8" i="1"/>
  <c r="P8" i="1" s="1"/>
  <c r="M12" i="1"/>
  <c r="P12" i="1" s="1"/>
  <c r="M9" i="1"/>
  <c r="P9" i="1" s="1"/>
  <c r="M10" i="1"/>
  <c r="P10" i="1" s="1"/>
  <c r="M6" i="1"/>
  <c r="P6" i="1" s="1"/>
  <c r="M11" i="1"/>
  <c r="P11" i="1" s="1"/>
  <c r="M2" i="1"/>
  <c r="P2" i="1" s="1"/>
  <c r="M7" i="1"/>
  <c r="P7" i="1" s="1"/>
  <c r="M5" i="1"/>
  <c r="P5" i="1" s="1"/>
  <c r="M4" i="1"/>
  <c r="P4" i="1" s="1"/>
  <c r="M3" i="1"/>
  <c r="P3" i="1" s="1"/>
  <c r="M13" i="1"/>
  <c r="P13" i="1" s="1"/>
  <c r="N2" i="1"/>
  <c r="L5" i="4"/>
  <c r="I5" i="4"/>
  <c r="J5" i="4"/>
  <c r="J6" i="4"/>
  <c r="G7" i="4"/>
  <c r="H7" i="4" s="1"/>
  <c r="F6" i="4"/>
  <c r="E7" i="4"/>
  <c r="L13" i="2"/>
  <c r="L10" i="2"/>
  <c r="L9" i="2"/>
  <c r="L12" i="2"/>
  <c r="L11" i="2"/>
  <c r="L8" i="2"/>
  <c r="L7" i="2"/>
  <c r="L6" i="2"/>
  <c r="L6" i="4"/>
  <c r="I6" i="4"/>
  <c r="H4" i="3"/>
  <c r="I5" i="3"/>
  <c r="I4" i="3"/>
  <c r="L13" i="1"/>
  <c r="L11" i="1"/>
  <c r="L7" i="1"/>
  <c r="L8" i="1"/>
  <c r="L12" i="1"/>
  <c r="L9" i="1"/>
  <c r="L10" i="1"/>
  <c r="L2" i="1"/>
  <c r="L6" i="1"/>
  <c r="L5" i="1"/>
  <c r="L4" i="1"/>
  <c r="L3" i="1"/>
  <c r="H4" i="5"/>
  <c r="F8" i="5"/>
  <c r="I5" i="5"/>
  <c r="G5" i="5"/>
  <c r="F9" i="5" l="1"/>
  <c r="H5" i="5"/>
  <c r="I6" i="5" s="1"/>
  <c r="G6" i="5"/>
  <c r="I7" i="4"/>
  <c r="L7" i="4"/>
  <c r="O10" i="1"/>
  <c r="O6" i="1"/>
  <c r="O13" i="1"/>
  <c r="O11" i="1"/>
  <c r="O7" i="1"/>
  <c r="O8" i="1"/>
  <c r="O5" i="1"/>
  <c r="O12" i="1"/>
  <c r="O9" i="1"/>
  <c r="O2" i="1"/>
  <c r="O4" i="1"/>
  <c r="O3" i="1"/>
  <c r="M5" i="4"/>
  <c r="M6" i="4"/>
  <c r="M7" i="4"/>
  <c r="F7" i="4"/>
  <c r="E8" i="4" s="1"/>
  <c r="K4" i="3"/>
  <c r="J5" i="3"/>
  <c r="M5" i="3" s="1"/>
  <c r="J4" i="3"/>
  <c r="M4" i="3" s="1"/>
  <c r="J7" i="4"/>
  <c r="K6" i="4"/>
  <c r="N6" i="4" s="1"/>
  <c r="K7" i="4"/>
  <c r="N7" i="4" s="1"/>
  <c r="K5" i="4"/>
  <c r="N5" i="4" s="1"/>
  <c r="F6" i="3"/>
  <c r="G6" i="3" s="1"/>
  <c r="E6" i="3"/>
  <c r="F8" i="4" l="1"/>
  <c r="E9" i="4" s="1"/>
  <c r="G9" i="4"/>
  <c r="H9" i="4" s="1"/>
  <c r="H6" i="3"/>
  <c r="I6" i="3"/>
  <c r="L4" i="3"/>
  <c r="L5" i="3"/>
  <c r="F10" i="5"/>
  <c r="H6" i="5"/>
  <c r="I7" i="5" s="1"/>
  <c r="G8" i="4"/>
  <c r="H8" i="4" s="1"/>
  <c r="F7" i="3"/>
  <c r="G7" i="3" s="1"/>
  <c r="H7" i="3" s="1"/>
  <c r="K7" i="3" s="1"/>
  <c r="E7" i="3"/>
  <c r="F9" i="4" l="1"/>
  <c r="E10" i="4"/>
  <c r="G10" i="4"/>
  <c r="H10" i="4" s="1"/>
  <c r="G7" i="5"/>
  <c r="K6" i="3"/>
  <c r="J7" i="3"/>
  <c r="M7" i="3" s="1"/>
  <c r="J6" i="3"/>
  <c r="M6" i="3" s="1"/>
  <c r="E8" i="3"/>
  <c r="F8" i="3"/>
  <c r="G8" i="3" s="1"/>
  <c r="I9" i="4"/>
  <c r="L9" i="4"/>
  <c r="L8" i="4"/>
  <c r="I8" i="4"/>
  <c r="J8" i="4"/>
  <c r="J9" i="4"/>
  <c r="J10" i="4"/>
  <c r="I7" i="3"/>
  <c r="K9" i="4" l="1"/>
  <c r="N9" i="4" s="1"/>
  <c r="K8" i="4"/>
  <c r="N8" i="4" s="1"/>
  <c r="H8" i="3"/>
  <c r="L7" i="3"/>
  <c r="L6" i="3"/>
  <c r="L10" i="4"/>
  <c r="I10" i="4"/>
  <c r="M8" i="4"/>
  <c r="M10" i="4"/>
  <c r="M9" i="4"/>
  <c r="F9" i="3"/>
  <c r="G9" i="3" s="1"/>
  <c r="E9" i="3"/>
  <c r="G11" i="4"/>
  <c r="H11" i="4" s="1"/>
  <c r="F10" i="4"/>
  <c r="E11" i="4" s="1"/>
  <c r="H7" i="5"/>
  <c r="G8" i="5" s="1"/>
  <c r="F11" i="5"/>
  <c r="I8" i="5"/>
  <c r="I8" i="3"/>
  <c r="H8" i="5" l="1"/>
  <c r="F12" i="5"/>
  <c r="I9" i="5"/>
  <c r="G9" i="5"/>
  <c r="F11" i="4"/>
  <c r="G12" i="4"/>
  <c r="H12" i="4" s="1"/>
  <c r="E12" i="4"/>
  <c r="L11" i="4"/>
  <c r="I11" i="4"/>
  <c r="J12" i="4"/>
  <c r="J11" i="4"/>
  <c r="M11" i="4"/>
  <c r="K8" i="3"/>
  <c r="J8" i="3"/>
  <c r="M8" i="3" s="1"/>
  <c r="J9" i="3"/>
  <c r="M9" i="3" s="1"/>
  <c r="J10" i="3"/>
  <c r="M10" i="3" s="1"/>
  <c r="F10" i="3"/>
  <c r="G10" i="3" s="1"/>
  <c r="H10" i="3" s="1"/>
  <c r="K10" i="3" s="1"/>
  <c r="E10" i="3"/>
  <c r="K10" i="4"/>
  <c r="N10" i="4" s="1"/>
  <c r="H9" i="3"/>
  <c r="K9" i="3" s="1"/>
  <c r="I9" i="3"/>
  <c r="F12" i="4" l="1"/>
  <c r="G13" i="4"/>
  <c r="H13" i="4" s="1"/>
  <c r="E13" i="4"/>
  <c r="F11" i="3"/>
  <c r="G11" i="3" s="1"/>
  <c r="E11" i="3"/>
  <c r="L12" i="4"/>
  <c r="I12" i="4"/>
  <c r="F13" i="5"/>
  <c r="I10" i="5"/>
  <c r="H9" i="5"/>
  <c r="G10" i="5"/>
  <c r="L10" i="3"/>
  <c r="L8" i="3"/>
  <c r="L9" i="3"/>
  <c r="I10" i="3"/>
  <c r="K11" i="4"/>
  <c r="N11" i="4" s="1"/>
  <c r="E12" i="3" l="1"/>
  <c r="F12" i="3"/>
  <c r="G12" i="3" s="1"/>
  <c r="L13" i="4"/>
  <c r="M13" i="4" s="1"/>
  <c r="I13" i="4"/>
  <c r="K13" i="4" s="1"/>
  <c r="N13" i="4" s="1"/>
  <c r="J13" i="4"/>
  <c r="F14" i="5"/>
  <c r="H10" i="5"/>
  <c r="I11" i="5" s="1"/>
  <c r="G11" i="5"/>
  <c r="H11" i="3"/>
  <c r="I11" i="3"/>
  <c r="F13" i="4"/>
  <c r="G14" i="4"/>
  <c r="H14" i="4" s="1"/>
  <c r="E14" i="4"/>
  <c r="K12" i="4"/>
  <c r="N12" i="4" s="1"/>
  <c r="M12" i="4"/>
  <c r="F14" i="4" l="1"/>
  <c r="G18" i="4" s="1"/>
  <c r="G16" i="4"/>
  <c r="G15" i="4"/>
  <c r="K11" i="3"/>
  <c r="J11" i="3"/>
  <c r="M11" i="3" s="1"/>
  <c r="L14" i="4"/>
  <c r="M14" i="4" s="1"/>
  <c r="I14" i="4"/>
  <c r="K14" i="4" s="1"/>
  <c r="N14" i="4" s="1"/>
  <c r="J14" i="4"/>
  <c r="H11" i="5"/>
  <c r="F15" i="5"/>
  <c r="I12" i="5"/>
  <c r="G12" i="5"/>
  <c r="H12" i="3"/>
  <c r="I12" i="3"/>
  <c r="F13" i="3"/>
  <c r="G13" i="3" s="1"/>
  <c r="E13" i="3"/>
  <c r="H13" i="3" l="1"/>
  <c r="I13" i="3"/>
  <c r="H12" i="5"/>
  <c r="I13" i="5"/>
  <c r="F16" i="5"/>
  <c r="G13" i="5"/>
  <c r="L11" i="3"/>
  <c r="L12" i="3"/>
  <c r="F14" i="3"/>
  <c r="G14" i="3" s="1"/>
  <c r="E14" i="3"/>
  <c r="K12" i="3"/>
  <c r="J12" i="3"/>
  <c r="M12" i="3" s="1"/>
  <c r="G17" i="4"/>
  <c r="F16" i="3" l="1"/>
  <c r="F15" i="3"/>
  <c r="F18" i="3"/>
  <c r="F17" i="3"/>
  <c r="H14" i="3"/>
  <c r="I14" i="3"/>
  <c r="F17" i="5"/>
  <c r="I14" i="5"/>
  <c r="H13" i="5"/>
  <c r="G14" i="5"/>
  <c r="K13" i="3"/>
  <c r="L13" i="3" s="1"/>
  <c r="J13" i="3"/>
  <c r="M13" i="3" s="1"/>
  <c r="F18" i="5" l="1"/>
  <c r="H14" i="5"/>
  <c r="I15" i="5" s="1"/>
  <c r="K14" i="3"/>
  <c r="L14" i="3" s="1"/>
  <c r="J14" i="3"/>
  <c r="M14" i="3" s="1"/>
  <c r="D15" i="5" l="1"/>
  <c r="G15" i="5" l="1"/>
  <c r="H15" i="5" l="1"/>
  <c r="F19" i="5"/>
  <c r="G16" i="5" l="1"/>
  <c r="F20" i="5"/>
  <c r="H16" i="5" l="1"/>
  <c r="G17" i="5" l="1"/>
  <c r="H17" i="5" l="1"/>
  <c r="F21" i="5"/>
  <c r="G18" i="5" l="1"/>
  <c r="H18" i="5" s="1"/>
  <c r="F22" i="5" l="1"/>
</calcChain>
</file>

<file path=xl/sharedStrings.xml><?xml version="1.0" encoding="utf-8"?>
<sst xmlns="http://schemas.openxmlformats.org/spreadsheetml/2006/main" count="92" uniqueCount="47">
  <si>
    <t>Year</t>
  </si>
  <si>
    <t>Quarter</t>
  </si>
  <si>
    <t>Period</t>
  </si>
  <si>
    <t>Demand</t>
  </si>
  <si>
    <t>Deseasonalized Demand</t>
  </si>
  <si>
    <t>Regressed Demand</t>
  </si>
  <si>
    <t>Seaonal Factors</t>
  </si>
  <si>
    <t>Average Seasonal Factors</t>
  </si>
  <si>
    <t>Forecast</t>
  </si>
  <si>
    <t>Error</t>
  </si>
  <si>
    <t>Absolute Error</t>
  </si>
  <si>
    <t>MSE</t>
  </si>
  <si>
    <t>MAD</t>
  </si>
  <si>
    <t>% Error</t>
  </si>
  <si>
    <t>MAPE</t>
  </si>
  <si>
    <t>Tracking Signal</t>
  </si>
  <si>
    <t xml:space="preserve"> </t>
  </si>
  <si>
    <t>Level</t>
  </si>
  <si>
    <t>TS</t>
  </si>
  <si>
    <t>Mean Squared Error</t>
  </si>
  <si>
    <t>Trend</t>
  </si>
  <si>
    <t>Seasonal Factor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</si>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</sst>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A5A5A5"/>
      </patternFill>
    </fill>
    <fill>
      <patternFill patternType="solid">
        <fgColor rgb="FF666666"/>
        <bgColor rgb="FF595959"/>
      </patternFill>
    </fill>
    <fill>
      <patternFill patternType="solid">
        <fgColor rgb="FF808080"/>
        <bgColor rgb="FF999999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A5A5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66"/>
      <rgbColor rgb="FF999999"/>
      <rgbColor rgb="FF003366"/>
      <rgbColor rgb="FF70AD47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Method'!$A$1</c:f>
              <c:strCache>
                <c:ptCount val="1"/>
                <c:pt idx="0">
                  <c:v>Year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Method'!$A$2:$A$17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44EA-A65A-2C0A0DDAD127}"/>
            </c:ext>
          </c:extLst>
        </c:ser>
        <c:ser>
          <c:idx val="1"/>
          <c:order val="1"/>
          <c:tx>
            <c:strRef>
              <c:f>'Static Method'!$B$1</c:f>
              <c:strCache>
                <c:ptCount val="1"/>
                <c:pt idx="0">
                  <c:v>Quarter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3-44EA-A65A-2C0A0DDAD127}"/>
            </c:ext>
          </c:extLst>
        </c:ser>
        <c:ser>
          <c:idx val="2"/>
          <c:order val="2"/>
          <c:tx>
            <c:strRef>
              <c:f>'Static Method'!$C$1</c:f>
              <c:strCache>
                <c:ptCount val="1"/>
                <c:pt idx="0">
                  <c:v>Period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3-44EA-A65A-2C0A0DDAD127}"/>
            </c:ext>
          </c:extLst>
        </c:ser>
        <c:ser>
          <c:idx val="3"/>
          <c:order val="3"/>
          <c:tx>
            <c:strRef>
              <c:f>'Static Method'!$D$1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Method'!$D$2:$D$17</c:f>
              <c:numCache>
                <c:formatCode>#,##0</c:formatCode>
                <c:ptCount val="16"/>
                <c:pt idx="0">
                  <c:v>11750</c:v>
                </c:pt>
                <c:pt idx="1">
                  <c:v>18500</c:v>
                </c:pt>
                <c:pt idx="2" formatCode="#,##0.00">
                  <c:v>22333.33</c:v>
                </c:pt>
                <c:pt idx="3" formatCode="#,##0.00">
                  <c:v>14416.67</c:v>
                </c:pt>
                <c:pt idx="4">
                  <c:v>13000</c:v>
                </c:pt>
                <c:pt idx="5">
                  <c:v>20166.669999999998</c:v>
                </c:pt>
                <c:pt idx="6">
                  <c:v>24500</c:v>
                </c:pt>
                <c:pt idx="7">
                  <c:v>17166.669999999998</c:v>
                </c:pt>
                <c:pt idx="8">
                  <c:v>14000</c:v>
                </c:pt>
                <c:pt idx="9">
                  <c:v>21833.33</c:v>
                </c:pt>
                <c:pt idx="10">
                  <c:v>26166.67</c:v>
                </c:pt>
                <c:pt idx="11">
                  <c:v>18333.330000000002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3-44EA-A65A-2C0A0DDAD127}"/>
            </c:ext>
          </c:extLst>
        </c:ser>
        <c:ser>
          <c:idx val="4"/>
          <c:order val="4"/>
          <c:tx>
            <c:strRef>
              <c:f>'Static Method'!$E$1</c:f>
              <c:strCache>
                <c:ptCount val="1"/>
                <c:pt idx="0">
                  <c:v>Deseasonalized Demand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'Static Method'!$E$2:$E$17</c:f>
              <c:numCache>
                <c:formatCode>General</c:formatCode>
                <c:ptCount val="16"/>
                <c:pt idx="2">
                  <c:v>16906.25</c:v>
                </c:pt>
                <c:pt idx="3">
                  <c:v>17270.833749999998</c:v>
                </c:pt>
                <c:pt idx="4">
                  <c:v>17750.001250000001</c:v>
                </c:pt>
                <c:pt idx="5">
                  <c:v>18364.584999999999</c:v>
                </c:pt>
                <c:pt idx="6">
                  <c:v>18833.334999999999</c:v>
                </c:pt>
                <c:pt idx="7">
                  <c:v>19166.6675</c:v>
                </c:pt>
                <c:pt idx="8">
                  <c:v>19583.333749999998</c:v>
                </c:pt>
                <c:pt idx="9">
                  <c:v>19937.5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3-44EA-A65A-2C0A0DDAD127}"/>
            </c:ext>
          </c:extLst>
        </c:ser>
        <c:ser>
          <c:idx val="5"/>
          <c:order val="5"/>
          <c:tx>
            <c:strRef>
              <c:f>'Static Method'!$F$1</c:f>
              <c:strCache>
                <c:ptCount val="1"/>
                <c:pt idx="0">
                  <c:v>Regressed Demand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Method'!$F$2:$F$17</c:f>
              <c:numCache>
                <c:formatCode>General</c:formatCode>
                <c:ptCount val="16"/>
                <c:pt idx="0">
                  <c:v>16021.43</c:v>
                </c:pt>
                <c:pt idx="1">
                  <c:v>16467.86</c:v>
                </c:pt>
                <c:pt idx="2">
                  <c:v>16914.29</c:v>
                </c:pt>
                <c:pt idx="3">
                  <c:v>17360.72</c:v>
                </c:pt>
                <c:pt idx="4">
                  <c:v>17807.150000000001</c:v>
                </c:pt>
                <c:pt idx="5">
                  <c:v>18253.580000000002</c:v>
                </c:pt>
                <c:pt idx="6">
                  <c:v>18700.010000000002</c:v>
                </c:pt>
                <c:pt idx="7">
                  <c:v>19146.439999999999</c:v>
                </c:pt>
                <c:pt idx="8">
                  <c:v>19592.87</c:v>
                </c:pt>
                <c:pt idx="9">
                  <c:v>20039.3</c:v>
                </c:pt>
                <c:pt idx="10">
                  <c:v>20485.73</c:v>
                </c:pt>
                <c:pt idx="11">
                  <c:v>20932.16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3-44EA-A65A-2C0A0DDA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888919"/>
        <c:axId val="18532672"/>
      </c:lineChart>
      <c:catAx>
        <c:axId val="59888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32672"/>
        <c:crosses val="autoZero"/>
        <c:auto val="1"/>
        <c:lblAlgn val="ctr"/>
        <c:lblOffset val="100"/>
        <c:noMultiLvlLbl val="1"/>
      </c:catAx>
      <c:valAx>
        <c:axId val="18532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88919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Regressed 
Demand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Method'!$D$1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val>
            <c:numRef>
              <c:f>'Holt Method'!$D$2:$D$18</c:f>
              <c:numCache>
                <c:formatCode>#,##0</c:formatCode>
                <c:ptCount val="17"/>
                <c:pt idx="1">
                  <c:v>11750</c:v>
                </c:pt>
                <c:pt idx="2">
                  <c:v>18500</c:v>
                </c:pt>
                <c:pt idx="3" formatCode="#,##0.00">
                  <c:v>22333.33</c:v>
                </c:pt>
                <c:pt idx="4" formatCode="#,##0.00">
                  <c:v>14416.67</c:v>
                </c:pt>
                <c:pt idx="5">
                  <c:v>13000</c:v>
                </c:pt>
                <c:pt idx="6">
                  <c:v>20166.669999999998</c:v>
                </c:pt>
                <c:pt idx="7">
                  <c:v>24500</c:v>
                </c:pt>
                <c:pt idx="8">
                  <c:v>17166.669999999998</c:v>
                </c:pt>
                <c:pt idx="9">
                  <c:v>14000</c:v>
                </c:pt>
                <c:pt idx="10">
                  <c:v>21833.33</c:v>
                </c:pt>
                <c:pt idx="11">
                  <c:v>26166.67</c:v>
                </c:pt>
                <c:pt idx="12">
                  <c:v>18333.330000000002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2CF-85F3-207C87D4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3541051"/>
        <c:axId val="30430782"/>
      </c:lineChart>
      <c:catAx>
        <c:axId val="235410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430782"/>
        <c:crosses val="autoZero"/>
        <c:auto val="1"/>
        <c:lblAlgn val="ctr"/>
        <c:lblOffset val="100"/>
        <c:noMultiLvlLbl val="1"/>
      </c:catAx>
      <c:valAx>
        <c:axId val="30430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5410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Method'!$A$1</c:f>
              <c:strCache>
                <c:ptCount val="1"/>
                <c:pt idx="0">
                  <c:v>Year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Method'!$A$2:$A$17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3-46B9-915E-2352BE1E92CA}"/>
            </c:ext>
          </c:extLst>
        </c:ser>
        <c:ser>
          <c:idx val="1"/>
          <c:order val="1"/>
          <c:tx>
            <c:strRef>
              <c:f>'Static Method'!$B$1</c:f>
              <c:strCache>
                <c:ptCount val="1"/>
                <c:pt idx="0">
                  <c:v>Quarter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3-46B9-915E-2352BE1E92CA}"/>
            </c:ext>
          </c:extLst>
        </c:ser>
        <c:ser>
          <c:idx val="2"/>
          <c:order val="2"/>
          <c:tx>
            <c:strRef>
              <c:f>'Static Method'!$C$1</c:f>
              <c:strCache>
                <c:ptCount val="1"/>
                <c:pt idx="0">
                  <c:v>Period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3-46B9-915E-2352BE1E92CA}"/>
            </c:ext>
          </c:extLst>
        </c:ser>
        <c:ser>
          <c:idx val="3"/>
          <c:order val="3"/>
          <c:tx>
            <c:strRef>
              <c:f>'Static Method'!$D$1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Method'!$D$2:$D$17</c:f>
              <c:numCache>
                <c:formatCode>#,##0</c:formatCode>
                <c:ptCount val="16"/>
                <c:pt idx="0">
                  <c:v>11750</c:v>
                </c:pt>
                <c:pt idx="1">
                  <c:v>18500</c:v>
                </c:pt>
                <c:pt idx="2" formatCode="#,##0.00">
                  <c:v>22333.33</c:v>
                </c:pt>
                <c:pt idx="3" formatCode="#,##0.00">
                  <c:v>14416.67</c:v>
                </c:pt>
                <c:pt idx="4">
                  <c:v>13000</c:v>
                </c:pt>
                <c:pt idx="5">
                  <c:v>20166.669999999998</c:v>
                </c:pt>
                <c:pt idx="6">
                  <c:v>24500</c:v>
                </c:pt>
                <c:pt idx="7">
                  <c:v>17166.669999999998</c:v>
                </c:pt>
                <c:pt idx="8">
                  <c:v>14000</c:v>
                </c:pt>
                <c:pt idx="9">
                  <c:v>21833.33</c:v>
                </c:pt>
                <c:pt idx="10">
                  <c:v>26166.67</c:v>
                </c:pt>
                <c:pt idx="11">
                  <c:v>18333.330000000002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3-46B9-915E-2352BE1E92CA}"/>
            </c:ext>
          </c:extLst>
        </c:ser>
        <c:ser>
          <c:idx val="4"/>
          <c:order val="4"/>
          <c:tx>
            <c:strRef>
              <c:f>'Static Method'!$E$1</c:f>
              <c:strCache>
                <c:ptCount val="1"/>
                <c:pt idx="0">
                  <c:v>Deseasonalized Demand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'Static Method'!$E$2:$E$17</c:f>
              <c:numCache>
                <c:formatCode>General</c:formatCode>
                <c:ptCount val="16"/>
                <c:pt idx="2">
                  <c:v>16906.25</c:v>
                </c:pt>
                <c:pt idx="3">
                  <c:v>17270.833749999998</c:v>
                </c:pt>
                <c:pt idx="4">
                  <c:v>17750.001250000001</c:v>
                </c:pt>
                <c:pt idx="5">
                  <c:v>18364.584999999999</c:v>
                </c:pt>
                <c:pt idx="6">
                  <c:v>18833.334999999999</c:v>
                </c:pt>
                <c:pt idx="7">
                  <c:v>19166.6675</c:v>
                </c:pt>
                <c:pt idx="8">
                  <c:v>19583.333749999998</c:v>
                </c:pt>
                <c:pt idx="9">
                  <c:v>19937.5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3-46B9-915E-2352BE1E92CA}"/>
            </c:ext>
          </c:extLst>
        </c:ser>
        <c:ser>
          <c:idx val="5"/>
          <c:order val="5"/>
          <c:tx>
            <c:strRef>
              <c:f>'Static Method'!$F$1</c:f>
              <c:strCache>
                <c:ptCount val="1"/>
                <c:pt idx="0">
                  <c:v>Regressed Demand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'Static Method'!$F$2:$F$17</c:f>
              <c:numCache>
                <c:formatCode>General</c:formatCode>
                <c:ptCount val="16"/>
                <c:pt idx="0">
                  <c:v>16021.43</c:v>
                </c:pt>
                <c:pt idx="1">
                  <c:v>16467.86</c:v>
                </c:pt>
                <c:pt idx="2">
                  <c:v>16914.29</c:v>
                </c:pt>
                <c:pt idx="3">
                  <c:v>17360.72</c:v>
                </c:pt>
                <c:pt idx="4">
                  <c:v>17807.150000000001</c:v>
                </c:pt>
                <c:pt idx="5">
                  <c:v>18253.580000000002</c:v>
                </c:pt>
                <c:pt idx="6">
                  <c:v>18700.010000000002</c:v>
                </c:pt>
                <c:pt idx="7">
                  <c:v>19146.439999999999</c:v>
                </c:pt>
                <c:pt idx="8">
                  <c:v>19592.87</c:v>
                </c:pt>
                <c:pt idx="9">
                  <c:v>20039.3</c:v>
                </c:pt>
                <c:pt idx="10">
                  <c:v>20485.73</c:v>
                </c:pt>
                <c:pt idx="11">
                  <c:v>20932.16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3-46B9-915E-2352BE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9158218"/>
        <c:axId val="70567425"/>
      </c:lineChart>
      <c:catAx>
        <c:axId val="891582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567425"/>
        <c:crosses val="autoZero"/>
        <c:auto val="1"/>
        <c:lblAlgn val="ctr"/>
        <c:lblOffset val="100"/>
        <c:noMultiLvlLbl val="1"/>
      </c:catAx>
      <c:valAx>
        <c:axId val="705674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15821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19440</xdr:colOff>
      <xdr:row>20</xdr:row>
      <xdr:rowOff>152640</xdr:rowOff>
    </xdr:from>
    <xdr:to>
      <xdr:col>5</xdr:col>
      <xdr:colOff>475920</xdr:colOff>
      <xdr:row>34</xdr:row>
      <xdr:rowOff>50040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399960</xdr:colOff>
      <xdr:row>26</xdr:row>
      <xdr:rowOff>101520</xdr:rowOff>
    </xdr:from>
    <xdr:to>
      <xdr:col>7</xdr:col>
      <xdr:colOff>18360</xdr:colOff>
      <xdr:row>39</xdr:row>
      <xdr:rowOff>202320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25560</xdr:colOff>
      <xdr:row>22</xdr:row>
      <xdr:rowOff>38520</xdr:rowOff>
    </xdr:from>
    <xdr:to>
      <xdr:col>5</xdr:col>
      <xdr:colOff>456480</xdr:colOff>
      <xdr:row>36</xdr:row>
      <xdr:rowOff>113760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0"/>
  <sheetViews>
    <sheetView topLeftCell="B1" zoomScale="85" zoomScaleNormal="85" workbookViewId="0">
      <selection activeCell="F4" sqref="F4"/>
    </sheetView>
  </sheetViews>
  <sheetFormatPr defaultRowHeight="15.75" x14ac:dyDescent="0.25"/>
  <cols>
    <col min="1" max="4" width="10.625" customWidth="1"/>
    <col min="5" max="5" width="21.5" customWidth="1"/>
    <col min="6" max="6" width="17" customWidth="1"/>
    <col min="7" max="7" width="14.625" customWidth="1"/>
    <col min="8" max="8" width="21.875" customWidth="1"/>
    <col min="9" max="10" width="10.625" customWidth="1"/>
    <col min="11" max="11" width="13.375" customWidth="1"/>
    <col min="12" max="15" width="10.625" customWidth="1"/>
    <col min="16" max="16" width="16" customWidth="1"/>
    <col min="17" max="1025" width="10.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</v>
      </c>
      <c r="C2">
        <v>1</v>
      </c>
      <c r="D2" s="2">
        <v>11750</v>
      </c>
      <c r="F2">
        <f t="shared" ref="F2:F13" si="0">15575+446.43*C2</f>
        <v>16021.43</v>
      </c>
      <c r="G2">
        <f t="shared" ref="G2:G13" si="1">D2/F2</f>
        <v>0.73339271213618262</v>
      </c>
      <c r="H2">
        <f>(G2+G6+G10)/3</f>
        <v>0.72599406377939768</v>
      </c>
      <c r="I2">
        <f>(15575+(446.43*C2))*H2</f>
        <v>11631.463073257155</v>
      </c>
      <c r="J2" s="2">
        <f t="shared" ref="J2:J13" si="2">I2-D2</f>
        <v>-118.53692674284503</v>
      </c>
      <c r="K2">
        <f t="shared" ref="K2:K13" si="3">ABS(I2-D2)</f>
        <v>118.53692674284503</v>
      </c>
      <c r="L2">
        <f>SUMSQ($J$2:J2)/(C2)</f>
        <v>14051.003001638608</v>
      </c>
      <c r="M2">
        <f>SUM($K$2:K2)/(C2)</f>
        <v>118.53692674284503</v>
      </c>
      <c r="N2">
        <f t="shared" ref="N2:N13" si="4">100*(K2/D2)</f>
        <v>1.0088249084497449</v>
      </c>
      <c r="O2">
        <f>AVERAGE($N$2:N2)</f>
        <v>1.0088249084497449</v>
      </c>
      <c r="P2">
        <f>SUM($J$2:J2)/M2</f>
        <v>-1</v>
      </c>
    </row>
    <row r="3" spans="1:16" x14ac:dyDescent="0.25">
      <c r="B3">
        <v>2</v>
      </c>
      <c r="C3">
        <v>2</v>
      </c>
      <c r="D3" s="2">
        <v>18500</v>
      </c>
      <c r="F3">
        <f t="shared" si="0"/>
        <v>16467.86</v>
      </c>
      <c r="G3">
        <f t="shared" si="1"/>
        <v>1.1234003689611158</v>
      </c>
      <c r="H3">
        <f>(G3+G7+G11)/3</f>
        <v>1.1059107470819396</v>
      </c>
      <c r="I3">
        <f>(15575+(446.43*C3))*H3</f>
        <v>18211.983355440789</v>
      </c>
      <c r="J3" s="2">
        <f t="shared" si="2"/>
        <v>-288.01664455921127</v>
      </c>
      <c r="K3">
        <f t="shared" si="3"/>
        <v>288.01664455921127</v>
      </c>
      <c r="L3">
        <f>SUMSQ($J$2:J3)/(C3)</f>
        <v>48502.295272392832</v>
      </c>
      <c r="M3">
        <f>SUM($K$2:K3)/(C3)</f>
        <v>203.27678565102815</v>
      </c>
      <c r="N3">
        <f t="shared" si="4"/>
        <v>1.5568467273470881</v>
      </c>
      <c r="O3">
        <f>AVERAGE($N$2:N3)</f>
        <v>1.2828358178984165</v>
      </c>
      <c r="P3">
        <f>SUM($J$2:J3)/M3</f>
        <v>-2</v>
      </c>
    </row>
    <row r="4" spans="1:16" x14ac:dyDescent="0.25">
      <c r="B4">
        <v>3</v>
      </c>
      <c r="C4">
        <v>3</v>
      </c>
      <c r="D4" s="3">
        <v>22333.33</v>
      </c>
      <c r="E4">
        <f t="shared" ref="E4:E11" si="5">(D2+D6+2*SUM(D3:D5))/8</f>
        <v>16906.25</v>
      </c>
      <c r="F4">
        <f t="shared" si="0"/>
        <v>16914.29</v>
      </c>
      <c r="G4">
        <f t="shared" si="1"/>
        <v>1.3203823512544719</v>
      </c>
      <c r="H4">
        <f>(G4+G8+G12)/3</f>
        <v>1.3026180463603558</v>
      </c>
      <c r="I4">
        <f>(15575+(446.43*C4))*H4</f>
        <v>22032.859395372503</v>
      </c>
      <c r="J4" s="2">
        <f t="shared" si="2"/>
        <v>-300.47060462749869</v>
      </c>
      <c r="K4">
        <f t="shared" si="3"/>
        <v>300.47060462749869</v>
      </c>
      <c r="L4">
        <f>SUMSQ($J$2:J4)/(C4)</f>
        <v>62429.058263333434</v>
      </c>
      <c r="M4">
        <f>SUM($K$2:K4)/(C4)</f>
        <v>235.67472530985165</v>
      </c>
      <c r="N4">
        <f t="shared" si="4"/>
        <v>1.3453909677934222</v>
      </c>
      <c r="O4">
        <f>AVERAGE($N$2:N4)</f>
        <v>1.3036875345300851</v>
      </c>
      <c r="P4">
        <f>SUM($J$2:J4)/M4</f>
        <v>-3</v>
      </c>
    </row>
    <row r="5" spans="1:16" x14ac:dyDescent="0.25">
      <c r="B5">
        <v>4</v>
      </c>
      <c r="C5">
        <v>4</v>
      </c>
      <c r="D5" s="3">
        <v>14416.67</v>
      </c>
      <c r="E5">
        <f t="shared" si="5"/>
        <v>17270.833749999998</v>
      </c>
      <c r="F5">
        <f t="shared" si="0"/>
        <v>17360.72</v>
      </c>
      <c r="G5">
        <f t="shared" si="1"/>
        <v>0.83041889967697191</v>
      </c>
      <c r="H5">
        <f>(G5+G9+G13)/3</f>
        <v>0.86762084763194902</v>
      </c>
      <c r="I5">
        <f>(15575+(446.43*C5))*H5</f>
        <v>15062.522601900931</v>
      </c>
      <c r="J5" s="2">
        <f t="shared" si="2"/>
        <v>645.8526019009314</v>
      </c>
      <c r="K5">
        <f t="shared" si="3"/>
        <v>645.8526019009314</v>
      </c>
      <c r="L5">
        <f>SUMSQ($J$2:J5)/(C5)</f>
        <v>151103.18954305083</v>
      </c>
      <c r="M5">
        <f>SUM($K$2:K5)/(C5)</f>
        <v>338.2191944576216</v>
      </c>
      <c r="N5">
        <f t="shared" si="4"/>
        <v>4.479901405115962</v>
      </c>
      <c r="O5">
        <f>AVERAGE($N$2:N5)</f>
        <v>2.0977410021765541</v>
      </c>
      <c r="P5">
        <f>SUM($J$2:J5)/M5</f>
        <v>-0.18086369736265306</v>
      </c>
    </row>
    <row r="6" spans="1:16" x14ac:dyDescent="0.25">
      <c r="A6">
        <v>2</v>
      </c>
      <c r="B6">
        <v>1</v>
      </c>
      <c r="C6">
        <v>5</v>
      </c>
      <c r="D6" s="2">
        <v>13000</v>
      </c>
      <c r="E6">
        <f t="shared" si="5"/>
        <v>17750.001250000001</v>
      </c>
      <c r="F6">
        <f t="shared" si="0"/>
        <v>17807.150000000001</v>
      </c>
      <c r="G6">
        <f t="shared" si="1"/>
        <v>0.73004383070845136</v>
      </c>
      <c r="I6">
        <f>(15575+(446.43*C6))*H2</f>
        <v>12927.885192829302</v>
      </c>
      <c r="J6" s="2">
        <f t="shared" si="2"/>
        <v>-72.114807170697532</v>
      </c>
      <c r="K6">
        <f t="shared" si="3"/>
        <v>72.114807170697532</v>
      </c>
      <c r="L6">
        <f>SUMSQ($J$2:J6)/(C6)</f>
        <v>121922.66071709404</v>
      </c>
      <c r="M6">
        <f>SUM($K$2:K6)/(C6)</f>
        <v>284.9983170002368</v>
      </c>
      <c r="N6">
        <f t="shared" si="4"/>
        <v>0.55472928592844251</v>
      </c>
      <c r="O6">
        <f>AVERAGE($N$2:N6)</f>
        <v>1.7891386589269316</v>
      </c>
      <c r="P6">
        <f>SUM($J$2:J6)/M6</f>
        <v>-0.46767427471934991</v>
      </c>
    </row>
    <row r="7" spans="1:16" x14ac:dyDescent="0.25">
      <c r="B7">
        <v>2</v>
      </c>
      <c r="C7">
        <v>6</v>
      </c>
      <c r="D7" s="2">
        <v>20166.669999999998</v>
      </c>
      <c r="E7">
        <f t="shared" si="5"/>
        <v>18364.584999999999</v>
      </c>
      <c r="F7">
        <f t="shared" si="0"/>
        <v>18253.580000000002</v>
      </c>
      <c r="G7">
        <f t="shared" si="1"/>
        <v>1.1048062900537865</v>
      </c>
      <c r="I7">
        <f>(15575+(446.43*C7))*H3</f>
        <v>20186.830294719952</v>
      </c>
      <c r="J7" s="2">
        <f t="shared" si="2"/>
        <v>20.160294719953527</v>
      </c>
      <c r="K7">
        <f t="shared" si="3"/>
        <v>20.160294719953527</v>
      </c>
      <c r="L7">
        <f>SUMSQ($J$2:J7)/(C7)</f>
        <v>101669.95684477758</v>
      </c>
      <c r="M7">
        <f>SUM($K$2:K7)/(C7)</f>
        <v>240.85864662018957</v>
      </c>
      <c r="N7">
        <f t="shared" si="4"/>
        <v>9.996838704631715E-2</v>
      </c>
      <c r="O7">
        <f>AVERAGE($N$2:N7)</f>
        <v>1.5076102802801625</v>
      </c>
      <c r="P7">
        <f>SUM($J$2:J7)/M7</f>
        <v>-0.46967832820947597</v>
      </c>
    </row>
    <row r="8" spans="1:16" x14ac:dyDescent="0.25">
      <c r="B8">
        <v>3</v>
      </c>
      <c r="C8">
        <v>7</v>
      </c>
      <c r="D8" s="2">
        <v>24500</v>
      </c>
      <c r="E8">
        <f t="shared" si="5"/>
        <v>18833.334999999999</v>
      </c>
      <c r="F8">
        <f t="shared" si="0"/>
        <v>18700.010000000002</v>
      </c>
      <c r="G8">
        <f t="shared" si="1"/>
        <v>1.3101597271873116</v>
      </c>
      <c r="I8">
        <f>(15575+(446.43*C8))*H4</f>
        <v>24358.970493119119</v>
      </c>
      <c r="J8" s="2">
        <f t="shared" si="2"/>
        <v>-141.02950688088094</v>
      </c>
      <c r="K8">
        <f t="shared" si="3"/>
        <v>141.02950688088094</v>
      </c>
      <c r="L8">
        <f>SUMSQ($J$2:J8)/(C8)</f>
        <v>89987.008982818574</v>
      </c>
      <c r="M8">
        <f>SUM($K$2:K8)/(C8)</f>
        <v>226.5973409431455</v>
      </c>
      <c r="N8">
        <f t="shared" si="4"/>
        <v>0.57563064033012634</v>
      </c>
      <c r="O8">
        <f>AVERAGE($N$2:N8)</f>
        <v>1.3744703317158717</v>
      </c>
      <c r="P8">
        <f>SUM($J$2:J8)/M8</f>
        <v>-1.121617722001502</v>
      </c>
    </row>
    <row r="9" spans="1:16" x14ac:dyDescent="0.25">
      <c r="B9">
        <v>4</v>
      </c>
      <c r="C9">
        <v>8</v>
      </c>
      <c r="D9" s="2">
        <v>17166.669999999998</v>
      </c>
      <c r="E9">
        <f t="shared" si="5"/>
        <v>19166.6675</v>
      </c>
      <c r="F9">
        <f t="shared" si="0"/>
        <v>19146.439999999999</v>
      </c>
      <c r="G9">
        <f t="shared" si="1"/>
        <v>0.89659853215532492</v>
      </c>
      <c r="I9">
        <f>(15575+(446.43*C9))*H5</f>
        <v>16611.850501934252</v>
      </c>
      <c r="J9" s="2">
        <f t="shared" si="2"/>
        <v>-554.8194980657463</v>
      </c>
      <c r="K9">
        <f t="shared" si="3"/>
        <v>554.8194980657463</v>
      </c>
      <c r="L9">
        <f>SUMSQ($J$2:J9)/(C9)</f>
        <v>117216.7172892071</v>
      </c>
      <c r="M9">
        <f>SUM($K$2:K9)/(C9)</f>
        <v>267.62511058347059</v>
      </c>
      <c r="N9">
        <f t="shared" si="4"/>
        <v>3.2319576135951023</v>
      </c>
      <c r="O9">
        <f>AVERAGE($N$2:N9)</f>
        <v>1.6066562419507755</v>
      </c>
      <c r="P9">
        <f>SUM($J$2:J9)/M9</f>
        <v>-3.0227921799351507</v>
      </c>
    </row>
    <row r="10" spans="1:16" x14ac:dyDescent="0.25">
      <c r="A10">
        <v>3</v>
      </c>
      <c r="B10">
        <v>1</v>
      </c>
      <c r="C10">
        <v>9</v>
      </c>
      <c r="D10" s="2">
        <v>14000</v>
      </c>
      <c r="E10">
        <f t="shared" si="5"/>
        <v>19583.333749999998</v>
      </c>
      <c r="F10">
        <f t="shared" si="0"/>
        <v>19592.87</v>
      </c>
      <c r="G10">
        <f t="shared" si="1"/>
        <v>0.71454564849355917</v>
      </c>
      <c r="I10">
        <f>(15575+(446.43*C10))*H2</f>
        <v>14224.307312401446</v>
      </c>
      <c r="J10" s="2">
        <f t="shared" si="2"/>
        <v>224.30731240144632</v>
      </c>
      <c r="K10">
        <f t="shared" si="3"/>
        <v>224.30731240144632</v>
      </c>
      <c r="L10">
        <f>SUMSQ($J$2:J10)/(C10)</f>
        <v>109783.05652337965</v>
      </c>
      <c r="M10">
        <f>SUM($K$2:K10)/(C10)</f>
        <v>262.81202189657898</v>
      </c>
      <c r="N10">
        <f t="shared" si="4"/>
        <v>1.6021950885817593</v>
      </c>
      <c r="O10">
        <f>AVERAGE($N$2:N10)</f>
        <v>1.6061605582431069</v>
      </c>
      <c r="P10">
        <f>SUM($J$2:J10)/M10</f>
        <v>-2.2246614702223373</v>
      </c>
    </row>
    <row r="11" spans="1:16" x14ac:dyDescent="0.25">
      <c r="B11">
        <v>2</v>
      </c>
      <c r="C11">
        <v>10</v>
      </c>
      <c r="D11" s="2">
        <v>21833.33</v>
      </c>
      <c r="E11">
        <f t="shared" si="5"/>
        <v>19937.5</v>
      </c>
      <c r="F11">
        <f t="shared" si="0"/>
        <v>20039.3</v>
      </c>
      <c r="G11">
        <f t="shared" si="1"/>
        <v>1.0895255822309164</v>
      </c>
      <c r="I11">
        <f>(15575+(446.43*C11))*H3</f>
        <v>22161.677233999111</v>
      </c>
      <c r="J11" s="2">
        <f t="shared" si="2"/>
        <v>328.34723399910945</v>
      </c>
      <c r="K11">
        <f t="shared" si="3"/>
        <v>328.34723399910945</v>
      </c>
      <c r="L11">
        <f>SUMSQ($J$2:J11)/(C11)</f>
        <v>109585.94147852827</v>
      </c>
      <c r="M11">
        <f>SUM($K$2:K11)/(C11)</f>
        <v>269.36554310683204</v>
      </c>
      <c r="N11">
        <f t="shared" si="4"/>
        <v>1.5038806906647286</v>
      </c>
      <c r="O11">
        <f>AVERAGE($N$2:N11)</f>
        <v>1.5959325714852692</v>
      </c>
      <c r="P11">
        <f>SUM($J$2:J11)/M11</f>
        <v>-0.95157139279607394</v>
      </c>
    </row>
    <row r="12" spans="1:16" x14ac:dyDescent="0.25">
      <c r="B12">
        <v>3</v>
      </c>
      <c r="C12">
        <v>11</v>
      </c>
      <c r="D12" s="2">
        <v>26166.67</v>
      </c>
      <c r="F12">
        <f t="shared" si="0"/>
        <v>20485.73</v>
      </c>
      <c r="G12">
        <f t="shared" si="1"/>
        <v>1.277312060639284</v>
      </c>
      <c r="I12">
        <f>(15575+(446.43*C12))*H4</f>
        <v>26685.081590865731</v>
      </c>
      <c r="J12" s="2">
        <f t="shared" si="2"/>
        <v>518.41159086573316</v>
      </c>
      <c r="K12">
        <f t="shared" si="3"/>
        <v>518.41159086573316</v>
      </c>
      <c r="L12">
        <f>SUMSQ($J$2:J12)/(C12)</f>
        <v>124055.4538481112</v>
      </c>
      <c r="M12">
        <f>SUM($K$2:K12)/(C12)</f>
        <v>292.00609290309581</v>
      </c>
      <c r="N12">
        <f t="shared" si="4"/>
        <v>1.9811905407364909</v>
      </c>
      <c r="O12">
        <f>AVERAGE($N$2:N12)</f>
        <v>1.6309560232353804</v>
      </c>
      <c r="P12">
        <f>SUM($J$2:J12)/M12</f>
        <v>0.89755334635182005</v>
      </c>
    </row>
    <row r="13" spans="1:16" x14ac:dyDescent="0.25">
      <c r="B13">
        <v>4</v>
      </c>
      <c r="C13">
        <v>12</v>
      </c>
      <c r="D13" s="2">
        <v>18333.330000000002</v>
      </c>
      <c r="F13">
        <f t="shared" si="0"/>
        <v>20932.16</v>
      </c>
      <c r="G13">
        <f t="shared" si="1"/>
        <v>0.87584511106355012</v>
      </c>
      <c r="I13">
        <f>(15575+(446.43*C13))*H5</f>
        <v>18161.17840196758</v>
      </c>
      <c r="J13" s="2">
        <f t="shared" si="2"/>
        <v>-172.15159803242204</v>
      </c>
      <c r="K13">
        <f t="shared" si="3"/>
        <v>172.15159803242204</v>
      </c>
      <c r="L13">
        <f>SUMSQ($J$2:J13)/(C13)</f>
        <v>116187.18041952832</v>
      </c>
      <c r="M13">
        <f>SUM($K$2:K13)/(C13)</f>
        <v>282.01821833053964</v>
      </c>
      <c r="N13">
        <f t="shared" si="4"/>
        <v>0.93900888726937237</v>
      </c>
      <c r="O13">
        <f>AVERAGE($N$2:N13)</f>
        <v>1.5732937619048799</v>
      </c>
      <c r="P13">
        <f>SUM($J$2:J13)/M13</f>
        <v>0.31891360898698562</v>
      </c>
    </row>
    <row r="14" spans="1:16" x14ac:dyDescent="0.25">
      <c r="A14">
        <v>4</v>
      </c>
      <c r="B14">
        <v>1</v>
      </c>
      <c r="C14">
        <v>13</v>
      </c>
      <c r="I14">
        <f>(15775 + 14* 446.43)*H2</f>
        <v>15990.03377462251</v>
      </c>
      <c r="J14" s="2"/>
    </row>
    <row r="15" spans="1:16" x14ac:dyDescent="0.25">
      <c r="B15">
        <v>2</v>
      </c>
      <c r="C15">
        <v>14</v>
      </c>
      <c r="I15">
        <f>(15775 + 14* 446.43)*H3</f>
        <v>24357.706322694663</v>
      </c>
      <c r="J15" s="2"/>
    </row>
    <row r="16" spans="1:16" x14ac:dyDescent="0.25">
      <c r="B16">
        <v>3</v>
      </c>
      <c r="C16">
        <v>15</v>
      </c>
      <c r="I16">
        <f>(15775 + 14* 446.43)*H4</f>
        <v>28690.188523447763</v>
      </c>
      <c r="J16" s="2"/>
    </row>
    <row r="17" spans="2:10" x14ac:dyDescent="0.25">
      <c r="B17">
        <v>4</v>
      </c>
      <c r="C17">
        <v>16</v>
      </c>
      <c r="I17">
        <f>(15775 + 14* 446.43)*H5</f>
        <v>19109.36652151063</v>
      </c>
      <c r="J17" s="2"/>
    </row>
    <row r="20" spans="2:10" x14ac:dyDescent="0.25">
      <c r="G20" t="s">
        <v>16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"/>
  <sheetViews>
    <sheetView zoomScaleNormal="100" workbookViewId="0">
      <selection activeCell="E19" sqref="E19"/>
    </sheetView>
  </sheetViews>
  <sheetFormatPr defaultRowHeight="15.75" x14ac:dyDescent="0.25"/>
  <cols>
    <col min="1" max="7" width="10.625" customWidth="1"/>
    <col min="8" max="8" width="13.375" customWidth="1"/>
    <col min="9" max="1025" width="10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18</v>
      </c>
    </row>
    <row r="2" spans="1:13" x14ac:dyDescent="0.25">
      <c r="A2">
        <v>1</v>
      </c>
      <c r="B2">
        <v>1</v>
      </c>
      <c r="C2">
        <v>1</v>
      </c>
      <c r="D2" s="2">
        <v>11750</v>
      </c>
    </row>
    <row r="3" spans="1:13" x14ac:dyDescent="0.25">
      <c r="B3">
        <v>2</v>
      </c>
      <c r="C3">
        <v>2</v>
      </c>
      <c r="D3" s="2">
        <v>18500</v>
      </c>
    </row>
    <row r="4" spans="1:13" x14ac:dyDescent="0.25">
      <c r="B4">
        <v>3</v>
      </c>
      <c r="C4">
        <v>3</v>
      </c>
      <c r="D4" s="3">
        <v>22333.33</v>
      </c>
    </row>
    <row r="5" spans="1:13" x14ac:dyDescent="0.25">
      <c r="B5">
        <v>4</v>
      </c>
      <c r="C5">
        <v>4</v>
      </c>
      <c r="D5" s="3">
        <v>14416.67</v>
      </c>
      <c r="E5" s="3">
        <f t="shared" ref="E5:E13" si="0">AVERAGE(D2:D5)</f>
        <v>16750</v>
      </c>
    </row>
    <row r="6" spans="1:13" x14ac:dyDescent="0.25">
      <c r="A6">
        <v>2</v>
      </c>
      <c r="B6">
        <v>1</v>
      </c>
      <c r="C6">
        <v>5</v>
      </c>
      <c r="D6" s="2">
        <v>13000</v>
      </c>
      <c r="E6" s="3">
        <f t="shared" si="0"/>
        <v>17062.5</v>
      </c>
      <c r="F6" s="3">
        <f t="shared" ref="F6:F14" si="1">E5</f>
        <v>16750</v>
      </c>
      <c r="G6" s="3">
        <f t="shared" ref="G6:G13" si="2">F6-D6</f>
        <v>3750</v>
      </c>
      <c r="H6">
        <f t="shared" ref="H6:H13" si="3">ABS(F6-D6)</f>
        <v>3750</v>
      </c>
      <c r="I6">
        <f>SUMSQ($G$6:G6)/(C6-4)</f>
        <v>14062500</v>
      </c>
      <c r="J6">
        <f>SUM($H$6:H6)/(C6-4)</f>
        <v>3750</v>
      </c>
      <c r="K6">
        <f t="shared" ref="K6:K13" si="4">100*(H6/D6)</f>
        <v>28.846153846153843</v>
      </c>
      <c r="L6">
        <f>AVERAGE($K$6:K6)</f>
        <v>28.846153846153843</v>
      </c>
      <c r="M6">
        <f>SUM($G$6:G6)/J6</f>
        <v>1</v>
      </c>
    </row>
    <row r="7" spans="1:13" x14ac:dyDescent="0.25">
      <c r="B7">
        <v>2</v>
      </c>
      <c r="C7">
        <v>6</v>
      </c>
      <c r="D7" s="2">
        <v>20166.669999999998</v>
      </c>
      <c r="E7" s="3">
        <f t="shared" si="0"/>
        <v>17479.1675</v>
      </c>
      <c r="F7" s="3">
        <f t="shared" si="1"/>
        <v>17062.5</v>
      </c>
      <c r="G7" s="3">
        <f t="shared" si="2"/>
        <v>-3104.1699999999983</v>
      </c>
      <c r="H7">
        <f t="shared" si="3"/>
        <v>3104.1699999999983</v>
      </c>
      <c r="I7">
        <f>SUMSQ($G$6:G7)/(C7-4)</f>
        <v>11849185.694449995</v>
      </c>
      <c r="J7">
        <f>SUM($H$6:H7)/(C7-4)</f>
        <v>3427.0849999999991</v>
      </c>
      <c r="K7">
        <f t="shared" si="4"/>
        <v>15.392575968169254</v>
      </c>
      <c r="L7">
        <f>AVERAGE($K$6:K7)</f>
        <v>22.119364907161547</v>
      </c>
      <c r="M7">
        <f>SUM($G$6:G7)/J7</f>
        <v>0.18844878373311486</v>
      </c>
    </row>
    <row r="8" spans="1:13" x14ac:dyDescent="0.25">
      <c r="B8">
        <v>3</v>
      </c>
      <c r="C8">
        <v>7</v>
      </c>
      <c r="D8" s="2">
        <v>24500</v>
      </c>
      <c r="E8" s="3">
        <f t="shared" si="0"/>
        <v>18020.834999999999</v>
      </c>
      <c r="F8" s="3">
        <f t="shared" si="1"/>
        <v>17479.1675</v>
      </c>
      <c r="G8" s="3">
        <f t="shared" si="2"/>
        <v>-7020.8325000000004</v>
      </c>
      <c r="H8">
        <f t="shared" si="3"/>
        <v>7020.8325000000004</v>
      </c>
      <c r="I8">
        <f>SUMSQ($G$6:G8)/(C8-4)</f>
        <v>24330153.460652083</v>
      </c>
      <c r="J8">
        <f>SUM($H$6:H8)/(C8-4)</f>
        <v>4625.0008333333326</v>
      </c>
      <c r="K8">
        <f t="shared" si="4"/>
        <v>28.656459183673473</v>
      </c>
      <c r="L8">
        <f>AVERAGE($K$6:K8)</f>
        <v>24.298396332665522</v>
      </c>
      <c r="M8">
        <f>SUM($G$6:G8)/J8</f>
        <v>-1.3783786705624017</v>
      </c>
    </row>
    <row r="9" spans="1:13" x14ac:dyDescent="0.25">
      <c r="B9">
        <v>4</v>
      </c>
      <c r="C9">
        <v>8</v>
      </c>
      <c r="D9" s="2">
        <v>17166.669999999998</v>
      </c>
      <c r="E9" s="3">
        <f t="shared" si="0"/>
        <v>18708.334999999999</v>
      </c>
      <c r="F9" s="3">
        <f t="shared" si="1"/>
        <v>18020.834999999999</v>
      </c>
      <c r="G9" s="3">
        <f t="shared" si="2"/>
        <v>854.16500000000087</v>
      </c>
      <c r="H9">
        <f t="shared" si="3"/>
        <v>854.16500000000087</v>
      </c>
      <c r="I9">
        <f>SUMSQ($G$6:G9)/(C9-4)</f>
        <v>18430014.557295311</v>
      </c>
      <c r="J9">
        <f>SUM($H$6:H9)/(C9-4)</f>
        <v>3682.2918749999999</v>
      </c>
      <c r="K9">
        <f t="shared" si="4"/>
        <v>4.9757174804432136</v>
      </c>
      <c r="L9">
        <f>AVERAGE($K$6:K9)</f>
        <v>19.467726619609945</v>
      </c>
      <c r="M9">
        <f>SUM($G$6:G9)/J9</f>
        <v>-1.4992938331375478</v>
      </c>
    </row>
    <row r="10" spans="1:13" x14ac:dyDescent="0.25">
      <c r="A10">
        <v>3</v>
      </c>
      <c r="B10">
        <v>1</v>
      </c>
      <c r="C10">
        <v>9</v>
      </c>
      <c r="D10" s="2">
        <v>14000</v>
      </c>
      <c r="E10" s="3">
        <f t="shared" si="0"/>
        <v>18958.334999999999</v>
      </c>
      <c r="F10" s="3">
        <f t="shared" si="1"/>
        <v>18708.334999999999</v>
      </c>
      <c r="G10" s="3">
        <f t="shared" si="2"/>
        <v>4708.3349999999991</v>
      </c>
      <c r="H10">
        <f t="shared" si="3"/>
        <v>4708.3349999999991</v>
      </c>
      <c r="I10">
        <f>SUMSQ($G$6:G10)/(C10-4)</f>
        <v>19177695.340281248</v>
      </c>
      <c r="J10">
        <f>SUM($H$6:H10)/(C10-4)</f>
        <v>3887.5004999999996</v>
      </c>
      <c r="K10">
        <f t="shared" si="4"/>
        <v>33.630964285714285</v>
      </c>
      <c r="L10">
        <f>AVERAGE($K$6:K10)</f>
        <v>22.300374152830813</v>
      </c>
      <c r="M10">
        <f>SUM($G$6:G10)/J10</f>
        <v>-0.20900383163937825</v>
      </c>
    </row>
    <row r="11" spans="1:13" x14ac:dyDescent="0.25">
      <c r="B11">
        <v>2</v>
      </c>
      <c r="C11">
        <v>10</v>
      </c>
      <c r="D11" s="2">
        <v>21833.33</v>
      </c>
      <c r="E11" s="3">
        <f t="shared" si="0"/>
        <v>19375</v>
      </c>
      <c r="F11" s="3">
        <f t="shared" si="1"/>
        <v>18958.334999999999</v>
      </c>
      <c r="G11" s="3">
        <f t="shared" si="2"/>
        <v>-2874.9950000000026</v>
      </c>
      <c r="H11">
        <f t="shared" si="3"/>
        <v>2874.9950000000026</v>
      </c>
      <c r="I11">
        <f>SUMSQ($G$6:G11)/(C11-4)</f>
        <v>17359012.158571877</v>
      </c>
      <c r="J11">
        <f>SUM($H$6:H11)/(C11-4)</f>
        <v>3718.7495833333337</v>
      </c>
      <c r="K11">
        <f t="shared" si="4"/>
        <v>13.167918040903528</v>
      </c>
      <c r="L11">
        <f>AVERAGE($K$6:K11)</f>
        <v>20.778298134176264</v>
      </c>
      <c r="M11">
        <f>SUM($G$6:G11)/J11</f>
        <v>-0.99159607748975687</v>
      </c>
    </row>
    <row r="12" spans="1:13" x14ac:dyDescent="0.25">
      <c r="B12">
        <v>3</v>
      </c>
      <c r="C12">
        <v>11</v>
      </c>
      <c r="D12" s="2">
        <v>26166.67</v>
      </c>
      <c r="E12" s="3">
        <f t="shared" si="0"/>
        <v>19791.6675</v>
      </c>
      <c r="F12" s="3">
        <f t="shared" si="1"/>
        <v>19375</v>
      </c>
      <c r="G12" s="3">
        <f t="shared" si="2"/>
        <v>-6791.6699999999983</v>
      </c>
      <c r="H12">
        <f t="shared" si="3"/>
        <v>6791.6699999999983</v>
      </c>
      <c r="I12">
        <f>SUMSQ($G$6:G12)/(C12-4)</f>
        <v>21468693.477190174</v>
      </c>
      <c r="J12">
        <f>SUM($H$6:H12)/(C12-4)</f>
        <v>4157.7382142857141</v>
      </c>
      <c r="K12">
        <f t="shared" si="4"/>
        <v>25.955423445168986</v>
      </c>
      <c r="L12">
        <f>AVERAGE($K$6:K12)</f>
        <v>21.517887464318083</v>
      </c>
      <c r="M12">
        <f>SUM($G$6:G12)/J12</f>
        <v>-2.5204009872469295</v>
      </c>
    </row>
    <row r="13" spans="1:13" x14ac:dyDescent="0.25">
      <c r="B13">
        <v>4</v>
      </c>
      <c r="C13">
        <v>12</v>
      </c>
      <c r="D13" s="2">
        <v>18333.330000000002</v>
      </c>
      <c r="E13" s="3">
        <f t="shared" si="0"/>
        <v>20083.3325</v>
      </c>
      <c r="F13" s="3">
        <f t="shared" si="1"/>
        <v>19791.6675</v>
      </c>
      <c r="G13" s="3">
        <f t="shared" si="2"/>
        <v>1458.3374999999978</v>
      </c>
      <c r="H13">
        <f t="shared" si="3"/>
        <v>1458.3374999999978</v>
      </c>
      <c r="I13">
        <f>SUMSQ($G$6:G13)/(C13-4)</f>
        <v>19050950.325529683</v>
      </c>
      <c r="J13">
        <f>SUM($H$6:H13)/(C13-4)</f>
        <v>3820.3131249999997</v>
      </c>
      <c r="K13">
        <f t="shared" si="4"/>
        <v>7.9545696281035552</v>
      </c>
      <c r="L13">
        <f>AVERAGE($K$6:K13)</f>
        <v>19.822472734791265</v>
      </c>
      <c r="M13">
        <f>SUM($G$6:G13)/J13</f>
        <v>-2.3612802680932083</v>
      </c>
    </row>
    <row r="14" spans="1:13" x14ac:dyDescent="0.25">
      <c r="A14">
        <v>4</v>
      </c>
      <c r="B14">
        <v>1</v>
      </c>
      <c r="C14">
        <v>13</v>
      </c>
      <c r="E14" s="3"/>
      <c r="F14" s="4">
        <f t="shared" si="1"/>
        <v>20083.3325</v>
      </c>
    </row>
    <row r="15" spans="1:13" x14ac:dyDescent="0.25">
      <c r="B15">
        <v>2</v>
      </c>
      <c r="C15">
        <v>14</v>
      </c>
      <c r="E15" s="3"/>
      <c r="F15" s="4">
        <f>E13</f>
        <v>20083.3325</v>
      </c>
    </row>
    <row r="16" spans="1:13" x14ac:dyDescent="0.25">
      <c r="B16">
        <v>3</v>
      </c>
      <c r="C16">
        <v>15</v>
      </c>
      <c r="E16" s="3"/>
      <c r="F16" s="4">
        <f>E13</f>
        <v>20083.3325</v>
      </c>
    </row>
    <row r="17" spans="2:6" x14ac:dyDescent="0.25">
      <c r="B17">
        <v>4</v>
      </c>
      <c r="C17">
        <v>16</v>
      </c>
      <c r="E17" s="3"/>
      <c r="F17" s="4">
        <f>E13</f>
        <v>20083.3325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8"/>
  <sheetViews>
    <sheetView zoomScaleNormal="100" workbookViewId="0">
      <selection activeCell="G25" sqref="G25"/>
    </sheetView>
  </sheetViews>
  <sheetFormatPr defaultRowHeight="15.75" x14ac:dyDescent="0.25"/>
  <cols>
    <col min="1" max="7" width="10.625" customWidth="1"/>
    <col min="8" max="8" width="13.875" customWidth="1"/>
    <col min="9" max="9" width="21.625" customWidth="1"/>
    <col min="10" max="1025" width="10.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8</v>
      </c>
      <c r="G1" t="s">
        <v>9</v>
      </c>
      <c r="H1" t="s">
        <v>10</v>
      </c>
      <c r="I1" t="s">
        <v>19</v>
      </c>
      <c r="J1" t="s">
        <v>12</v>
      </c>
      <c r="K1" t="s">
        <v>13</v>
      </c>
      <c r="L1" t="s">
        <v>14</v>
      </c>
      <c r="M1" t="s">
        <v>18</v>
      </c>
    </row>
    <row r="2" spans="1:13" x14ac:dyDescent="0.25">
      <c r="C2">
        <v>0</v>
      </c>
      <c r="E2" s="2">
        <f>AVERAGE(D3:D14)</f>
        <v>18513.889166666664</v>
      </c>
    </row>
    <row r="3" spans="1:13" x14ac:dyDescent="0.25">
      <c r="A3">
        <v>1</v>
      </c>
      <c r="B3">
        <v>1</v>
      </c>
      <c r="C3">
        <v>1</v>
      </c>
      <c r="D3" s="2">
        <v>11750</v>
      </c>
      <c r="E3">
        <f t="shared" ref="E3:E14" si="0">0.1*D3+(1-0.1)*E2</f>
        <v>17837.500249999997</v>
      </c>
      <c r="F3" s="2">
        <f t="shared" ref="F3:F15" si="1">E2</f>
        <v>18513.889166666664</v>
      </c>
      <c r="G3" s="2">
        <f t="shared" ref="G3:G14" si="2">F3-D3</f>
        <v>6763.8891666666641</v>
      </c>
      <c r="H3">
        <f t="shared" ref="H3:H14" si="3">ABS(G3)</f>
        <v>6763.8891666666641</v>
      </c>
      <c r="I3">
        <f>SUMSQ($G$3:G3)/C3</f>
        <v>45750196.658950657</v>
      </c>
      <c r="J3">
        <f>SUM($H$3:H3)/C3</f>
        <v>6763.8891666666641</v>
      </c>
      <c r="K3">
        <f t="shared" ref="K3:K14" si="4">100*(H3/D3)</f>
        <v>57.565014184397143</v>
      </c>
      <c r="L3">
        <f>AVERAGE($K$3:K3)</f>
        <v>57.565014184397143</v>
      </c>
      <c r="M3">
        <f>SUM($G$3:G3)/J3</f>
        <v>1</v>
      </c>
    </row>
    <row r="4" spans="1:13" x14ac:dyDescent="0.25">
      <c r="B4">
        <v>2</v>
      </c>
      <c r="C4">
        <v>2</v>
      </c>
      <c r="D4" s="2">
        <v>18500</v>
      </c>
      <c r="E4">
        <f t="shared" si="0"/>
        <v>17903.750224999996</v>
      </c>
      <c r="F4" s="2">
        <f t="shared" si="1"/>
        <v>17837.500249999997</v>
      </c>
      <c r="G4" s="2">
        <f t="shared" si="2"/>
        <v>-662.49975000000268</v>
      </c>
      <c r="H4">
        <f t="shared" si="3"/>
        <v>662.49975000000268</v>
      </c>
      <c r="I4">
        <f>SUMSQ($G$3:G4)/C4</f>
        <v>23094551.28885036</v>
      </c>
      <c r="J4">
        <f>SUM($H$3:H4)/C4</f>
        <v>3713.1944583333334</v>
      </c>
      <c r="K4">
        <f t="shared" si="4"/>
        <v>3.5810797297297441</v>
      </c>
      <c r="L4">
        <f>AVERAGE($K$3:K4)</f>
        <v>30.573046957063443</v>
      </c>
      <c r="M4">
        <f>SUM($G$3:G4)/J4</f>
        <v>1.6431645272370865</v>
      </c>
    </row>
    <row r="5" spans="1:13" x14ac:dyDescent="0.25">
      <c r="B5">
        <v>3</v>
      </c>
      <c r="C5">
        <v>3</v>
      </c>
      <c r="D5" s="3">
        <v>22333.33</v>
      </c>
      <c r="E5">
        <f t="shared" si="0"/>
        <v>18346.708202499998</v>
      </c>
      <c r="F5" s="2">
        <f t="shared" si="1"/>
        <v>17903.750224999996</v>
      </c>
      <c r="G5" s="2">
        <f t="shared" si="2"/>
        <v>-4429.5797750000056</v>
      </c>
      <c r="H5">
        <f t="shared" si="3"/>
        <v>4429.5797750000056</v>
      </c>
      <c r="I5">
        <f>SUMSQ($G$3:G5)/C5</f>
        <v>21936759.853596609</v>
      </c>
      <c r="J5">
        <f>SUM($H$3:H5)/C5</f>
        <v>3951.9895638888906</v>
      </c>
      <c r="K5">
        <f t="shared" si="4"/>
        <v>19.833942251334687</v>
      </c>
      <c r="L5">
        <f>AVERAGE($K$3:K5)</f>
        <v>26.993345388487189</v>
      </c>
      <c r="M5">
        <f>SUM($G$3:G5)/J5</f>
        <v>0.42302987258436453</v>
      </c>
    </row>
    <row r="6" spans="1:13" x14ac:dyDescent="0.25">
      <c r="B6">
        <v>4</v>
      </c>
      <c r="C6">
        <v>4</v>
      </c>
      <c r="D6" s="3">
        <v>14416.67</v>
      </c>
      <c r="E6">
        <f t="shared" si="0"/>
        <v>17953.704382250002</v>
      </c>
      <c r="F6" s="2">
        <f t="shared" si="1"/>
        <v>18346.708202499998</v>
      </c>
      <c r="G6" s="2">
        <f t="shared" si="2"/>
        <v>3930.0382024999981</v>
      </c>
      <c r="H6">
        <f t="shared" si="3"/>
        <v>3930.0382024999981</v>
      </c>
      <c r="I6">
        <f>SUMSQ($G$3:G6)/C6</f>
        <v>20313869.958474811</v>
      </c>
      <c r="J6">
        <f>SUM($H$3:H6)/C6</f>
        <v>3946.5017235416676</v>
      </c>
      <c r="K6">
        <f t="shared" si="4"/>
        <v>27.260374292398993</v>
      </c>
      <c r="L6">
        <f>AVERAGE($K$3:K6)</f>
        <v>27.060102614465141</v>
      </c>
      <c r="M6">
        <f>SUM($G$3:G6)/J6</f>
        <v>1.4194464456332345</v>
      </c>
    </row>
    <row r="7" spans="1:13" x14ac:dyDescent="0.25">
      <c r="A7">
        <v>2</v>
      </c>
      <c r="B7">
        <v>1</v>
      </c>
      <c r="C7">
        <v>5</v>
      </c>
      <c r="D7" s="2">
        <v>13000</v>
      </c>
      <c r="E7">
        <f t="shared" si="0"/>
        <v>17458.333944025002</v>
      </c>
      <c r="F7" s="2">
        <f t="shared" si="1"/>
        <v>17953.704382250002</v>
      </c>
      <c r="G7" s="2">
        <f t="shared" si="2"/>
        <v>4953.7043822500018</v>
      </c>
      <c r="H7">
        <f t="shared" si="3"/>
        <v>4953.7043822500018</v>
      </c>
      <c r="I7">
        <f>SUMSQ($G$3:G7)/C7</f>
        <v>21158933.388124425</v>
      </c>
      <c r="J7">
        <f>SUM($H$3:H7)/C7</f>
        <v>4147.9422552833348</v>
      </c>
      <c r="K7">
        <f t="shared" si="4"/>
        <v>38.105418325000009</v>
      </c>
      <c r="L7">
        <f>AVERAGE($K$3:K7)</f>
        <v>29.269165756572114</v>
      </c>
      <c r="M7">
        <f>SUM($G$3:G7)/J7</f>
        <v>2.5447683638729042</v>
      </c>
    </row>
    <row r="8" spans="1:13" x14ac:dyDescent="0.25">
      <c r="B8">
        <v>2</v>
      </c>
      <c r="C8">
        <v>6</v>
      </c>
      <c r="D8" s="2">
        <v>20166.669999999998</v>
      </c>
      <c r="E8">
        <f t="shared" si="0"/>
        <v>17729.167549622503</v>
      </c>
      <c r="F8" s="2">
        <f t="shared" si="1"/>
        <v>17458.333944025002</v>
      </c>
      <c r="G8" s="2">
        <f t="shared" si="2"/>
        <v>-2708.3360559749963</v>
      </c>
      <c r="H8">
        <f t="shared" si="3"/>
        <v>2708.3360559749963</v>
      </c>
      <c r="I8">
        <f>SUMSQ($G$3:G8)/C8</f>
        <v>18854958.522119384</v>
      </c>
      <c r="J8">
        <f>SUM($H$3:H8)/C8</f>
        <v>3908.0078887319451</v>
      </c>
      <c r="K8">
        <f t="shared" si="4"/>
        <v>13.429763347022568</v>
      </c>
      <c r="L8">
        <f>AVERAGE($K$3:K8)</f>
        <v>26.629265354980522</v>
      </c>
      <c r="M8">
        <f>SUM($G$3:G8)/J8</f>
        <v>2.0079837077780036</v>
      </c>
    </row>
    <row r="9" spans="1:13" x14ac:dyDescent="0.25">
      <c r="B9">
        <v>3</v>
      </c>
      <c r="C9">
        <v>7</v>
      </c>
      <c r="D9" s="2">
        <v>24500</v>
      </c>
      <c r="E9">
        <f t="shared" si="0"/>
        <v>18406.250794660253</v>
      </c>
      <c r="F9" s="2">
        <f t="shared" si="1"/>
        <v>17729.167549622503</v>
      </c>
      <c r="G9" s="2">
        <f t="shared" si="2"/>
        <v>-6770.8324503774966</v>
      </c>
      <c r="H9">
        <f t="shared" si="3"/>
        <v>6770.8324503774966</v>
      </c>
      <c r="I9">
        <f>SUMSQ($G$3:G9)/C9</f>
        <v>22710560.457685892</v>
      </c>
      <c r="J9">
        <f>SUM($H$3:H9)/C9</f>
        <v>4316.982826109881</v>
      </c>
      <c r="K9">
        <f t="shared" si="4"/>
        <v>27.636050817867329</v>
      </c>
      <c r="L9">
        <f>AVERAGE($K$3:K9)</f>
        <v>26.773091849678639</v>
      </c>
      <c r="M9">
        <f>SUM($G$3:G9)/J9</f>
        <v>0.24933704010912491</v>
      </c>
    </row>
    <row r="10" spans="1:13" x14ac:dyDescent="0.25">
      <c r="B10">
        <v>4</v>
      </c>
      <c r="C10">
        <v>8</v>
      </c>
      <c r="D10" s="2">
        <v>17166.669999999998</v>
      </c>
      <c r="E10">
        <f t="shared" si="0"/>
        <v>18282.292715194228</v>
      </c>
      <c r="F10" s="2">
        <f t="shared" si="1"/>
        <v>18406.250794660253</v>
      </c>
      <c r="G10" s="2">
        <f t="shared" si="2"/>
        <v>1239.5807946602545</v>
      </c>
      <c r="H10">
        <f t="shared" si="3"/>
        <v>1239.5807946602545</v>
      </c>
      <c r="I10">
        <f>SUMSQ($G$3:G10)/C10</f>
        <v>20063810.468786474</v>
      </c>
      <c r="J10">
        <f>SUM($H$3:H10)/C10</f>
        <v>3932.3075721786777</v>
      </c>
      <c r="K10">
        <f t="shared" si="4"/>
        <v>7.2208575959126291</v>
      </c>
      <c r="L10">
        <f>AVERAGE($K$3:K10)</f>
        <v>24.329062567957887</v>
      </c>
      <c r="M10">
        <f>SUM($G$3:G10)/J10</f>
        <v>0.58895813010915299</v>
      </c>
    </row>
    <row r="11" spans="1:13" x14ac:dyDescent="0.25">
      <c r="A11">
        <v>3</v>
      </c>
      <c r="B11">
        <v>1</v>
      </c>
      <c r="C11">
        <v>9</v>
      </c>
      <c r="D11" s="2">
        <v>14000</v>
      </c>
      <c r="E11">
        <f t="shared" si="0"/>
        <v>17854.063443674804</v>
      </c>
      <c r="F11" s="2">
        <f t="shared" si="1"/>
        <v>18282.292715194228</v>
      </c>
      <c r="G11" s="2">
        <f t="shared" si="2"/>
        <v>4282.2927151942276</v>
      </c>
      <c r="H11">
        <f t="shared" si="3"/>
        <v>4282.2927151942276</v>
      </c>
      <c r="I11">
        <f>SUMSQ($G$3:G11)/C11</f>
        <v>19872057.183210816</v>
      </c>
      <c r="J11">
        <f>SUM($H$3:H11)/C11</f>
        <v>3971.1948102915162</v>
      </c>
      <c r="K11">
        <f t="shared" si="4"/>
        <v>30.587805108530198</v>
      </c>
      <c r="L11">
        <f>AVERAGE($K$3:K11)</f>
        <v>25.024478405799258</v>
      </c>
      <c r="M11">
        <f>SUM($G$3:G11)/J11</f>
        <v>1.6615294754160606</v>
      </c>
    </row>
    <row r="12" spans="1:13" x14ac:dyDescent="0.25">
      <c r="B12">
        <v>2</v>
      </c>
      <c r="C12">
        <v>10</v>
      </c>
      <c r="D12" s="2">
        <v>21833.33</v>
      </c>
      <c r="E12">
        <f t="shared" si="0"/>
        <v>18251.990099307324</v>
      </c>
      <c r="F12" s="2">
        <f t="shared" si="1"/>
        <v>17854.063443674804</v>
      </c>
      <c r="G12" s="2">
        <f t="shared" si="2"/>
        <v>-3979.2665563251976</v>
      </c>
      <c r="H12">
        <f t="shared" si="3"/>
        <v>3979.2665563251976</v>
      </c>
      <c r="I12">
        <f>SUMSQ($G$3:G12)/C12</f>
        <v>19468307.697518554</v>
      </c>
      <c r="J12">
        <f>SUM($H$3:H12)/C12</f>
        <v>3972.0019848948841</v>
      </c>
      <c r="K12">
        <f t="shared" si="4"/>
        <v>18.225651132123215</v>
      </c>
      <c r="L12">
        <f>AVERAGE($K$3:K12)</f>
        <v>24.344595678431652</v>
      </c>
      <c r="M12">
        <f>SUM($G$3:G12)/J12</f>
        <v>0.65936288137649479</v>
      </c>
    </row>
    <row r="13" spans="1:13" x14ac:dyDescent="0.25">
      <c r="B13">
        <v>3</v>
      </c>
      <c r="C13">
        <v>11</v>
      </c>
      <c r="D13" s="2">
        <v>26166.67</v>
      </c>
      <c r="E13">
        <f t="shared" si="0"/>
        <v>19043.458089376592</v>
      </c>
      <c r="F13" s="2">
        <f t="shared" si="1"/>
        <v>18251.990099307324</v>
      </c>
      <c r="G13" s="2">
        <f t="shared" si="2"/>
        <v>-7914.679900692674</v>
      </c>
      <c r="H13">
        <f t="shared" si="3"/>
        <v>7914.679900692674</v>
      </c>
      <c r="I13">
        <f>SUMSQ($G$3:G13)/C13</f>
        <v>23393203.173237648</v>
      </c>
      <c r="J13">
        <f>SUM($H$3:H13)/C13</f>
        <v>4330.4272499674107</v>
      </c>
      <c r="K13">
        <f t="shared" si="4"/>
        <v>30.247180480713343</v>
      </c>
      <c r="L13">
        <f>AVERAGE($K$3:K13)</f>
        <v>24.881194296820897</v>
      </c>
      <c r="M13">
        <f>SUM($G$3:G13)/J13</f>
        <v>-1.2229022499198157</v>
      </c>
    </row>
    <row r="14" spans="1:13" x14ac:dyDescent="0.25">
      <c r="B14">
        <v>4</v>
      </c>
      <c r="C14">
        <v>12</v>
      </c>
      <c r="D14" s="2">
        <v>18333.330000000002</v>
      </c>
      <c r="E14">
        <f t="shared" si="0"/>
        <v>18972.445280438933</v>
      </c>
      <c r="F14" s="2">
        <f t="shared" si="1"/>
        <v>19043.458089376592</v>
      </c>
      <c r="G14" s="2">
        <f t="shared" si="2"/>
        <v>710.12808937659065</v>
      </c>
      <c r="H14">
        <f t="shared" si="3"/>
        <v>710.12808937659065</v>
      </c>
      <c r="I14">
        <f>SUMSQ($G$3:G14)/C14</f>
        <v>21485793.067411315</v>
      </c>
      <c r="J14">
        <f>SUM($H$3:H14)/C14</f>
        <v>4028.7356532515091</v>
      </c>
      <c r="K14">
        <f t="shared" si="4"/>
        <v>3.8734266463135207</v>
      </c>
      <c r="L14">
        <f>AVERAGE($K$3:K14)</f>
        <v>23.130546992611951</v>
      </c>
      <c r="M14">
        <f>SUM($G$3:G14)/J14</f>
        <v>-1.1382134576195697</v>
      </c>
    </row>
    <row r="15" spans="1:13" x14ac:dyDescent="0.25">
      <c r="A15">
        <v>4</v>
      </c>
      <c r="B15">
        <v>1</v>
      </c>
      <c r="C15">
        <v>13</v>
      </c>
      <c r="F15" s="2">
        <f t="shared" si="1"/>
        <v>18972.445280438933</v>
      </c>
    </row>
    <row r="16" spans="1:13" x14ac:dyDescent="0.25">
      <c r="B16">
        <v>2</v>
      </c>
      <c r="C16">
        <v>14</v>
      </c>
      <c r="F16" s="2">
        <f>E14</f>
        <v>18972.445280438933</v>
      </c>
    </row>
    <row r="17" spans="2:6" x14ac:dyDescent="0.25">
      <c r="B17">
        <v>3</v>
      </c>
      <c r="C17">
        <v>15</v>
      </c>
      <c r="F17" s="2">
        <f>E14</f>
        <v>18972.445280438933</v>
      </c>
    </row>
    <row r="18" spans="2:6" x14ac:dyDescent="0.25">
      <c r="B18">
        <v>4</v>
      </c>
      <c r="C18">
        <v>16</v>
      </c>
      <c r="F18" s="2">
        <f>E14</f>
        <v>18972.445280438933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8"/>
  <sheetViews>
    <sheetView topLeftCell="C1" zoomScaleNormal="100" workbookViewId="0">
      <selection activeCell="E2" sqref="E2"/>
    </sheetView>
  </sheetViews>
  <sheetFormatPr defaultRowHeight="15.75" x14ac:dyDescent="0.25"/>
  <cols>
    <col min="1" max="8" width="10.625" customWidth="1"/>
    <col min="9" max="9" width="15.625" customWidth="1"/>
    <col min="10" max="1025" width="10.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18</v>
      </c>
    </row>
    <row r="2" spans="1:14" x14ac:dyDescent="0.25">
      <c r="C2">
        <v>0</v>
      </c>
      <c r="E2">
        <v>14510</v>
      </c>
      <c r="F2">
        <v>533.79999999999995</v>
      </c>
    </row>
    <row r="3" spans="1:14" x14ac:dyDescent="0.25">
      <c r="A3">
        <v>1</v>
      </c>
      <c r="B3">
        <v>1</v>
      </c>
      <c r="C3">
        <v>1</v>
      </c>
      <c r="D3" s="2">
        <v>11750</v>
      </c>
      <c r="E3">
        <f t="shared" ref="E3:E14" si="0">0.1*D3+(1-0.1)*(E2+F2)</f>
        <v>14714.42</v>
      </c>
      <c r="F3">
        <f t="shared" ref="F3:F14" si="1">0.2*(E3-E2)+(1-0.2)*F2</f>
        <v>467.92399999999998</v>
      </c>
      <c r="G3">
        <f t="shared" ref="G3:G14" si="2">E2+F2</f>
        <v>15043.8</v>
      </c>
      <c r="H3" s="2">
        <f t="shared" ref="H3:H14" si="3">G3-D3</f>
        <v>3293.7999999999993</v>
      </c>
      <c r="I3">
        <f t="shared" ref="I3:I14" si="4">ABS(H3)</f>
        <v>3293.7999999999993</v>
      </c>
      <c r="J3">
        <f>SUMSQ($H$3:H3)/C3</f>
        <v>10849118.439999996</v>
      </c>
      <c r="K3">
        <f>SUM($I$3:I3)/(C3)</f>
        <v>3293.7999999999993</v>
      </c>
      <c r="L3">
        <f t="shared" ref="L3:L14" si="5">100*(H3/D3)</f>
        <v>28.03234042553191</v>
      </c>
      <c r="M3">
        <f>AVERAGE($L$3:L3)</f>
        <v>28.03234042553191</v>
      </c>
      <c r="N3">
        <f>SUM($H$3:H3)/K3</f>
        <v>1</v>
      </c>
    </row>
    <row r="4" spans="1:14" x14ac:dyDescent="0.25">
      <c r="B4">
        <v>2</v>
      </c>
      <c r="C4">
        <v>2</v>
      </c>
      <c r="D4" s="2">
        <v>18500</v>
      </c>
      <c r="E4">
        <f t="shared" si="0"/>
        <v>15514.109600000002</v>
      </c>
      <c r="F4">
        <f t="shared" si="1"/>
        <v>534.27712000000031</v>
      </c>
      <c r="G4">
        <f t="shared" si="2"/>
        <v>15182.344000000001</v>
      </c>
      <c r="H4" s="2">
        <f t="shared" si="3"/>
        <v>-3317.655999999999</v>
      </c>
      <c r="I4">
        <f t="shared" si="4"/>
        <v>3317.655999999999</v>
      </c>
      <c r="J4">
        <f>SUMSQ($H$3:H4)/C4</f>
        <v>10927979.887167994</v>
      </c>
      <c r="K4">
        <f>SUM($I$3:I4)/(C4)</f>
        <v>3305.7279999999992</v>
      </c>
      <c r="L4">
        <f t="shared" si="5"/>
        <v>-17.93327567567567</v>
      </c>
      <c r="M4">
        <f>AVERAGE($L$3:L4)</f>
        <v>5.0495323749281198</v>
      </c>
      <c r="N4">
        <f>SUM($H$3:H4)/K4</f>
        <v>-7.2165647022379865E-3</v>
      </c>
    </row>
    <row r="5" spans="1:14" x14ac:dyDescent="0.25">
      <c r="B5">
        <v>3</v>
      </c>
      <c r="C5">
        <v>3</v>
      </c>
      <c r="D5" s="3">
        <v>22333.33</v>
      </c>
      <c r="E5">
        <f t="shared" si="0"/>
        <v>16676.881048000003</v>
      </c>
      <c r="F5">
        <f t="shared" si="1"/>
        <v>659.97598560000051</v>
      </c>
      <c r="G5">
        <f t="shared" si="2"/>
        <v>16048.386720000002</v>
      </c>
      <c r="H5" s="2">
        <f t="shared" si="3"/>
        <v>-6284.9432799999995</v>
      </c>
      <c r="I5">
        <f t="shared" si="4"/>
        <v>6284.9432799999995</v>
      </c>
      <c r="J5">
        <f>SUMSQ($H$3:H5)/C5</f>
        <v>20452157.269051049</v>
      </c>
      <c r="K5">
        <f>SUM($I$3:I5)/(C5)</f>
        <v>4298.799759999999</v>
      </c>
      <c r="L5">
        <f t="shared" si="5"/>
        <v>-28.141541274856902</v>
      </c>
      <c r="M5">
        <f>AVERAGE($L$3:L5)</f>
        <v>-6.0141588416668874</v>
      </c>
      <c r="N5">
        <f>SUM($H$3:H5)/K5</f>
        <v>-1.4675722602161867</v>
      </c>
    </row>
    <row r="6" spans="1:14" x14ac:dyDescent="0.25">
      <c r="B6">
        <v>4</v>
      </c>
      <c r="C6">
        <v>4</v>
      </c>
      <c r="D6" s="3">
        <v>14416.67</v>
      </c>
      <c r="E6">
        <f t="shared" si="0"/>
        <v>17044.838330240003</v>
      </c>
      <c r="F6">
        <f t="shared" si="1"/>
        <v>601.5722449280006</v>
      </c>
      <c r="G6">
        <f t="shared" si="2"/>
        <v>17336.857033600005</v>
      </c>
      <c r="H6" s="2">
        <f t="shared" si="3"/>
        <v>2920.1870336000047</v>
      </c>
      <c r="I6">
        <f t="shared" si="4"/>
        <v>2920.1870336000047</v>
      </c>
      <c r="J6">
        <f>SUMSQ($H$3:H6)/C6</f>
        <v>17470991.029589683</v>
      </c>
      <c r="K6">
        <f>SUM($I$3:I6)/(C6)</f>
        <v>3954.1465784000006</v>
      </c>
      <c r="L6">
        <f t="shared" si="5"/>
        <v>20.255627919623635</v>
      </c>
      <c r="M6">
        <f>AVERAGE($L$3:L6)</f>
        <v>0.5532878486557431</v>
      </c>
      <c r="N6">
        <f>SUM($H$3:H6)/K6</f>
        <v>-0.85697689228585883</v>
      </c>
    </row>
    <row r="7" spans="1:14" x14ac:dyDescent="0.25">
      <c r="A7">
        <v>2</v>
      </c>
      <c r="B7">
        <v>1</v>
      </c>
      <c r="C7">
        <v>5</v>
      </c>
      <c r="D7" s="2">
        <v>13000</v>
      </c>
      <c r="E7">
        <f t="shared" si="0"/>
        <v>17181.769517651206</v>
      </c>
      <c r="F7">
        <f t="shared" si="1"/>
        <v>508.64403342464101</v>
      </c>
      <c r="G7">
        <f t="shared" si="2"/>
        <v>17646.410575168004</v>
      </c>
      <c r="H7" s="2">
        <f t="shared" si="3"/>
        <v>4646.4105751680036</v>
      </c>
      <c r="I7">
        <f t="shared" si="4"/>
        <v>4646.4105751680036</v>
      </c>
      <c r="J7">
        <f>SUMSQ($H$3:H7)/C7</f>
        <v>18294619.070278358</v>
      </c>
      <c r="K7">
        <f>SUM($I$3:I7)/(C7)</f>
        <v>4092.5993777536014</v>
      </c>
      <c r="L7">
        <f t="shared" si="5"/>
        <v>35.741619808984645</v>
      </c>
      <c r="M7">
        <f>AVERAGE($L$3:L7)</f>
        <v>7.5909542407215245</v>
      </c>
      <c r="N7">
        <f>SUM($H$3:H7)/K7</f>
        <v>0.30733482871670803</v>
      </c>
    </row>
    <row r="8" spans="1:14" x14ac:dyDescent="0.25">
      <c r="B8">
        <v>2</v>
      </c>
      <c r="C8">
        <v>6</v>
      </c>
      <c r="D8" s="2">
        <v>20166.669999999998</v>
      </c>
      <c r="E8">
        <f t="shared" si="0"/>
        <v>17938.039195968264</v>
      </c>
      <c r="F8">
        <f t="shared" si="1"/>
        <v>558.16916240312435</v>
      </c>
      <c r="G8">
        <f t="shared" si="2"/>
        <v>17690.413551075846</v>
      </c>
      <c r="H8" s="2">
        <f t="shared" si="3"/>
        <v>-2476.2564489241522</v>
      </c>
      <c r="I8">
        <f t="shared" si="4"/>
        <v>2476.2564489241522</v>
      </c>
      <c r="J8">
        <f>SUMSQ($H$3:H8)/C8</f>
        <v>16267490.225371709</v>
      </c>
      <c r="K8">
        <f>SUM($I$3:I8)/(C8)</f>
        <v>3823.20888961536</v>
      </c>
      <c r="L8">
        <f t="shared" si="5"/>
        <v>-12.278955568391572</v>
      </c>
      <c r="M8">
        <f>AVERAGE($L$3:L8)</f>
        <v>4.2793026058693409</v>
      </c>
      <c r="N8">
        <f>SUM($H$3:H8)/K8</f>
        <v>-0.31870037848722621</v>
      </c>
    </row>
    <row r="9" spans="1:14" x14ac:dyDescent="0.25">
      <c r="B9">
        <v>3</v>
      </c>
      <c r="C9">
        <v>7</v>
      </c>
      <c r="D9" s="2">
        <v>24500</v>
      </c>
      <c r="E9">
        <f t="shared" si="0"/>
        <v>19096.58752253425</v>
      </c>
      <c r="F9">
        <f t="shared" si="1"/>
        <v>678.24499523569671</v>
      </c>
      <c r="G9">
        <f t="shared" si="2"/>
        <v>18496.208358371387</v>
      </c>
      <c r="H9" s="2">
        <f t="shared" si="3"/>
        <v>-6003.7916416286134</v>
      </c>
      <c r="I9">
        <f t="shared" si="4"/>
        <v>6003.7916416286134</v>
      </c>
      <c r="J9">
        <f>SUMSQ($H$3:H9)/C9</f>
        <v>19092922.204045691</v>
      </c>
      <c r="K9">
        <f>SUM($I$3:I9)/(C9)</f>
        <v>4134.720711331539</v>
      </c>
      <c r="L9">
        <f t="shared" si="5"/>
        <v>-24.505272006647402</v>
      </c>
      <c r="M9">
        <f>AVERAGE($L$3:L9)</f>
        <v>0.16722051836694923</v>
      </c>
      <c r="N9">
        <f>SUM($H$3:H9)/K9</f>
        <v>-1.7467321896716246</v>
      </c>
    </row>
    <row r="10" spans="1:14" x14ac:dyDescent="0.25">
      <c r="B10">
        <v>4</v>
      </c>
      <c r="C10">
        <v>8</v>
      </c>
      <c r="D10" s="2">
        <v>17166.669999999998</v>
      </c>
      <c r="E10">
        <f t="shared" si="0"/>
        <v>19514.016265992956</v>
      </c>
      <c r="F10">
        <f t="shared" si="1"/>
        <v>626.08174488029852</v>
      </c>
      <c r="G10">
        <f t="shared" si="2"/>
        <v>19774.832517769948</v>
      </c>
      <c r="H10" s="2">
        <f t="shared" si="3"/>
        <v>2608.1625177699498</v>
      </c>
      <c r="I10">
        <f t="shared" si="4"/>
        <v>2608.1625177699498</v>
      </c>
      <c r="J10">
        <f>SUMSQ($H$3:H10)/C10</f>
        <v>17556620.893427491</v>
      </c>
      <c r="K10">
        <f>SUM($I$3:I10)/(C10)</f>
        <v>3943.9009371363404</v>
      </c>
      <c r="L10">
        <f t="shared" si="5"/>
        <v>15.193176765033348</v>
      </c>
      <c r="M10">
        <f>AVERAGE($L$3:L10)</f>
        <v>2.0454650492002493</v>
      </c>
      <c r="N10">
        <f>SUM($H$3:H10)/K10</f>
        <v>-1.1699298023862352</v>
      </c>
    </row>
    <row r="11" spans="1:14" x14ac:dyDescent="0.25">
      <c r="A11">
        <v>3</v>
      </c>
      <c r="B11">
        <v>1</v>
      </c>
      <c r="C11">
        <v>9</v>
      </c>
      <c r="D11" s="2">
        <v>14000</v>
      </c>
      <c r="E11">
        <f t="shared" si="0"/>
        <v>19526.088209785928</v>
      </c>
      <c r="F11">
        <f t="shared" si="1"/>
        <v>503.27978466283338</v>
      </c>
      <c r="G11">
        <f t="shared" si="2"/>
        <v>20140.098010873255</v>
      </c>
      <c r="H11" s="2">
        <f t="shared" si="3"/>
        <v>6140.0980108732547</v>
      </c>
      <c r="I11">
        <f t="shared" si="4"/>
        <v>6140.0980108732547</v>
      </c>
      <c r="J11">
        <f>SUMSQ($H$3:H11)/C11</f>
        <v>19794863.414505515</v>
      </c>
      <c r="K11">
        <f>SUM($I$3:I11)/(C11)</f>
        <v>4187.9228342182196</v>
      </c>
      <c r="L11">
        <f t="shared" si="5"/>
        <v>43.857842934808957</v>
      </c>
      <c r="M11">
        <f>AVERAGE($L$3:L11)</f>
        <v>6.6912848142678838</v>
      </c>
      <c r="N11">
        <f>SUM($H$3:H11)/K11</f>
        <v>0.36438368787263387</v>
      </c>
    </row>
    <row r="12" spans="1:14" x14ac:dyDescent="0.25">
      <c r="B12">
        <v>2</v>
      </c>
      <c r="C12">
        <v>10</v>
      </c>
      <c r="D12" s="2">
        <v>21833.33</v>
      </c>
      <c r="E12">
        <f t="shared" si="0"/>
        <v>20209.764195003885</v>
      </c>
      <c r="F12">
        <f t="shared" si="1"/>
        <v>539.3590247738581</v>
      </c>
      <c r="G12">
        <f t="shared" si="2"/>
        <v>20029.367994448763</v>
      </c>
      <c r="H12" s="2">
        <f t="shared" si="3"/>
        <v>-1803.9620055512387</v>
      </c>
      <c r="I12">
        <f t="shared" si="4"/>
        <v>1803.9620055512387</v>
      </c>
      <c r="J12">
        <f>SUMSQ($H$3:H12)/C12</f>
        <v>18140804.964802209</v>
      </c>
      <c r="K12">
        <f>SUM($I$3:I12)/(C12)</f>
        <v>3949.5267513515209</v>
      </c>
      <c r="L12">
        <f t="shared" si="5"/>
        <v>-8.2624226609098965</v>
      </c>
      <c r="M12">
        <f>AVERAGE($L$3:L12)</f>
        <v>5.1959140667501051</v>
      </c>
      <c r="N12">
        <f>SUM($H$3:H12)/K12</f>
        <v>-7.0375833914196537E-2</v>
      </c>
    </row>
    <row r="13" spans="1:14" x14ac:dyDescent="0.25">
      <c r="B13">
        <v>3</v>
      </c>
      <c r="C13">
        <v>11</v>
      </c>
      <c r="D13" s="2">
        <v>26166.67</v>
      </c>
      <c r="E13">
        <f t="shared" si="0"/>
        <v>21290.877897799972</v>
      </c>
      <c r="F13">
        <f t="shared" si="1"/>
        <v>647.70996037830378</v>
      </c>
      <c r="G13">
        <f t="shared" si="2"/>
        <v>20749.123219777743</v>
      </c>
      <c r="H13" s="2">
        <f t="shared" si="3"/>
        <v>-5417.5467802222556</v>
      </c>
      <c r="I13">
        <f t="shared" si="4"/>
        <v>5417.5467802222556</v>
      </c>
      <c r="J13">
        <f>SUMSQ($H$3:H13)/C13</f>
        <v>19159805.705810782</v>
      </c>
      <c r="K13">
        <f>SUM($I$3:I13)/(C13)</f>
        <v>4082.9831176124967</v>
      </c>
      <c r="L13">
        <f t="shared" si="5"/>
        <v>-20.703997796518454</v>
      </c>
      <c r="M13">
        <f>AVERAGE($L$3:L13)</f>
        <v>2.8413766246347816</v>
      </c>
      <c r="N13">
        <f>SUM($H$3:H13)/K13</f>
        <v>-1.3949354809591914</v>
      </c>
    </row>
    <row r="14" spans="1:14" x14ac:dyDescent="0.25">
      <c r="B14">
        <v>4</v>
      </c>
      <c r="C14">
        <v>12</v>
      </c>
      <c r="D14" s="2">
        <v>18333.330000000002</v>
      </c>
      <c r="E14">
        <f t="shared" si="0"/>
        <v>21578.062072360448</v>
      </c>
      <c r="F14">
        <f t="shared" si="1"/>
        <v>575.60480321473835</v>
      </c>
      <c r="G14">
        <f t="shared" si="2"/>
        <v>21938.587858178274</v>
      </c>
      <c r="H14" s="2">
        <f t="shared" si="3"/>
        <v>3605.2578581782727</v>
      </c>
      <c r="I14">
        <f t="shared" si="4"/>
        <v>3605.2578581782727</v>
      </c>
      <c r="J14">
        <f>SUMSQ($H$3:H14)/C14</f>
        <v>18646312.248989567</v>
      </c>
      <c r="K14">
        <f>SUM($I$3:I14)/(C14)</f>
        <v>4043.1726793263115</v>
      </c>
      <c r="L14">
        <f t="shared" si="5"/>
        <v>19.665046438253565</v>
      </c>
      <c r="M14">
        <f>AVERAGE($L$3:L14)</f>
        <v>4.243349109103014</v>
      </c>
      <c r="N14">
        <f>SUM($H$3:H14)/K14</f>
        <v>-0.51698018524528055</v>
      </c>
    </row>
    <row r="15" spans="1:14" x14ac:dyDescent="0.25">
      <c r="A15">
        <v>4</v>
      </c>
      <c r="B15">
        <v>1</v>
      </c>
      <c r="C15">
        <v>13</v>
      </c>
      <c r="G15">
        <f>E14 +(1*F14)</f>
        <v>22153.666875575185</v>
      </c>
    </row>
    <row r="16" spans="1:14" x14ac:dyDescent="0.25">
      <c r="B16">
        <v>2</v>
      </c>
      <c r="C16">
        <v>14</v>
      </c>
      <c r="G16">
        <f>E14 +(2*F14)</f>
        <v>22729.271678789926</v>
      </c>
    </row>
    <row r="17" spans="2:7" x14ac:dyDescent="0.25">
      <c r="B17">
        <v>3</v>
      </c>
      <c r="C17">
        <v>15</v>
      </c>
      <c r="G17">
        <f>E14 +(3*F14)</f>
        <v>23304.876482004664</v>
      </c>
    </row>
    <row r="18" spans="2:7" x14ac:dyDescent="0.25">
      <c r="B18">
        <v>4</v>
      </c>
      <c r="C18">
        <v>16</v>
      </c>
      <c r="G18">
        <f>E14 +(4*F14)</f>
        <v>23880.481285219401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tabSelected="1" zoomScaleNormal="100" workbookViewId="0">
      <selection activeCell="I18" sqref="I18"/>
    </sheetView>
  </sheetViews>
  <sheetFormatPr defaultRowHeight="15.75" x14ac:dyDescent="0.25"/>
  <cols>
    <col min="1" max="4" width="10.625" customWidth="1"/>
    <col min="5" max="5" width="21.875" customWidth="1"/>
    <col min="6" max="6" width="14.875" customWidth="1"/>
    <col min="7" max="1023" width="10.625" customWidth="1"/>
    <col min="1024" max="1025" width="10.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17</v>
      </c>
      <c r="H1" t="s">
        <v>20</v>
      </c>
      <c r="I1" t="s">
        <v>8</v>
      </c>
    </row>
    <row r="2" spans="1:9" x14ac:dyDescent="0.25">
      <c r="C2">
        <v>0</v>
      </c>
      <c r="G2">
        <v>15575</v>
      </c>
      <c r="H2">
        <v>446.43</v>
      </c>
    </row>
    <row r="3" spans="1:9" x14ac:dyDescent="0.25">
      <c r="A3">
        <v>1</v>
      </c>
      <c r="B3">
        <v>1</v>
      </c>
      <c r="C3">
        <v>1</v>
      </c>
      <c r="D3" s="2">
        <v>11750</v>
      </c>
      <c r="E3">
        <f t="shared" ref="E3:E14" si="0">15575+446.43*C3</f>
        <v>16021.43</v>
      </c>
      <c r="F3">
        <f>D3/E3</f>
        <v>0.73339271213618262</v>
      </c>
      <c r="G3">
        <f t="shared" ref="G3:G18" si="1">0.05*(D3/F3)+(1-0.05)*(G2+H2)</f>
        <v>16021.43</v>
      </c>
      <c r="H3">
        <f t="shared" ref="H3:H18" si="2">0.05*(G3-G2)+(1-0.05)*H2</f>
        <v>446.43</v>
      </c>
      <c r="I3">
        <f t="shared" ref="I3:I18" si="3">(G2+H2) *F3</f>
        <v>11750</v>
      </c>
    </row>
    <row r="4" spans="1:9" x14ac:dyDescent="0.25">
      <c r="B4">
        <v>2</v>
      </c>
      <c r="C4">
        <v>2</v>
      </c>
      <c r="D4" s="2">
        <v>18500</v>
      </c>
      <c r="E4">
        <f t="shared" si="0"/>
        <v>16467.86</v>
      </c>
      <c r="F4">
        <f>D4/E4</f>
        <v>1.1234003689611158</v>
      </c>
      <c r="G4">
        <f t="shared" si="1"/>
        <v>16467.86</v>
      </c>
      <c r="H4">
        <f t="shared" si="2"/>
        <v>446.43</v>
      </c>
      <c r="I4">
        <f t="shared" si="3"/>
        <v>18500</v>
      </c>
    </row>
    <row r="5" spans="1:9" x14ac:dyDescent="0.25">
      <c r="B5">
        <v>3</v>
      </c>
      <c r="C5">
        <v>3</v>
      </c>
      <c r="D5" s="3">
        <v>22333.33</v>
      </c>
      <c r="E5">
        <f t="shared" si="0"/>
        <v>16914.29</v>
      </c>
      <c r="F5">
        <f>D5/E5</f>
        <v>1.3203823512544719</v>
      </c>
      <c r="G5">
        <f t="shared" si="1"/>
        <v>16914.29</v>
      </c>
      <c r="H5">
        <f t="shared" si="2"/>
        <v>446.43</v>
      </c>
      <c r="I5">
        <f t="shared" si="3"/>
        <v>22333.33</v>
      </c>
    </row>
    <row r="6" spans="1:9" x14ac:dyDescent="0.25">
      <c r="B6">
        <v>4</v>
      </c>
      <c r="C6">
        <v>4</v>
      </c>
      <c r="D6" s="3">
        <v>14416.67</v>
      </c>
      <c r="E6">
        <f t="shared" si="0"/>
        <v>17360.72</v>
      </c>
      <c r="F6">
        <f>D6/E6</f>
        <v>0.83041889967697191</v>
      </c>
      <c r="G6">
        <f t="shared" si="1"/>
        <v>17360.72</v>
      </c>
      <c r="H6">
        <f t="shared" si="2"/>
        <v>446.43</v>
      </c>
      <c r="I6">
        <f t="shared" si="3"/>
        <v>14416.67</v>
      </c>
    </row>
    <row r="7" spans="1:9" x14ac:dyDescent="0.25">
      <c r="A7">
        <v>2</v>
      </c>
      <c r="B7">
        <v>1</v>
      </c>
      <c r="C7">
        <v>5</v>
      </c>
      <c r="D7" s="2">
        <v>13000</v>
      </c>
      <c r="E7">
        <f t="shared" si="0"/>
        <v>17807.150000000001</v>
      </c>
      <c r="F7">
        <f t="shared" ref="F7:F22" si="4">0.05*(D3/G3)+(1-0.05)*F3</f>
        <v>0.73339271213618262</v>
      </c>
      <c r="G7">
        <f t="shared" si="1"/>
        <v>17803.084372340425</v>
      </c>
      <c r="H7">
        <f t="shared" si="2"/>
        <v>446.22671861702116</v>
      </c>
      <c r="I7">
        <f t="shared" si="3"/>
        <v>13059.634033915825</v>
      </c>
    </row>
    <row r="8" spans="1:9" x14ac:dyDescent="0.25">
      <c r="B8">
        <v>2</v>
      </c>
      <c r="C8">
        <v>6</v>
      </c>
      <c r="D8" s="2">
        <v>20166.669999999998</v>
      </c>
      <c r="E8">
        <f t="shared" si="0"/>
        <v>18253.580000000002</v>
      </c>
      <c r="F8">
        <f t="shared" si="4"/>
        <v>1.1234003689611158</v>
      </c>
      <c r="G8">
        <f t="shared" si="1"/>
        <v>18234.418234318218</v>
      </c>
      <c r="H8">
        <f t="shared" si="2"/>
        <v>445.48207578505975</v>
      </c>
      <c r="I8">
        <f t="shared" si="3"/>
        <v>20501.282812867779</v>
      </c>
    </row>
    <row r="9" spans="1:9" x14ac:dyDescent="0.25">
      <c r="B9">
        <v>3</v>
      </c>
      <c r="C9">
        <v>7</v>
      </c>
      <c r="D9" s="2">
        <v>24500</v>
      </c>
      <c r="E9">
        <f t="shared" si="0"/>
        <v>18700.010000000002</v>
      </c>
      <c r="F9">
        <f t="shared" si="4"/>
        <v>1.3203823512544719</v>
      </c>
      <c r="G9">
        <f t="shared" si="1"/>
        <v>18673.666862174465</v>
      </c>
      <c r="H9">
        <f t="shared" si="2"/>
        <v>445.17040338861909</v>
      </c>
      <c r="I9">
        <f t="shared" si="3"/>
        <v>24664.610692653307</v>
      </c>
    </row>
    <row r="10" spans="1:9" x14ac:dyDescent="0.25">
      <c r="B10">
        <v>4</v>
      </c>
      <c r="C10">
        <v>8</v>
      </c>
      <c r="D10" s="2">
        <v>17166.669999999998</v>
      </c>
      <c r="E10">
        <f t="shared" si="0"/>
        <v>19146.439999999999</v>
      </c>
      <c r="F10">
        <f t="shared" si="4"/>
        <v>0.83041889967697191</v>
      </c>
      <c r="G10">
        <f t="shared" si="1"/>
        <v>19196.510485388029</v>
      </c>
      <c r="H10">
        <f t="shared" si="2"/>
        <v>449.0540643798663</v>
      </c>
      <c r="I10">
        <f t="shared" si="3"/>
        <v>15876.643805171983</v>
      </c>
    </row>
    <row r="11" spans="1:9" x14ac:dyDescent="0.25">
      <c r="A11">
        <v>3</v>
      </c>
      <c r="B11">
        <v>1</v>
      </c>
      <c r="C11">
        <v>9</v>
      </c>
      <c r="D11" s="2">
        <v>14000</v>
      </c>
      <c r="E11">
        <f t="shared" si="0"/>
        <v>19592.87</v>
      </c>
      <c r="F11">
        <f t="shared" si="4"/>
        <v>0.73323360394168335</v>
      </c>
      <c r="G11">
        <f t="shared" si="1"/>
        <v>19617.96160753235</v>
      </c>
      <c r="H11">
        <f t="shared" si="2"/>
        <v>447.67391726808899</v>
      </c>
      <c r="I11">
        <f t="shared" si="3"/>
        <v>14404.788096295288</v>
      </c>
    </row>
    <row r="12" spans="1:9" x14ac:dyDescent="0.25">
      <c r="B12">
        <v>2</v>
      </c>
      <c r="C12">
        <v>10</v>
      </c>
      <c r="D12" s="2">
        <v>21833.33</v>
      </c>
      <c r="E12">
        <f t="shared" si="0"/>
        <v>20039.3</v>
      </c>
      <c r="F12">
        <f t="shared" si="4"/>
        <v>1.122528714685834</v>
      </c>
      <c r="G12">
        <f t="shared" si="1"/>
        <v>20034.86027397748</v>
      </c>
      <c r="H12">
        <f t="shared" si="2"/>
        <v>446.13515472694098</v>
      </c>
      <c r="I12">
        <f t="shared" si="3"/>
        <v>22524.252055008648</v>
      </c>
    </row>
    <row r="13" spans="1:9" x14ac:dyDescent="0.25">
      <c r="B13">
        <v>3</v>
      </c>
      <c r="C13">
        <v>11</v>
      </c>
      <c r="D13" s="2">
        <v>26166.67</v>
      </c>
      <c r="E13">
        <f t="shared" si="0"/>
        <v>20485.73</v>
      </c>
      <c r="F13">
        <f t="shared" si="4"/>
        <v>1.3199636328549875</v>
      </c>
      <c r="G13">
        <f t="shared" si="1"/>
        <v>20448.134707811576</v>
      </c>
      <c r="H13">
        <f t="shared" si="2"/>
        <v>444.49211868229872</v>
      </c>
      <c r="I13">
        <f t="shared" si="3"/>
        <v>27034.169130559079</v>
      </c>
    </row>
    <row r="14" spans="1:9" x14ac:dyDescent="0.25">
      <c r="B14">
        <v>4</v>
      </c>
      <c r="C14">
        <v>12</v>
      </c>
      <c r="D14" s="2">
        <v>18333.330000000002</v>
      </c>
      <c r="E14">
        <f t="shared" si="0"/>
        <v>20932.16</v>
      </c>
      <c r="F14">
        <f t="shared" si="4"/>
        <v>0.83361095087299386</v>
      </c>
      <c r="G14">
        <f t="shared" si="1"/>
        <v>20947.628952124032</v>
      </c>
      <c r="H14">
        <f t="shared" si="2"/>
        <v>447.24222496380662</v>
      </c>
      <c r="I14">
        <f t="shared" si="3"/>
        <v>17416.322515068179</v>
      </c>
    </row>
    <row r="15" spans="1:9" x14ac:dyDescent="0.25">
      <c r="A15">
        <v>4</v>
      </c>
      <c r="B15">
        <v>1</v>
      </c>
      <c r="C15">
        <v>13</v>
      </c>
      <c r="D15" s="5">
        <f>(G14+H14) *F15</f>
        <v>15666.469527139394</v>
      </c>
      <c r="F15">
        <f t="shared" si="4"/>
        <v>0.73225351054774768</v>
      </c>
      <c r="G15">
        <f t="shared" si="1"/>
        <v>21394.87117708784</v>
      </c>
      <c r="H15">
        <f t="shared" si="2"/>
        <v>447.24222496380668</v>
      </c>
      <c r="I15" s="6">
        <f t="shared" si="3"/>
        <v>15666.469527139394</v>
      </c>
    </row>
    <row r="16" spans="1:9" x14ac:dyDescent="0.25">
      <c r="B16">
        <v>2</v>
      </c>
      <c r="C16">
        <v>14</v>
      </c>
      <c r="D16" s="5">
        <f>(G14+2*H14) *F16</f>
        <v>24482.620251958495</v>
      </c>
      <c r="F16">
        <f t="shared" si="4"/>
        <v>1.1208906300092198</v>
      </c>
      <c r="G16">
        <f t="shared" si="1"/>
        <v>21842.113402051644</v>
      </c>
      <c r="H16">
        <f t="shared" si="2"/>
        <v>447.24222496380656</v>
      </c>
      <c r="I16" s="6">
        <f>(G14+2*H14) *F16</f>
        <v>24482.620251958495</v>
      </c>
    </row>
    <row r="17" spans="2:9" x14ac:dyDescent="0.25">
      <c r="B17">
        <v>3</v>
      </c>
      <c r="C17">
        <v>15</v>
      </c>
      <c r="D17" s="5">
        <f>(G14+3*H14) *F17</f>
        <v>29376.222268884598</v>
      </c>
      <c r="F17">
        <f t="shared" si="4"/>
        <v>1.3179484755171489</v>
      </c>
      <c r="G17">
        <f t="shared" si="1"/>
        <v>22289.355627015451</v>
      </c>
      <c r="H17">
        <f t="shared" si="2"/>
        <v>447.24222496380662</v>
      </c>
      <c r="I17" s="6">
        <f>(G14+3*H14) *F17</f>
        <v>29376.222268884598</v>
      </c>
    </row>
    <row r="18" spans="2:9" x14ac:dyDescent="0.25">
      <c r="B18">
        <v>4</v>
      </c>
      <c r="C18">
        <v>16</v>
      </c>
      <c r="D18" s="5">
        <f>(G14+4*H14) *F18</f>
        <v>19000.754737461757</v>
      </c>
      <c r="F18">
        <f t="shared" si="4"/>
        <v>0.83569032012446443</v>
      </c>
      <c r="G18">
        <f t="shared" si="1"/>
        <v>22736.597851979255</v>
      </c>
      <c r="H18">
        <f t="shared" si="2"/>
        <v>447.24222496380651</v>
      </c>
      <c r="I18" s="6">
        <f>(G14+4*H14) *F18</f>
        <v>19000.754737461757</v>
      </c>
    </row>
    <row r="19" spans="2:9" x14ac:dyDescent="0.25">
      <c r="F19">
        <f t="shared" si="4"/>
        <v>0.73225351054774757</v>
      </c>
    </row>
    <row r="20" spans="2:9" x14ac:dyDescent="0.25">
      <c r="F20">
        <f t="shared" si="4"/>
        <v>1.1208906300092198</v>
      </c>
    </row>
    <row r="21" spans="2:9" x14ac:dyDescent="0.25">
      <c r="F21">
        <f t="shared" si="4"/>
        <v>1.3179484755171487</v>
      </c>
    </row>
    <row r="22" spans="2:9" x14ac:dyDescent="0.25">
      <c r="F22">
        <f t="shared" si="4"/>
        <v>0.83569032012446443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8"/>
  <sheetViews>
    <sheetView zoomScaleNormal="100" workbookViewId="0">
      <selection activeCell="B17" sqref="B17"/>
    </sheetView>
  </sheetViews>
  <sheetFormatPr defaultRowHeight="15.75" x14ac:dyDescent="0.25"/>
  <cols>
    <col min="1" max="1025" width="10.625" customWidth="1"/>
  </cols>
  <sheetData>
    <row r="1" spans="1:9" x14ac:dyDescent="0.25">
      <c r="A1" t="s">
        <v>22</v>
      </c>
    </row>
    <row r="3" spans="1:9" x14ac:dyDescent="0.25">
      <c r="A3" s="1" t="s">
        <v>23</v>
      </c>
      <c r="B3" s="1"/>
    </row>
    <row r="4" spans="1:9" x14ac:dyDescent="0.25">
      <c r="A4" s="8" t="s">
        <v>24</v>
      </c>
      <c r="B4" s="8">
        <v>0.41385531467904002</v>
      </c>
    </row>
    <row r="5" spans="1:9" x14ac:dyDescent="0.25">
      <c r="A5" s="8" t="s">
        <v>25</v>
      </c>
      <c r="B5" s="8">
        <v>0.17127622148808699</v>
      </c>
    </row>
    <row r="6" spans="1:9" x14ac:dyDescent="0.25">
      <c r="A6" s="8" t="s">
        <v>26</v>
      </c>
      <c r="B6" s="8">
        <v>8.8403843636895907E-2</v>
      </c>
    </row>
    <row r="7" spans="1:9" x14ac:dyDescent="0.25">
      <c r="A7" s="8" t="s">
        <v>27</v>
      </c>
      <c r="B7" s="8">
        <v>4440.1999219050103</v>
      </c>
    </row>
    <row r="8" spans="1:9" x14ac:dyDescent="0.25">
      <c r="A8" s="9" t="s">
        <v>28</v>
      </c>
      <c r="B8" s="9">
        <v>12</v>
      </c>
    </row>
    <row r="10" spans="1:9" x14ac:dyDescent="0.25">
      <c r="A10" t="s">
        <v>29</v>
      </c>
    </row>
    <row r="11" spans="1:9" x14ac:dyDescent="0.25">
      <c r="A11" s="7"/>
      <c r="B11" s="7" t="s">
        <v>30</v>
      </c>
      <c r="C11" s="7" t="s">
        <v>31</v>
      </c>
      <c r="D11" s="7" t="s">
        <v>32</v>
      </c>
      <c r="E11" s="7" t="s">
        <v>33</v>
      </c>
      <c r="F11" s="7" t="s">
        <v>34</v>
      </c>
    </row>
    <row r="12" spans="1:9" x14ac:dyDescent="0.25">
      <c r="A12" s="8" t="s">
        <v>35</v>
      </c>
      <c r="B12" s="8">
        <v>1</v>
      </c>
      <c r="C12" s="8">
        <v>40746688.850039303</v>
      </c>
      <c r="D12" s="8">
        <v>40746688.850039303</v>
      </c>
      <c r="E12" s="8">
        <v>2.0667467970526601</v>
      </c>
      <c r="F12" s="8">
        <v>0.181088529177931</v>
      </c>
    </row>
    <row r="13" spans="1:9" x14ac:dyDescent="0.25">
      <c r="A13" s="8" t="s">
        <v>36</v>
      </c>
      <c r="B13" s="8">
        <v>10</v>
      </c>
      <c r="C13" s="8">
        <v>197153753.46485201</v>
      </c>
      <c r="D13" s="8">
        <v>19715375.346485201</v>
      </c>
      <c r="E13" s="8"/>
      <c r="F13" s="8"/>
    </row>
    <row r="14" spans="1:9" x14ac:dyDescent="0.25">
      <c r="A14" s="9" t="s">
        <v>37</v>
      </c>
      <c r="B14" s="9">
        <v>11</v>
      </c>
      <c r="C14" s="9">
        <v>237900442.31489199</v>
      </c>
      <c r="D14" s="9"/>
      <c r="E14" s="9"/>
      <c r="F14" s="9"/>
    </row>
    <row r="16" spans="1:9" x14ac:dyDescent="0.25">
      <c r="B16" t="s">
        <v>38</v>
      </c>
      <c r="C16" t="s">
        <v>27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</row>
    <row r="17" spans="1:9" x14ac:dyDescent="0.25">
      <c r="A17" t="s">
        <v>45</v>
      </c>
      <c r="B17">
        <v>15044.192575757599</v>
      </c>
      <c r="C17">
        <v>2732.7541431680202</v>
      </c>
      <c r="D17">
        <v>5.5051394262336304</v>
      </c>
      <c r="E17">
        <v>2.59908508272893E-4</v>
      </c>
      <c r="F17">
        <v>8955.2368964384405</v>
      </c>
      <c r="G17">
        <v>21133.1482550767</v>
      </c>
      <c r="H17">
        <v>8955.2368964384405</v>
      </c>
      <c r="I17">
        <v>21133.1482550767</v>
      </c>
    </row>
    <row r="18" spans="1:9" x14ac:dyDescent="0.25">
      <c r="A18" t="s">
        <v>46</v>
      </c>
      <c r="B18">
        <v>533.79947552447595</v>
      </c>
      <c r="C18">
        <v>371.30817075271699</v>
      </c>
      <c r="D18">
        <v>1.4376184462689201</v>
      </c>
      <c r="E18">
        <v>0.18108852917793</v>
      </c>
      <c r="F18">
        <v>-293.52668578960697</v>
      </c>
      <c r="G18">
        <v>1361.12563683856</v>
      </c>
      <c r="H18">
        <v>-293.52668578960697</v>
      </c>
      <c r="I18">
        <v>1361.12563683856</v>
      </c>
    </row>
  </sheetData>
  <mergeCells count="1">
    <mergeCell ref="A3:B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 Method</vt:lpstr>
      <vt:lpstr>Moving Average Method</vt:lpstr>
      <vt:lpstr>Simple Exponential Smoothing</vt:lpstr>
      <vt:lpstr>Holt Method</vt:lpstr>
      <vt:lpstr>Winters Method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Learning Technologies</cp:lastModifiedBy>
  <cp:revision>3</cp:revision>
  <dcterms:created xsi:type="dcterms:W3CDTF">2019-03-06T01:06:31Z</dcterms:created>
  <dcterms:modified xsi:type="dcterms:W3CDTF">2019-03-12T23:54:19Z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